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680" activeTab="0"/>
  </bookViews>
  <sheets>
    <sheet name="SanJosédeBavaria" sheetId="1" r:id="rId1"/>
    <sheet name="Estandarización parámetros SJB" sheetId="2" state="hidden" r:id="rId2"/>
    <sheet name="SanSimón-SanSebastián" sheetId="3" r:id="rId3"/>
    <sheet name="Estandarizaciónparámetros SS-SS" sheetId="4" state="hidden" r:id="rId4"/>
    <sheet name="OU Torca" sheetId="5" r:id="rId5"/>
    <sheet name="Instituciones Educativas" sheetId="6" r:id="rId6"/>
    <sheet name="EstandarizaciónParam_InstiEduca" sheetId="7" state="hidden" r:id="rId7"/>
    <sheet name="OU Tunjuelo" sheetId="8" r:id="rId8"/>
    <sheet name="Standarización ladrilleras" sheetId="9" state="hidden" r:id="rId9"/>
    <sheet name="Meta Global" sheetId="10" r:id="rId10"/>
  </sheets>
  <definedNames>
    <definedName name="_xlfn.SUMIFS" hidden="1">#NAME?</definedName>
  </definedNames>
  <calcPr fullCalcOnLoad="1"/>
</workbook>
</file>

<file path=xl/sharedStrings.xml><?xml version="1.0" encoding="utf-8"?>
<sst xmlns="http://schemas.openxmlformats.org/spreadsheetml/2006/main" count="3574" uniqueCount="1308">
  <si>
    <t>No.</t>
  </si>
  <si>
    <t>USUARIO</t>
  </si>
  <si>
    <t>DIRECCION</t>
  </si>
  <si>
    <t>EXPEDIENTE</t>
  </si>
  <si>
    <t xml:space="preserve"> INFORMACION PERMISO DE VERTIMIENTO</t>
  </si>
  <si>
    <t>Vigente</t>
  </si>
  <si>
    <t>Resolución 
Número</t>
  </si>
  <si>
    <t>Fecha</t>
  </si>
  <si>
    <t>Término</t>
  </si>
  <si>
    <t>Vencimiento</t>
  </si>
  <si>
    <t>No reporta</t>
  </si>
  <si>
    <t>No</t>
  </si>
  <si>
    <t>Si</t>
  </si>
  <si>
    <t>SDA-08-2014-5492</t>
  </si>
  <si>
    <t>SDA-08-2014-5553</t>
  </si>
  <si>
    <t>SDA-05-2011-99</t>
  </si>
  <si>
    <t>SDA-05-2014-586</t>
  </si>
  <si>
    <t>10 años</t>
  </si>
  <si>
    <t>Receptor del vertimiento</t>
  </si>
  <si>
    <t>Torca</t>
  </si>
  <si>
    <t>Canal en tierra
(Vallado)</t>
  </si>
  <si>
    <t>Sin Expediente</t>
  </si>
  <si>
    <t>JARDÍN INFANTIL CAMPESTRE DEL NORTE</t>
  </si>
  <si>
    <t xml:space="preserve">CONJUNTO PLAZUELAS DE SAN JOSÉ </t>
  </si>
  <si>
    <t>CONJUNTO PIEDEMONTE</t>
  </si>
  <si>
    <t>COLEGIO VICTORIA S.A</t>
  </si>
  <si>
    <t>ENTIDAD EDUCATIVA COLEGIO GRAN BRETAÑA</t>
  </si>
  <si>
    <t>SDA-08-2015-8574</t>
  </si>
  <si>
    <t>SDA-08-2015-6357</t>
  </si>
  <si>
    <t>SDA-05-2010-704</t>
  </si>
  <si>
    <t>SDA-08-2016-205</t>
  </si>
  <si>
    <t>SDA-08-2015-6614</t>
  </si>
  <si>
    <t>AGRUPACIÓN DE VIVIENDA GUADALQUIVIR</t>
  </si>
  <si>
    <t>CONJUNTO RESIDENCIAL LA ARBORADA DE SAN JOSÉ P.H</t>
  </si>
  <si>
    <t>SDA-08-2015-7543</t>
  </si>
  <si>
    <t>CONJUNTO RESIDENCIAL ÁTICOS DE BAVARIA P.H</t>
  </si>
  <si>
    <t>SDA-08-2015-7430</t>
  </si>
  <si>
    <t>CONJUNTO RESIDENCIAL SAN SIMEÓN P.H</t>
  </si>
  <si>
    <t>CONJUNTO RESIDENCIAL EL REFUGIO P.H</t>
  </si>
  <si>
    <t>SDA-05-2013-69</t>
  </si>
  <si>
    <t>Tramo Asociado a la descarga</t>
  </si>
  <si>
    <t>Tipo de Vertimiento</t>
  </si>
  <si>
    <t>Origen del Agua Residual</t>
  </si>
  <si>
    <t>Coordenadas Geográficas</t>
  </si>
  <si>
    <t>SST (mg/L)</t>
  </si>
  <si>
    <t>Caudal (L/s)</t>
  </si>
  <si>
    <t>Carga SST (Kg/día)</t>
  </si>
  <si>
    <t>Tiempo de Vertimiento (Días/mes)</t>
  </si>
  <si>
    <t>Tiempo de Vertimiento (mes/año)</t>
  </si>
  <si>
    <t>Carga SST (Kg/año)</t>
  </si>
  <si>
    <t>Canal en tierra</t>
  </si>
  <si>
    <t>Intermitente</t>
  </si>
  <si>
    <t>Tiempo (h)</t>
  </si>
  <si>
    <t>Latitud</t>
  </si>
  <si>
    <t>Longitud</t>
  </si>
  <si>
    <t>ARD</t>
  </si>
  <si>
    <t>CONJUNTO RESIDENCIAL MADRIGAL</t>
  </si>
  <si>
    <t>SDA-08-2015-8290</t>
  </si>
  <si>
    <t>CONJUNTO RESIDENCIAL BONAVENTO</t>
  </si>
  <si>
    <t>CONJUNTO RESIDENCIAL EL PUEBLITO P.H</t>
  </si>
  <si>
    <t>SDA-08-2015-7401</t>
  </si>
  <si>
    <t>CONJUNTO RESIDENCIAL SIERRA MONTE II</t>
  </si>
  <si>
    <t>SDA-08-2014-5184</t>
  </si>
  <si>
    <t>SDA-08-2015-1947</t>
  </si>
  <si>
    <t>CONJUNTO RESIDENCIAL SANTA BARBARA</t>
  </si>
  <si>
    <t xml:space="preserve"> CONJUNTO RESIDENCIAL BARATARIA</t>
  </si>
  <si>
    <t>KR 78 181 61</t>
  </si>
  <si>
    <t>---</t>
  </si>
  <si>
    <t xml:space="preserve">CL 179 76 15  </t>
  </si>
  <si>
    <t>AGRUPACIÓN RESIDENCIAL CATALUÑA P.H.</t>
  </si>
  <si>
    <t>CL 182 76 55</t>
  </si>
  <si>
    <t>CONJUNTO LOS ROBLES</t>
  </si>
  <si>
    <t xml:space="preserve">KR 76 179 20  </t>
  </si>
  <si>
    <t>CL 180 67 80</t>
  </si>
  <si>
    <t>5 años</t>
  </si>
  <si>
    <t>KR 65 170 40</t>
  </si>
  <si>
    <t>CL 181 76 55</t>
  </si>
  <si>
    <t>CL 175 76 55</t>
  </si>
  <si>
    <t>CL 181 76 80</t>
  </si>
  <si>
    <t>KR 70 180 30</t>
  </si>
  <si>
    <t>CONJUNTO RESIDENCIAL GIBRALTAR P.H</t>
  </si>
  <si>
    <t>KR 78 170 40</t>
  </si>
  <si>
    <t>KR 78 172 A 50</t>
  </si>
  <si>
    <t>CONJUNTO RESIDENCIAL MIRA MONTES</t>
  </si>
  <si>
    <t>CONJUNTO RESIDENCIAL SAN SIMEÓN II</t>
  </si>
  <si>
    <t>KR 78 175 75</t>
  </si>
  <si>
    <t>KR 78 173 70</t>
  </si>
  <si>
    <t>CL 175 80 15</t>
  </si>
  <si>
    <t>KR 80 172 A 82</t>
  </si>
  <si>
    <t>KR 80 175 83</t>
  </si>
  <si>
    <t xml:space="preserve">KR 67 180 96 </t>
  </si>
  <si>
    <t>04°45'59.4" N</t>
  </si>
  <si>
    <t>04°45'57.2" N</t>
  </si>
  <si>
    <t>CL 175 72 75</t>
  </si>
  <si>
    <t>KR 68 175 55</t>
  </si>
  <si>
    <t xml:space="preserve">  04°45'47.32"N</t>
  </si>
  <si>
    <t>KR 78 179 85</t>
  </si>
  <si>
    <t xml:space="preserve">  04°46'07.10"N</t>
  </si>
  <si>
    <t xml:space="preserve">  04°46'08.70"N</t>
  </si>
  <si>
    <t>KR 78 179 40</t>
  </si>
  <si>
    <t>KR 68 180 40</t>
  </si>
  <si>
    <t xml:space="preserve">  04°45'56.14"N</t>
  </si>
  <si>
    <t>KR 80 175 25</t>
  </si>
  <si>
    <t xml:space="preserve">  04°46'07.51"N</t>
  </si>
  <si>
    <t>KR 78 181 20</t>
  </si>
  <si>
    <t>Canal en tierra
(Vallado AK 72 - SJB)</t>
  </si>
  <si>
    <t>Canal San Antonio</t>
  </si>
  <si>
    <t>COLEGIO INGLATERRA REAL</t>
  </si>
  <si>
    <t>METROKIA S.A (SEDE CALLE 170)</t>
  </si>
  <si>
    <t xml:space="preserve">SDA-05-2010-1554 </t>
  </si>
  <si>
    <t>AGRUPACIÓN DE VIVIENDA MULTIFAMILIAR VERONA</t>
  </si>
  <si>
    <r>
      <t>DBO</t>
    </r>
    <r>
      <rPr>
        <b/>
        <vertAlign val="subscript"/>
        <sz val="8"/>
        <color indexed="8"/>
        <rFont val="Arial Narrow"/>
        <family val="2"/>
      </rPr>
      <t xml:space="preserve">5 </t>
    </r>
    <r>
      <rPr>
        <b/>
        <sz val="8"/>
        <color indexed="8"/>
        <rFont val="Arial Narrow"/>
        <family val="2"/>
      </rPr>
      <t>(mg/L)</t>
    </r>
  </si>
  <si>
    <r>
      <t>Carga DBO</t>
    </r>
    <r>
      <rPr>
        <b/>
        <vertAlign val="subscript"/>
        <sz val="8"/>
        <color indexed="8"/>
        <rFont val="Arial Narrow"/>
        <family val="2"/>
      </rPr>
      <t>5</t>
    </r>
    <r>
      <rPr>
        <b/>
        <sz val="8"/>
        <color indexed="8"/>
        <rFont val="Arial Narrow"/>
        <family val="2"/>
      </rPr>
      <t xml:space="preserve"> (Kg/día)</t>
    </r>
  </si>
  <si>
    <r>
      <t>Carga DBO</t>
    </r>
    <r>
      <rPr>
        <b/>
        <vertAlign val="subscript"/>
        <sz val="8"/>
        <color indexed="8"/>
        <rFont val="Arial Narrow"/>
        <family val="2"/>
      </rPr>
      <t>5</t>
    </r>
    <r>
      <rPr>
        <b/>
        <sz val="8"/>
        <color indexed="8"/>
        <rFont val="Arial Narrow"/>
        <family val="2"/>
      </rPr>
      <t xml:space="preserve"> (Kg/año)</t>
    </r>
  </si>
  <si>
    <t>KR 67 180 15</t>
  </si>
  <si>
    <t>AC 183 67 77</t>
  </si>
  <si>
    <t>AK 72 170 97</t>
  </si>
  <si>
    <t>KR 76 173 30</t>
  </si>
  <si>
    <t xml:space="preserve">  04°45'48.00"N</t>
  </si>
  <si>
    <t>Canal en tierra (Vallado)</t>
  </si>
  <si>
    <t>SUPERBODEGA MAICAO PH.</t>
  </si>
  <si>
    <t>CONJUNTO RESIDENCIAL CAMPANARES P.H</t>
  </si>
  <si>
    <t>AGRUPACIÓN EL ALCAPARRO P.H</t>
  </si>
  <si>
    <t>AGRUPACIÓN DURAZNILLO Y PIMIENTO P.H</t>
  </si>
  <si>
    <t>AGRUPACIÓN EL MOSTAJO P.H</t>
  </si>
  <si>
    <t>SDA-05-2010-1113</t>
  </si>
  <si>
    <t>AGRUPACIÓN EL MANGLE P.H</t>
  </si>
  <si>
    <t>SDA-05-10-2033</t>
  </si>
  <si>
    <t>ARND</t>
  </si>
  <si>
    <t>SDA-05-2010-2032</t>
  </si>
  <si>
    <t>SDA-05-2011-2256</t>
  </si>
  <si>
    <t>CONJUNTO RESIDENCIAL PALO BLANCO PH</t>
  </si>
  <si>
    <t>SDA-05-2012-286</t>
  </si>
  <si>
    <t>AGRUPACIÓN LOS CANELOS P.H</t>
  </si>
  <si>
    <t>SDA-05-2011-1534</t>
  </si>
  <si>
    <t>SDA-05-2011-1532</t>
  </si>
  <si>
    <t>SDA-05-2011-1530</t>
  </si>
  <si>
    <t>SDA-05-2011-1765</t>
  </si>
  <si>
    <t>CONDOMINIO LA MIMOSA P.H</t>
  </si>
  <si>
    <t>SDA-05-2011-1535</t>
  </si>
  <si>
    <t>AGRUPACIÓN MACANA P.H</t>
  </si>
  <si>
    <t>UNIDAD RESIDENCIAL LAS ACACIAS P.H</t>
  </si>
  <si>
    <t>AGRUPACIÓN EL MANDARINO P.H</t>
  </si>
  <si>
    <t>AGRUPACIÓN EL ALMENDRO P.H</t>
  </si>
  <si>
    <t>CONGREGACIÓN DE LOS CLERIGOS DE SAN VIATOR - COLEGIO SAN VIATOR</t>
  </si>
  <si>
    <t>SDA-05-2009-3337</t>
  </si>
  <si>
    <t>CENTRO COMERCIAL BIMA P.H.</t>
  </si>
  <si>
    <t>GIMNASIO CRISTIANO ADONAI</t>
  </si>
  <si>
    <t>JARDINES DEL RECUERDO - PARQUES Y FUNERARIAS S.A.S</t>
  </si>
  <si>
    <t>CLUB CAMPESTRE CAFAM</t>
  </si>
  <si>
    <t>SDA-05-2008-1613</t>
  </si>
  <si>
    <t>CORPORACIÓN CLUB CAMPESTRE GUAYMARAL</t>
  </si>
  <si>
    <t>SDA-05-2012-1279</t>
  </si>
  <si>
    <t>MULTIPARQUE CREATIVO S.A</t>
  </si>
  <si>
    <t>SDA-05-2013-59</t>
  </si>
  <si>
    <t>CONJUNTO RESIDENCIAL EL CARRIZO</t>
  </si>
  <si>
    <t>SDA-05-2011-2257</t>
  </si>
  <si>
    <t>SDA-05-2013-2230</t>
  </si>
  <si>
    <t>COLOMBIANA DE COMERCIO S.A, CORBETA S.A, FOTON</t>
  </si>
  <si>
    <t>SDA-05-2010-1535</t>
  </si>
  <si>
    <t>AGRUPACIÓN MACAGUA P.H</t>
  </si>
  <si>
    <t>SDA-05-2012-2257</t>
  </si>
  <si>
    <t>SOCIEDAD EDUCACIONAL ANDINA S.A.
GIMNASIO LOS ANDES.</t>
  </si>
  <si>
    <t>Intremitente</t>
  </si>
  <si>
    <t>ASOCIACIÓN EDUCANDO CON CRISTO
COLEGIO EL CAMINO ACADEMY</t>
  </si>
  <si>
    <t>SDA-05-2015-6465</t>
  </si>
  <si>
    <t xml:space="preserve">AK 104 235 B 35 </t>
  </si>
  <si>
    <t>KR 72 236 51</t>
  </si>
  <si>
    <t>DG 237 105 40</t>
  </si>
  <si>
    <t>AK 45 197 75</t>
  </si>
  <si>
    <t>KR 68 180 25</t>
  </si>
  <si>
    <t>KR 77 239 45</t>
  </si>
  <si>
    <t>CL 238 55 65</t>
  </si>
  <si>
    <t>CL 238 77 80</t>
  </si>
  <si>
    <t>CL 194 45 51</t>
  </si>
  <si>
    <t xml:space="preserve">  04°46'21.40"N</t>
  </si>
  <si>
    <t xml:space="preserve">  04°46'20.20"N</t>
  </si>
  <si>
    <t xml:space="preserve">  04°46'19.81"N</t>
  </si>
  <si>
    <t>CL 238 55 39</t>
  </si>
  <si>
    <t>CL 238 55 50</t>
  </si>
  <si>
    <t>CL 241 52 81</t>
  </si>
  <si>
    <t>KR 77 236 40</t>
  </si>
  <si>
    <t>KR 52 237 93</t>
  </si>
  <si>
    <t>KR 77 236 80</t>
  </si>
  <si>
    <t>KR 61 236 A 81</t>
  </si>
  <si>
    <t>KR 77 236 36</t>
  </si>
  <si>
    <t>KR 77 235 45</t>
  </si>
  <si>
    <t>KR 52 237 50</t>
  </si>
  <si>
    <t>CL 238 61 85</t>
  </si>
  <si>
    <t>AK 45 209 51</t>
  </si>
  <si>
    <t>KR 78 179 65</t>
  </si>
  <si>
    <t xml:space="preserve">  04°46'05.90"N</t>
  </si>
  <si>
    <t>AK 45 232 35</t>
  </si>
  <si>
    <t>KR 72 181 85</t>
  </si>
  <si>
    <t>04°46'07,9''N</t>
  </si>
  <si>
    <t>Autopista Norte 207 41</t>
  </si>
  <si>
    <t>CL 239 A 72 99</t>
  </si>
  <si>
    <t>KR 47 237 80</t>
  </si>
  <si>
    <t>KR 77 238 40</t>
  </si>
  <si>
    <t xml:space="preserve">AC 209 45 80  </t>
  </si>
  <si>
    <t>CL 221 52 30</t>
  </si>
  <si>
    <t xml:space="preserve">CL 182 76 91 </t>
  </si>
  <si>
    <t>Canal en tierra (Vallado KR 68- SJB)</t>
  </si>
  <si>
    <t>Canal en tierra
(Vallado KR 78 - SJB)</t>
  </si>
  <si>
    <t>Canal paralelo Autopista Norte costado occidental</t>
  </si>
  <si>
    <t>KR 51 215 20</t>
  </si>
  <si>
    <t>KR 80 172 A 35</t>
  </si>
  <si>
    <t>CLUB CAMPESTRE EL RANCHO</t>
  </si>
  <si>
    <t>AUTONIZA S.A</t>
  </si>
  <si>
    <t>SDA-05-2013-111</t>
  </si>
  <si>
    <t>04°45'41''N</t>
  </si>
  <si>
    <t>FUNDACIÓN INSTITUTO ALBERTO MERANI</t>
  </si>
  <si>
    <t xml:space="preserve"> BAVARIA S,A, - SEDE SOCIAL Y DEPORTIVA NIMAJAY</t>
  </si>
  <si>
    <t>SDA-05-2016-1827</t>
  </si>
  <si>
    <t>GIMNASIO SAN ÁNGELO</t>
  </si>
  <si>
    <t>SDA-05-2009-675</t>
  </si>
  <si>
    <t>CL 194 45 20</t>
  </si>
  <si>
    <t>AC 170 69 80
Dirección de correspondencia: TV 60 115 56</t>
  </si>
  <si>
    <t>Dirección de correspondencia: KR 53 A 127 35, piso 6. 
AK 45 224 70</t>
  </si>
  <si>
    <t>AK 72 236 85</t>
  </si>
  <si>
    <t>CL 223 53 63</t>
  </si>
  <si>
    <t xml:space="preserve">ARND Venta de vehículos. </t>
  </si>
  <si>
    <t>04°48'26,5''N</t>
  </si>
  <si>
    <t>intermitente</t>
  </si>
  <si>
    <t>SDA-05-2009-383</t>
  </si>
  <si>
    <t>SDA-05-2015-8560</t>
  </si>
  <si>
    <t xml:space="preserve">CONJUNTO BRISAS DE SAN JOSÉ </t>
  </si>
  <si>
    <t>Sí</t>
  </si>
  <si>
    <t>03688
 (2017EE263771)</t>
  </si>
  <si>
    <t xml:space="preserve">CASAS BALLI </t>
  </si>
  <si>
    <t>KR 67  180  45</t>
  </si>
  <si>
    <t>SDA-05-2013-2452</t>
  </si>
  <si>
    <t>GROUP OF DESIGN OFICINA DE DISEÑO Y
ARQUITECTURA S.A.S sigla - GROUP OF DESIGN S.A.S
CONJUNTO RESIDENCIAL CASA DE CAMPO</t>
  </si>
  <si>
    <t>SDA-05-2014-1135</t>
  </si>
  <si>
    <t>CONJUNTO RESIDENCIAL PAPYROS P.H</t>
  </si>
  <si>
    <t>SDA-05-2009-2969</t>
  </si>
  <si>
    <t>SDA-05-2017-516</t>
  </si>
  <si>
    <t>CONGREGACIÓN MISIONEROS OBLATOS DE LOS CORAZONES SANTÍSIMOS DE JESÚS Y MARÍA - LICEO MATOVELLE</t>
  </si>
  <si>
    <t>SDA-05-2008-3648</t>
  </si>
  <si>
    <t>Quebrada Novita</t>
  </si>
  <si>
    <t>MOTO MART S.A.</t>
  </si>
  <si>
    <t>ORDEN DE LA COMPAÑÍA DE MARÍA NUESTRA SEÑORA - COLEGIO DE LA ENSEÑANZA</t>
  </si>
  <si>
    <t>CONJUNTO RESIDENCIAL EUCALIPTOS</t>
  </si>
  <si>
    <t>CONJUNTO RESIDENCIAL TAMAUCA</t>
  </si>
  <si>
    <t>SDA-08-2015-1633</t>
  </si>
  <si>
    <t>Quebrada Curí</t>
  </si>
  <si>
    <t>Tunjuelo</t>
  </si>
  <si>
    <t>LADRILLERA HELIOS S.A</t>
  </si>
  <si>
    <t>SDA-05-2008-960</t>
  </si>
  <si>
    <t>ARND - PV1</t>
  </si>
  <si>
    <t>Quebrada Santa Librada</t>
  </si>
  <si>
    <t>ARND - PV2</t>
  </si>
  <si>
    <t>Quebrada Palestina</t>
  </si>
  <si>
    <t>ARND - PV4</t>
  </si>
  <si>
    <t>ARND - PV5</t>
  </si>
  <si>
    <t>Quebrada Duitama</t>
  </si>
  <si>
    <t>ARND - PV6</t>
  </si>
  <si>
    <t>ARND - PV7</t>
  </si>
  <si>
    <t>LADRILLERAS YOMASA S.A.</t>
  </si>
  <si>
    <t>ARND -PV1</t>
  </si>
  <si>
    <t>ARND - PV3</t>
  </si>
  <si>
    <t>LADRILLERA ZIGURAT S.A.S</t>
  </si>
  <si>
    <t>LADRILLERA PRISMA S.A.S</t>
  </si>
  <si>
    <t>UAESP - RELLENO SANITARIO DOÑA JUANA</t>
  </si>
  <si>
    <t>Continuo</t>
  </si>
  <si>
    <t>Efluente PTAR</t>
  </si>
  <si>
    <t>Quebrada Botelo</t>
  </si>
  <si>
    <t>PTAR MOCHUELO</t>
  </si>
  <si>
    <t>INVERSIONES MONTESACRO. SEDE PARQUE SERAFIN</t>
  </si>
  <si>
    <t>SDA 05-2007-1508
 SDA-05-2007-1524</t>
  </si>
  <si>
    <t xml:space="preserve">CONJUNTO RESIDENCIAL DE NAVARRA </t>
  </si>
  <si>
    <t>KR 78 173 50</t>
  </si>
  <si>
    <t>CL 180 65  80</t>
  </si>
  <si>
    <t>KR 65 180 50</t>
  </si>
  <si>
    <t>KR 65 180 20</t>
  </si>
  <si>
    <t>CL 175 67 89 
CHIP AAA0122EWPA</t>
  </si>
  <si>
    <t>KR 65 175 65</t>
  </si>
  <si>
    <t>KR 105 238 55</t>
  </si>
  <si>
    <t>KR 65 170 45</t>
  </si>
  <si>
    <t>AK 45 242 34</t>
  </si>
  <si>
    <t>AC 201 67 12</t>
  </si>
  <si>
    <t>CL 173 76 85</t>
  </si>
  <si>
    <t>KR 78 181 40</t>
  </si>
  <si>
    <t>AK 104 235 58</t>
  </si>
  <si>
    <t>KR 18 B 91 B Sur 
KR 73 59 12 Sur. Dir. Alcaldía</t>
  </si>
  <si>
    <t>AC 71 Sur 4 09</t>
  </si>
  <si>
    <t>SDA-08-2015-6599</t>
  </si>
  <si>
    <t>CONJUNTO RESIDENCIAL ALTOS DE GUADALQUIVIR P.H</t>
  </si>
  <si>
    <t>KR 80 175 35</t>
  </si>
  <si>
    <t>CL 215 50 60</t>
  </si>
  <si>
    <t>04°45'43,68766"N</t>
  </si>
  <si>
    <t>CONJUNTO CAMPESTRE BUGAMBILLES P.H.</t>
  </si>
  <si>
    <t>ARD (Agua residual no doméstica preescolar)</t>
  </si>
  <si>
    <t>ARD (Agua residual no doméstica bachillerato)</t>
  </si>
  <si>
    <t>CORPORACIÓN LICEO DE LA SABANA LTDA</t>
  </si>
  <si>
    <t>KR 65 170 65</t>
  </si>
  <si>
    <t>CONJUNTO RESIDENCIAL PALO ALTO P.H</t>
  </si>
  <si>
    <t>SDA-05-2015-8712</t>
  </si>
  <si>
    <t>CONJUNTO RESIDENCIAL LA PRADERA P.H</t>
  </si>
  <si>
    <t>CL 175 70 14</t>
  </si>
  <si>
    <t>SDA-05-2017-1612</t>
  </si>
  <si>
    <t>CONJUNTO RESIDENCIAL SAN FELIPE</t>
  </si>
  <si>
    <t>KR 68 180 90</t>
  </si>
  <si>
    <t>SDA-08-2015-6392</t>
  </si>
  <si>
    <t>KR 78 175 90</t>
  </si>
  <si>
    <t>SDA-08-2015-8289</t>
  </si>
  <si>
    <t>CONJUNTO RESIDENCIAL TERRAZAS DE SAN JOSÉ I</t>
  </si>
  <si>
    <t>CONJUNTO RESIDENCIAL TERRAZAS DE SAN JOSÉ II</t>
  </si>
  <si>
    <t>CONJUNTO RESIDENCIAL ALGECIRAS P.H</t>
  </si>
  <si>
    <t>CL 175 78 45</t>
  </si>
  <si>
    <t>SDA-05-2017-1063</t>
  </si>
  <si>
    <t>AGRUPACIÓN LOS FRESNOS</t>
  </si>
  <si>
    <t>KR 70 180 35</t>
  </si>
  <si>
    <t>SDA-08-2015-6348</t>
  </si>
  <si>
    <t>KR 80 172A 90</t>
  </si>
  <si>
    <t>SDA-05-2005-575</t>
  </si>
  <si>
    <t>OBISPADO CASTRENSE DE COLOMBIA</t>
  </si>
  <si>
    <t>KR 80 170 25</t>
  </si>
  <si>
    <t>CONJUNTO RESIDENCIAL QUINTAS DE BAVIERA</t>
  </si>
  <si>
    <t>AK 78 179 20</t>
  </si>
  <si>
    <t>METROKIA S.A (SEDE CL 224)</t>
  </si>
  <si>
    <t>Canal en tierra
(CL 224)</t>
  </si>
  <si>
    <t>CL 224 9 60</t>
  </si>
  <si>
    <t>SDA-05-2011-1616</t>
  </si>
  <si>
    <t>30/12/2016
23/02/2018</t>
  </si>
  <si>
    <t>6/03/2017
Noreporta</t>
  </si>
  <si>
    <t>Quebrada la Floresta</t>
  </si>
  <si>
    <t>Río Principal Asociado</t>
  </si>
  <si>
    <t>SDA-05-2017-1762</t>
  </si>
  <si>
    <t>SDA-05-2015-8595</t>
  </si>
  <si>
    <t>SDA-05-2017-682</t>
  </si>
  <si>
    <t>SDA-05-2015-5351</t>
  </si>
  <si>
    <t>SDA-08-2015-7615</t>
  </si>
  <si>
    <t>SDA-05-2017-29</t>
  </si>
  <si>
    <t>SDA-08-2017-1655</t>
  </si>
  <si>
    <t>SDA-05-2010-2966</t>
  </si>
  <si>
    <t>23/06/2017
21/03/2018</t>
  </si>
  <si>
    <t>01932
(2018EE146747 del 25/06/2018)</t>
  </si>
  <si>
    <t>SDA-05-2016-1227</t>
  </si>
  <si>
    <t>CORPORACIÓN BOGOTÁ TENIS CLUB</t>
  </si>
  <si>
    <t>MOTORES Y MAQUINAS S.A. -MOTORYSA</t>
  </si>
  <si>
    <t>SDA-05-2017-438</t>
  </si>
  <si>
    <t>KR 68 180 30</t>
  </si>
  <si>
    <t>KR 72 238 44</t>
  </si>
  <si>
    <t>KR 72 236 35</t>
  </si>
  <si>
    <t>KR 77 238 14</t>
  </si>
  <si>
    <t>KR 77 238 50</t>
  </si>
  <si>
    <t>AK 45 (Autopista Norte) 245 01</t>
  </si>
  <si>
    <t>AK 45 224 60 Costado Oriental</t>
  </si>
  <si>
    <t>AK 45 (Autopista Norte) 244 95  KM 17 (Costado Occidental)</t>
  </si>
  <si>
    <t>CL 11 31 A 42
(Dirección de correspondencia)
AK 45 (Autopista Norte) 242 10</t>
  </si>
  <si>
    <t>04°47'30.05"N</t>
  </si>
  <si>
    <t>04°45´47.83” N</t>
  </si>
  <si>
    <t>04°45'40.44"N</t>
  </si>
  <si>
    <t>04°45'53,116"N</t>
  </si>
  <si>
    <t>04°31'06.086"N</t>
  </si>
  <si>
    <t>04°31'09.770"N</t>
  </si>
  <si>
    <t>04°31'36.620"N</t>
  </si>
  <si>
    <t>04°31'29.745"N</t>
  </si>
  <si>
    <t>04°31'30.742"N</t>
  </si>
  <si>
    <t>04°30'54.07"N</t>
  </si>
  <si>
    <t>04°30'57.79"N</t>
  </si>
  <si>
    <t>04°30'59.84"N</t>
  </si>
  <si>
    <t>04°31'05.67"N</t>
  </si>
  <si>
    <t>04°31'29,71"N</t>
  </si>
  <si>
    <t>04°31'29,7"N</t>
  </si>
  <si>
    <t>04°31'30,1"N</t>
  </si>
  <si>
    <t>04°31'59.21"N</t>
  </si>
  <si>
    <t xml:space="preserve">CL 175 72 95 </t>
  </si>
  <si>
    <t>CL 175 70 75</t>
  </si>
  <si>
    <t xml:space="preserve">  04°46'04.08"N</t>
  </si>
  <si>
    <t>04°45'46.50"N</t>
  </si>
  <si>
    <t xml:space="preserve">  04°46'05.92"N</t>
  </si>
  <si>
    <t>DG 72 Sur 8 C 06
Av. Carrera 15 No 122 – 39 Torre 1 Oficina 705.  Calle 95 No.11-51. Oficina 404 (Dirección de Notificación)</t>
  </si>
  <si>
    <t>DG 78 B Sur 2 89 Este
Av. Carrera 15 No 122 – 39 Torre 1 Oficina 705 - Calle 95 No.11-51. Oficina 404 (Dirección de Notificación)</t>
  </si>
  <si>
    <t>TV 4 69 G 02 Sur (Planta industrial)
CL 69 G SUR 6 A 07
CL 121 6 46 Oficina 236 (Dir Correspondencia)</t>
  </si>
  <si>
    <t>DG 69 A Sur 1 G Este 24 (Km 10 vía Usme)
CL 121 No 6 – 46 Oficina 236 (Dir Correspondencia)</t>
  </si>
  <si>
    <t>Av Caracas 53-80, 
KR 13 61 15 (Dirección de correspondencia)</t>
  </si>
  <si>
    <t xml:space="preserve">SDA-05-2015-1960
</t>
  </si>
  <si>
    <t>SDA-05-2017-1657</t>
  </si>
  <si>
    <t>KR 78 175 60</t>
  </si>
  <si>
    <t>AK 104 235 51</t>
  </si>
  <si>
    <t>AK 104 235 B 20</t>
  </si>
  <si>
    <t>KR 52 238 60</t>
  </si>
  <si>
    <t>AK 72 238 51</t>
  </si>
  <si>
    <t>SDA-05-2017-271</t>
  </si>
  <si>
    <t>KR 77 236 81</t>
  </si>
  <si>
    <t>AGRUPACIÓN LA TAGUA DE SAN SIMÓN P.H</t>
  </si>
  <si>
    <t>AGRUPACIÓN LAS FUCSIAS DE SAN SIMÓN P.H</t>
  </si>
  <si>
    <t>CENTRO DE REHABILITACIÓN M Y A</t>
  </si>
  <si>
    <t>AK 72 181 76</t>
  </si>
  <si>
    <t>KR 67 180 88</t>
  </si>
  <si>
    <t>04°45'53.180"N</t>
  </si>
  <si>
    <t>CONJUNTO RESIDENCIAL ZARZAMORA</t>
  </si>
  <si>
    <t>CL 172 A 78 20</t>
  </si>
  <si>
    <t>HOGAR DEL NIÑO ANA DE BRIGARD DE MIER
FUNDACIÓN HOGAR SAN MAURICIO</t>
  </si>
  <si>
    <t>CONJUNTO RESIDENCIAL EL EDEN</t>
  </si>
  <si>
    <t>CL 173 76 50</t>
  </si>
  <si>
    <t>CONJUNTO RESIDENCIAL LOS SAUCOS</t>
  </si>
  <si>
    <t>04°46'1.5802"N</t>
  </si>
  <si>
    <t>KR 76 179 50</t>
  </si>
  <si>
    <t>SDA-05-2014-2113</t>
  </si>
  <si>
    <t>COMUNIDAD DE HERMANAS DE BETHANIA CONSOLADORAS DE LA VIRGEN DE LA DOLOROSA
COLEGIO STELLA MATUTINA SEDE 1</t>
  </si>
  <si>
    <t>SDA-08-2015-6858</t>
  </si>
  <si>
    <t>SDA-08-2015-8709</t>
  </si>
  <si>
    <t>CONJUNTO RESIDENCIAL LOS NOGALES DE SAN SIMÓN P.H</t>
  </si>
  <si>
    <t>CONJUNTO RESIDENCIAL EL CEDRO P.H</t>
  </si>
  <si>
    <t>AGRUPACIÓN RESIDENCIAL EL ROBLE DE SAN SIMÓN P.H</t>
  </si>
  <si>
    <t>AGRUPACIÓN EL HIGUERON P.H</t>
  </si>
  <si>
    <t>AGRUPACIÓN RESIDENCIAL EL LAUREL P.H</t>
  </si>
  <si>
    <t>AGRUPACIÓN EL MAGUEY P.H</t>
  </si>
  <si>
    <t>AGRUPACIÓN EL FRAILEJÓN P.H</t>
  </si>
  <si>
    <t>COLEGIO SANTA MARIANA DE JESÚS - HERMANAS MARIANITAS</t>
  </si>
  <si>
    <t>SDA-05-2010-2471</t>
  </si>
  <si>
    <t>SDA-05-2010-329</t>
  </si>
  <si>
    <t>SDA-05-2009-3341</t>
  </si>
  <si>
    <t>AGRUPACIÓN DE LOTES LAS BEGONIAS P.H</t>
  </si>
  <si>
    <t>URBANIZACIÓN EL ROBLE DE SAN SEBASTIÁN P.H</t>
  </si>
  <si>
    <t>CONJUNTO RESIDENCIAL LAS AZALEAS P.H</t>
  </si>
  <si>
    <t>CONJUNTO CAMPESTRE PINOS DE LA ALAMEDA P.H</t>
  </si>
  <si>
    <t>CONJUNTO CAMPESTRE LOS GIRASOLES P.H</t>
  </si>
  <si>
    <t>CONJUNTO CAMPESTRE LAS DALIAS P.H</t>
  </si>
  <si>
    <t>AGRUPACIÓN RESIDENCIAL SAN SEBASTIAN P.H</t>
  </si>
  <si>
    <t>SDA-05-2009-3345</t>
  </si>
  <si>
    <t>SDA-08-2017-1342</t>
  </si>
  <si>
    <t>AGRUPACIÓN RESIDENCIAL LA PLAZOLETA P.H</t>
  </si>
  <si>
    <t>CASA TORO DE LA SABANA S.A.S (ANTES FORD LUMOSA S.A.)</t>
  </si>
  <si>
    <t>SDA-05-2013-1299</t>
  </si>
  <si>
    <t>SDA-05-2018-182</t>
  </si>
  <si>
    <t>CASA TORO S.A</t>
  </si>
  <si>
    <t>CONDOMINIO LOS LAURELES P.H</t>
  </si>
  <si>
    <t>KR 77 236 50</t>
  </si>
  <si>
    <t>CL 241 52 51
Dirección de notificación: Cl 118 No. 6-63. Oficina 201</t>
  </si>
  <si>
    <t xml:space="preserve"> AGRUPACIÓN EL GUAYACAN Y LOS JAZMINES PH</t>
  </si>
  <si>
    <t>CL 215 45 45
Dirección de Correspondencia: AK 68 No.90-88. Edificio Sede Administrativa. Piso 3. Bloque 3. Área de Gestión Ambiental y BPM.</t>
  </si>
  <si>
    <t>04°45'41,851"N</t>
  </si>
  <si>
    <t>Canal en tierra
(Vallado CL 173 - SJB)</t>
  </si>
  <si>
    <t>AK 72 170 51</t>
  </si>
  <si>
    <t>AC 170 72 70
Dirección de correspondencia: AK 72 170 97</t>
  </si>
  <si>
    <t xml:space="preserve">CL 170 72 50
Dirección de correspondencia: CL 224 9 60
</t>
  </si>
  <si>
    <t>EVERGREEN SCHOOL S.A.
(Anterior LICEO CAMBRIDGE S.A)</t>
  </si>
  <si>
    <t xml:space="preserve">CONJUNTO CERRADO SALAMANCA </t>
  </si>
  <si>
    <t>04°31'22,6"N</t>
  </si>
  <si>
    <t>04°31'26,3"N</t>
  </si>
  <si>
    <t>SDA-05-2002-202</t>
  </si>
  <si>
    <t>SDA-05-2002-804</t>
  </si>
  <si>
    <t xml:space="preserve">SDA-05 -2003–2078 </t>
  </si>
  <si>
    <t>SDA-05-1999-70</t>
  </si>
  <si>
    <t>SDA-05-2004-324</t>
  </si>
  <si>
    <t>SDA-05-2006-932</t>
  </si>
  <si>
    <t>SDA-05-2008-2943
SDA-05-2007-2407</t>
  </si>
  <si>
    <t>SDA-05-2011-1531</t>
  </si>
  <si>
    <t>SDA-05-2011-1766</t>
  </si>
  <si>
    <t xml:space="preserve">SDA-05-2007-1456 </t>
  </si>
  <si>
    <t>SDA-05-2005-1885</t>
  </si>
  <si>
    <t>SDA-05-2015-6915</t>
  </si>
  <si>
    <t>SDA-05-2017-1007</t>
  </si>
  <si>
    <t>SDA-05-2004-1774</t>
  </si>
  <si>
    <t>SDA-05-2007-1920</t>
  </si>
  <si>
    <t>SDA-05-2017-43</t>
  </si>
  <si>
    <t>SDA-05-2017-1066</t>
  </si>
  <si>
    <t>SDA–05–2001-591</t>
  </si>
  <si>
    <t>SDA-05-2006-2199</t>
  </si>
  <si>
    <t>SDA-05-2010-413</t>
  </si>
  <si>
    <t>SDA-05-2011-2149</t>
  </si>
  <si>
    <t>SDA-05-2011-1533</t>
  </si>
  <si>
    <t>SDA-05-2011-2449</t>
  </si>
  <si>
    <t>SDA-05-2012-1464</t>
  </si>
  <si>
    <t>SDA-05-2003-213</t>
  </si>
  <si>
    <t>SDA-05-2006-2591</t>
  </si>
  <si>
    <t>SDA-05-2006-370</t>
  </si>
  <si>
    <t>SDA 05-2003-1814</t>
  </si>
  <si>
    <t>SDA-05-2009-986</t>
  </si>
  <si>
    <t>SDA-05-2006-2492</t>
  </si>
  <si>
    <t>SDA-05-2011-2562</t>
  </si>
  <si>
    <t>SDA-08-2006-1190
SDA-06-2000-457</t>
  </si>
  <si>
    <t>SDA-05-2007-665</t>
  </si>
  <si>
    <t>SDA-05-2010-38</t>
  </si>
  <si>
    <t>2404
(2017EE184257)</t>
  </si>
  <si>
    <t>1065
(2018EE83766)</t>
  </si>
  <si>
    <t>932
(2017EE87313)</t>
  </si>
  <si>
    <t>1057
(2018EE83088)</t>
  </si>
  <si>
    <t>2018EE273072 </t>
  </si>
  <si>
    <t>2555
(2017EE187815)</t>
  </si>
  <si>
    <t>3351
(2017EE237795)</t>
  </si>
  <si>
    <t>2573
(2017EE188374)</t>
  </si>
  <si>
    <t>SÍ</t>
  </si>
  <si>
    <t>SDA-05-2005-1736</t>
  </si>
  <si>
    <t>2126 
(2017EE168070)</t>
  </si>
  <si>
    <t>3343
(2017EE237745)</t>
  </si>
  <si>
    <t>26/12/2017</t>
  </si>
  <si>
    <t xml:space="preserve">2020EE155166 </t>
  </si>
  <si>
    <t>1082
(2020EE90627 del 30/05/2020)</t>
  </si>
  <si>
    <t>02441
(2017EE185899 del 22/09/2017)</t>
  </si>
  <si>
    <t>--</t>
  </si>
  <si>
    <t>Resultado PMAE Fase XV. Radicado SDA No. 2020ER26338 del 5/02/2020. Muestra 0305AN01. Fecha de monitoreo: 3/05/2020. Hora: 09:15 - 11:15</t>
  </si>
  <si>
    <t>Resultado PMAE Fase XV. Radicado 2020ER26338 del 5/02/2020. Muestra 0305AN03. Fecha de monitoreo: 3/05/2020. Hora: 10:25 - 12:25</t>
  </si>
  <si>
    <t>AGRUPACIÓN MIMBRE PH</t>
  </si>
  <si>
    <t>CL 236 72 51</t>
  </si>
  <si>
    <t>DM-05-2012-1472</t>
  </si>
  <si>
    <t xml:space="preserve">CONJUNTO RESIDENCIAL URAPANES DE BAVARIA - P.H </t>
  </si>
  <si>
    <t xml:space="preserve">KR 68 175 80 </t>
  </si>
  <si>
    <t>00898
( 2020EE72646)</t>
  </si>
  <si>
    <t>CONJUNTO RESIDENCIAL PORTALES DE SAN JOSÉ I</t>
  </si>
  <si>
    <t xml:space="preserve">KR 76 175 25 </t>
  </si>
  <si>
    <t>Autodeclaración de vertimientos Radicado SDA No. 2020ER03160 09/01/2020. Fecha de monitoreo: 3/10/2019. Por el  Laboratorio MCS Consultoría y Monitoreo Ambiental S.A.S. (caracterización del vertimiento)</t>
  </si>
  <si>
    <t>Con radicado SDA No. 2020ER10031 del 17/01/2019 el usuario informa que presentó su autodeclaración de vertimientos con radicado SDA No. 2019ER93842 del 30/04/2020, fecha de monitoreo: 04/02/2020, hora: 07:00 - 15:00, Laboractorio MCS Consultoría y Monitoreo Ambiental S.A.S..</t>
  </si>
  <si>
    <t>ARD (Agua residual no doméstica primaria)</t>
  </si>
  <si>
    <t>No presentó autodeclaración de vertimientos. Se toma el dato del PMAE Fase XIV. Radicado SDA No. 2020ER115112 del 13/07/2020 Muestra No. 2310WI01, fecha de monitoreo: 23/10/2019, Hora: 9:30-10:30</t>
  </si>
  <si>
    <t>04°45'41.58"N</t>
  </si>
  <si>
    <t>3607 
(2019EE291694)</t>
  </si>
  <si>
    <t>3581
 (2019EE287885)</t>
  </si>
  <si>
    <t>KR 105 237 A 61</t>
  </si>
  <si>
    <t>SDA-05-2018-1299</t>
  </si>
  <si>
    <t>SDA-05-2016-1250</t>
  </si>
  <si>
    <t>1760
(2017EE148361)</t>
  </si>
  <si>
    <t>AGRUPACIÓN CONJUNTO RESIDENCIAL PASEO DE LOS CEREZOS</t>
  </si>
  <si>
    <t>CONJUNTO RESIDENCIAL CERROS DE SAN JOSÉ PH</t>
  </si>
  <si>
    <t>SDA-08-2015-7687</t>
  </si>
  <si>
    <t>CONJUNTO RESIDENCIAL QUINTAS DE SAN JOSÉ III</t>
  </si>
  <si>
    <t>SDA-05-2010-2129</t>
  </si>
  <si>
    <t>KR 75 181 20</t>
  </si>
  <si>
    <t>FLOTA ZIPA LTDA (Antes CASA PIEDRA DEL SOL)</t>
  </si>
  <si>
    <t>832
(2017EE75323)</t>
  </si>
  <si>
    <t>22/06/20222</t>
  </si>
  <si>
    <t>1759
(2017EE148359)</t>
  </si>
  <si>
    <t>549
(2018EE43811)</t>
  </si>
  <si>
    <t>327
( 2016EE57549)</t>
  </si>
  <si>
    <t>270
(2017EE26186)</t>
  </si>
  <si>
    <t>JARDÍN INFANTIL LA CASA DE COLORES(Antes CONJUNTO RESIDENCIAL NARANJUNI)</t>
  </si>
  <si>
    <t>SDA-05-2017-1636</t>
  </si>
  <si>
    <t>SDA-05-2020-649</t>
  </si>
  <si>
    <t>925
(2014EE050532)</t>
  </si>
  <si>
    <t xml:space="preserve">02679
(2018EE199820) </t>
  </si>
  <si>
    <t>312
(2020EE24966)</t>
  </si>
  <si>
    <t>02439
(2018EE181559)</t>
  </si>
  <si>
    <t>3663 
(2019EE293356)</t>
  </si>
  <si>
    <t>Canal en tierra y Suelo</t>
  </si>
  <si>
    <t xml:space="preserve">Canal en tierra y suelo
</t>
  </si>
  <si>
    <t>SDA-05-2020-708</t>
  </si>
  <si>
    <t>17/02/2017
29/06/2018</t>
  </si>
  <si>
    <t xml:space="preserve">Canal en tierra
</t>
  </si>
  <si>
    <t xml:space="preserve">867
(2020EE68939) </t>
  </si>
  <si>
    <t>1073
(2018EE84813)</t>
  </si>
  <si>
    <t>3605
(2019EE291683)</t>
  </si>
  <si>
    <t>16/12/2019</t>
  </si>
  <si>
    <t>19/04/2018</t>
  </si>
  <si>
    <t>26/04/2018</t>
  </si>
  <si>
    <t>15/05/2018</t>
  </si>
  <si>
    <t>23/08/2018</t>
  </si>
  <si>
    <t>01062
(2018EE83660)</t>
  </si>
  <si>
    <t>3694
(2017EE263815)</t>
  </si>
  <si>
    <t>22/02/2018</t>
  </si>
  <si>
    <t>09/03/2018</t>
  </si>
  <si>
    <t>3679
(2017EE263490)</t>
  </si>
  <si>
    <t>0859
(2020EE68292)</t>
  </si>
  <si>
    <t>08/07/2020</t>
  </si>
  <si>
    <t>20/09/2017</t>
  </si>
  <si>
    <t>03/01/2018</t>
  </si>
  <si>
    <t>19/01/2018</t>
  </si>
  <si>
    <t>14/09/2011</t>
  </si>
  <si>
    <t>13/02/2020</t>
  </si>
  <si>
    <t>Notificación</t>
  </si>
  <si>
    <t>Ejecutoria</t>
  </si>
  <si>
    <t>473
(2020EE31310)</t>
  </si>
  <si>
    <t>19/02/2020</t>
  </si>
  <si>
    <t>481
(2020EE32003)</t>
  </si>
  <si>
    <t>01401
(2017EE116968)
00780
(2018EE58054)</t>
  </si>
  <si>
    <t>934
(2019EE103496)</t>
  </si>
  <si>
    <t>13/05/2019</t>
  </si>
  <si>
    <t>15/08/2019</t>
  </si>
  <si>
    <t>02/09/2019</t>
  </si>
  <si>
    <t>01/09/2024</t>
  </si>
  <si>
    <t>1056
(2018EE82987)</t>
  </si>
  <si>
    <t>428
(2016EE68492)</t>
  </si>
  <si>
    <t>03657
 (2018EE272344)</t>
  </si>
  <si>
    <t xml:space="preserve">733
(2018EE54862) </t>
  </si>
  <si>
    <t>1614
(2016EE190286)</t>
  </si>
  <si>
    <t>Canal en tierra CL 182</t>
  </si>
  <si>
    <t>Río Torca</t>
  </si>
  <si>
    <t xml:space="preserve">  COLEGIO LAUSANA</t>
  </si>
  <si>
    <t>CL 182 76 50</t>
  </si>
  <si>
    <t xml:space="preserve"> KR 78 170 25</t>
  </si>
  <si>
    <t>CL 182 76 10</t>
  </si>
  <si>
    <t>AK 72 180 60</t>
  </si>
  <si>
    <t>SAKTI S.A.</t>
  </si>
  <si>
    <t>AK 76 181 85</t>
  </si>
  <si>
    <t>JARDIN INFANTIL ECOKIDS S.A.S</t>
  </si>
  <si>
    <t>AK 72 175 75</t>
  </si>
  <si>
    <t xml:space="preserve">CONJUNTO LOS TULIPANES </t>
  </si>
  <si>
    <t>CL 174 76 95</t>
  </si>
  <si>
    <t>CONJUNTO RESIDENCIAL GUATAPURI</t>
  </si>
  <si>
    <t>GIMNASIO YACARD</t>
  </si>
  <si>
    <t>KR 65 170 85</t>
  </si>
  <si>
    <t>KR 67 180 75</t>
  </si>
  <si>
    <t>AGRUPACION RESIDENCIAL LA ABADIA</t>
  </si>
  <si>
    <t>AK 72 173 21</t>
  </si>
  <si>
    <t>AGRUPACION RESIDENCIAL LAS HACIENDAS</t>
  </si>
  <si>
    <t xml:space="preserve">CL 180 68 35 </t>
  </si>
  <si>
    <t>CL 179 76 60</t>
  </si>
  <si>
    <t>CONJUNTO RESIDENCIAL LOS SAUCES P.H.</t>
  </si>
  <si>
    <t>KR 76 174 09</t>
  </si>
  <si>
    <t>AV KR 72 175 65</t>
  </si>
  <si>
    <t>CONJUNTO BELLOTAS</t>
  </si>
  <si>
    <t>CONJUNTO RESIDENCIAL CALINAR</t>
  </si>
  <si>
    <t>COLEGIO SANTIAGO MAYOR S.A.S.</t>
  </si>
  <si>
    <t>AK 72 175 35</t>
  </si>
  <si>
    <t>CONJUNTO RESIDENCIAL LA ALBORADA</t>
  </si>
  <si>
    <t>CONJUNTO RESIDENCIAL VILLAS DE DUBAI</t>
  </si>
  <si>
    <t>CONJUNTO RESIDENCIAL LADRILLEROS</t>
  </si>
  <si>
    <t>GIMNASIO TOSCANA S.A.S.</t>
  </si>
  <si>
    <t>AK 72 181 70</t>
  </si>
  <si>
    <t>AK 45 224 80</t>
  </si>
  <si>
    <t>CONJUNTO RESIDENCIAL ENTRE PINOS II</t>
  </si>
  <si>
    <t>CONJUNTO RESIDENCIAL MIRAVELLE VISU</t>
  </si>
  <si>
    <t>CONJUNTO RESIDENCIAL BARUK</t>
  </si>
  <si>
    <t>CL 175 78 80
CL 175 78 94</t>
  </si>
  <si>
    <t>AGRUPACIÓN SOTAVENTO P.H</t>
  </si>
  <si>
    <t>CONJUNTO RESIDENCIAL HORISOL</t>
  </si>
  <si>
    <t>CONJUNTO RESIDENCIAL SIERRA MAONTE 1</t>
  </si>
  <si>
    <t xml:space="preserve">KR 67 No.170 
</t>
  </si>
  <si>
    <t xml:space="preserve">KR  70 173A 75 </t>
  </si>
  <si>
    <t xml:space="preserve">KR 72 175 55 
</t>
  </si>
  <si>
    <t xml:space="preserve">AK 72 173 60 
</t>
  </si>
  <si>
    <t xml:space="preserve">CL 183 78 25 
</t>
  </si>
  <si>
    <t xml:space="preserve">KR 67 180 55 
</t>
  </si>
  <si>
    <t xml:space="preserve">KR 70 173A 55 </t>
  </si>
  <si>
    <t xml:space="preserve">CL 181  76  50 </t>
  </si>
  <si>
    <t>CL 175 70 40</t>
  </si>
  <si>
    <t>CL 175  68  55</t>
  </si>
  <si>
    <t xml:space="preserve">KR 75 170 75 </t>
  </si>
  <si>
    <t xml:space="preserve">KR 65 180 80 </t>
  </si>
  <si>
    <t xml:space="preserve">KR 78 175 10 </t>
  </si>
  <si>
    <t>SDA-05-2015-134</t>
  </si>
  <si>
    <t xml:space="preserve">
Se estimó la carga con la información del radicado SDA No. 2021ER39102 del 2/03/2021. Fecha de Monitoreo 13/11/2020</t>
  </si>
  <si>
    <t>Se estimó la carga con la información del radicado SDA No. 2020ER226692 del 14/12/2020. Fecha de Monitoreo 20/10/2020</t>
  </si>
  <si>
    <t>Se estimó la carga con la información del radicado SDA No. 2019ER292261 del 16/12/2019. Fecha de Monitoreo 5/11/2019</t>
  </si>
  <si>
    <t>SDA-05-2012-358</t>
  </si>
  <si>
    <t>2346
(2021EE158493)</t>
  </si>
  <si>
    <t>SDA-05-2008-744</t>
  </si>
  <si>
    <t>Se estimó la carga con la información del radicado SDA No. 2020ER118752  del 16/07/2020. Fecha de monitoreo 10/01/2020</t>
  </si>
  <si>
    <t>S estimó la carga con la información del radicado SDA No. 2020ER63378 del 25/03/2020. Fecha de monitoreo 31/01/2020</t>
  </si>
  <si>
    <t>Sin expediente</t>
  </si>
  <si>
    <t>SDA-05-2013-651</t>
  </si>
  <si>
    <t>Se estimó la carga con la información del radicado SDA No. 2020ER197669 del 6/11/2020. Fecha de monitoreo 8/02/2020</t>
  </si>
  <si>
    <t>CORPORACION NUESTRA SEÑORA DE FATIMA - CABALLEROS DE LA VIRGEN</t>
  </si>
  <si>
    <t>Se estimó la carga con la información del radicado SDA No. 2020ER140175 del 19/08/2020. Fecha de monitoreo 13/03/2020</t>
  </si>
  <si>
    <t xml:space="preserve">En el radicado SDA No. 2020ER146854 del 31/08/2020, se informa que la casa 1 y 2 del conjunto cuentan con un vertimiento al vallado, además, la casa 3 y 4 cuentan con un campo de infiltración al suelo. No se evidencia caracterización al punto de vertimietno al vallado,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</si>
  <si>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Canal en tierra y suelo</t>
  </si>
  <si>
    <t>CONJUNTO RESIDENCIAL LA MORADA</t>
  </si>
  <si>
    <t>SDA-05-2004-1796</t>
  </si>
  <si>
    <t>Se estimó la carga con la información del radicado SDA No. 2020ER57632 del 13/03/2020. Fecha de monitoreo 29/11/2019.</t>
  </si>
  <si>
    <t>SDA-05-2020-2004</t>
  </si>
  <si>
    <t>1228 
(2021EE98417)</t>
  </si>
  <si>
    <t>Se estimó la carga con la información del radicado SDA No. 2020ER18428 del 28/01/2020. Fecha de monitoreo 29/11/2019</t>
  </si>
  <si>
    <t>SDA-05-2020-1836</t>
  </si>
  <si>
    <t>Se estimó la carga con la información del radicado SDA No. 2020ER144958 del 27/08/2020 Fecha de monitoreo 18/12/2019</t>
  </si>
  <si>
    <t>Se estimó la carga con la información del radicado SDA No. 2020ER134158 del 10/08/2020 Fecha de monitoreo 26/02/2020</t>
  </si>
  <si>
    <t>SDA-05-2009-310</t>
  </si>
  <si>
    <t>SDA-05-2020-120</t>
  </si>
  <si>
    <t>SDA-05-2020-661</t>
  </si>
  <si>
    <t>1151 
(2021EE90487)</t>
  </si>
  <si>
    <t xml:space="preserve">Se estimó la carga con la información del radicado SDA No. 2018ER217382 del 17/09/2018. Fecha de monitoreo 26/06/2018 </t>
  </si>
  <si>
    <t xml:space="preserve">Se estimó la carga con la información del radicado SDA No. 2019ER204711 del 04/09/2019. Fecha de monitoreo 15/07/2019 </t>
  </si>
  <si>
    <t>SDA-05-2014 2303</t>
  </si>
  <si>
    <t>Se estimó la carga con la información del radicado SDA No. 2020ER167768 del 30/09/2020. Fecha de monitoreo 1/06/2020.</t>
  </si>
  <si>
    <t>Se estimó la carga con la información del radicado SDA No. 2020ER200557 del 10/11/2020. Fecha de monitoreo 21/09/2020.</t>
  </si>
  <si>
    <t>CONJUNTO RESIDENCIAL JAVISALEZ</t>
  </si>
  <si>
    <t>De acuerdo con el radicado SDA No. 2020ER166136 del 28/09/2020, (solicitud de permiso de vertimietnos), el colegio cuenta con una población de 147 personas entre profesores, administrativos y estudiantes.</t>
  </si>
  <si>
    <t>SDA-05-2014-4987</t>
  </si>
  <si>
    <t>SDA-05-2013-2757</t>
  </si>
  <si>
    <t xml:space="preserve">Se estimó la carga de acuerdo con lo evaluado en el Concepto Técnico No. . 04782 del 19/05/2021 (2021IE97428). </t>
  </si>
  <si>
    <t>AGRUPACIÓN  EL MANZANO P.H.</t>
  </si>
  <si>
    <t>CONJUNTO LA ARBOLEDA P.H.</t>
  </si>
  <si>
    <t>CONJUNTO RESIDENCIAL PIAMONTE DE MARIANA</t>
  </si>
  <si>
    <t>CONJUNTO SIERRA VERDE</t>
  </si>
  <si>
    <t>CONJUNTO RESIDENCIAL PALMAR DE SAN JOSÉ</t>
  </si>
  <si>
    <t>CONJUNTO RESIDENCIAL MOCALA P.H.</t>
  </si>
  <si>
    <t>CONJUNTO SANTIAGO DE COMPOSTELA P.H</t>
  </si>
  <si>
    <t>AGRUPACION ALAMEDA DE SAN JOSÉ</t>
  </si>
  <si>
    <t>CONJUNTO RESIDENCIAL ASUASAN P.H</t>
  </si>
  <si>
    <t>LONDOÑO GUTIERREZ Y CIA S.A.S. PARQUE GUAYMARAL.</t>
  </si>
  <si>
    <t>CONJUNTO RESIDENCIAL EL CEREZO P.H</t>
  </si>
  <si>
    <t>AGRUPACIÓN EL MAGNOLIO P.H</t>
  </si>
  <si>
    <t>CONJUNTO RESIDENCIAL CAMINO LARGO P.H</t>
  </si>
  <si>
    <t>4°45'45.6"N</t>
  </si>
  <si>
    <t xml:space="preserve">  04°48'67,08"N</t>
  </si>
  <si>
    <t>Se estimó la carga con la información del radicado SDA No. 2020ER201553 del 11/11/2020. Fecha de monitoreo 15/09/2020</t>
  </si>
  <si>
    <t>Resultado PMAE Fase XV, Radicado SDA No. 2019ER181438 del 9/08/2020. Muestra 2404HA01. Fecha: de monitoreo: 24/04/2019. Hora: 8:00-10:00</t>
  </si>
  <si>
    <t xml:space="preserve">Autodeclaración de vertimientos radicado SDA No. 2020ER09209 del 16/01/2020, fecha monitoreo: 1/11/2020. Laboratorio H2O Es Vida S.A.S (caracterización del vertimiento). </t>
  </si>
  <si>
    <t>Resultados PMAE Fase XV, Radicado SDA No. 2019ER145333 del 28/06/2019. Muestra 1803WI01. Fecha de monitoreo: 18/03/2019. Hora: 9:30 - 11:30</t>
  </si>
  <si>
    <t>Autodeclaración de vertimientos radicado SDA No. 2020ER03603 del 9/01/2020. Fecha de monitoreo 06/008/2019</t>
  </si>
  <si>
    <t>Resultados del PMAE Fase XV, Radicado SDA No. 2019ER145333 del 28/06/2019. Muestra 1803HA04. Fecha de monitoreo: 18/03/2019. Hora: 13:30 - 15:30</t>
  </si>
  <si>
    <t>Informe de Caracterización radicado SDA No. 2019ER69893 del 28/03/2019, fecha de monitoreo: 31/01/2019, Hora: 8:00-16:00. Laboratorio Instituto de Higiene Ambiental S.A.S</t>
  </si>
  <si>
    <t>04° 45' 59,6"N</t>
  </si>
  <si>
    <t>04°49'06.50"N</t>
  </si>
  <si>
    <t>04°49'05.50"N</t>
  </si>
  <si>
    <t>04°48'50.45"N</t>
  </si>
  <si>
    <t>04°48'51.20"N</t>
  </si>
  <si>
    <t>04°49'2.34"N</t>
  </si>
  <si>
    <t>04°49'22.26"N</t>
  </si>
  <si>
    <t>04°49'2.66"N</t>
  </si>
  <si>
    <t>04°49'7.83"N</t>
  </si>
  <si>
    <t>04°49'14.86"N</t>
  </si>
  <si>
    <t>04°49'4.29"N</t>
  </si>
  <si>
    <t>04°48'52.83"N</t>
  </si>
  <si>
    <t>04°49'2.55"N</t>
  </si>
  <si>
    <t>04°49'7.20"N</t>
  </si>
  <si>
    <t>04°48'58.39"N</t>
  </si>
  <si>
    <t>04°49'1.36"N</t>
  </si>
  <si>
    <t>04°48'58.49"N</t>
  </si>
  <si>
    <t>04°49'0.40"N</t>
  </si>
  <si>
    <t>04°48'54.36"N</t>
  </si>
  <si>
    <t>04°48'45.10"N</t>
  </si>
  <si>
    <t>04°49'2.60"N</t>
  </si>
  <si>
    <t>04°48'45.78"N</t>
  </si>
  <si>
    <t>04°49'16.57"N</t>
  </si>
  <si>
    <t>04°49'0.09"N</t>
  </si>
  <si>
    <t>04°48'58.05"N</t>
  </si>
  <si>
    <t>04°49'24.17"N</t>
  </si>
  <si>
    <t>04°49'11.14"N</t>
  </si>
  <si>
    <t>04°49'10.88"N</t>
  </si>
  <si>
    <t>04°49'6.16"N</t>
  </si>
  <si>
    <t>04°49'3.56"N</t>
  </si>
  <si>
    <t>04°49'13.95"N</t>
  </si>
  <si>
    <t>04°48'43.95"N</t>
  </si>
  <si>
    <t>04°45'47.48"N</t>
  </si>
  <si>
    <t>04°46'11.24"N</t>
  </si>
  <si>
    <t>04°45'58.32"N</t>
  </si>
  <si>
    <t>04°46'11.5"N</t>
  </si>
  <si>
    <t>04°46'00.70"N</t>
  </si>
  <si>
    <t>04°46'7.86"N</t>
  </si>
  <si>
    <t>04°45'57.85"N</t>
  </si>
  <si>
    <t>04°46'8.19"N</t>
  </si>
  <si>
    <t>04°45'56.74"N</t>
  </si>
  <si>
    <t>04°45'54.51"N</t>
  </si>
  <si>
    <t>04°45'47.82"N</t>
  </si>
  <si>
    <t>04°45'49.55"N</t>
  </si>
  <si>
    <t>04°46'2.752"N</t>
  </si>
  <si>
    <t>04°45'53.86"N</t>
  </si>
  <si>
    <t>04°46'2.46"N</t>
  </si>
  <si>
    <t>04°45'52.92"N</t>
  </si>
  <si>
    <t>04°45'55.12"N</t>
  </si>
  <si>
    <t>04°46'14.89"N</t>
  </si>
  <si>
    <t>04°45'53.98"N</t>
  </si>
  <si>
    <t>04°46'6.20"N</t>
  </si>
  <si>
    <t>04°46'10.80"N</t>
  </si>
  <si>
    <t>04°45'46.26"N</t>
  </si>
  <si>
    <t>04°45'52.68"N</t>
  </si>
  <si>
    <t>04°45'50.68"N</t>
  </si>
  <si>
    <t>04°46'11.23"N</t>
  </si>
  <si>
    <t>04°45'54.26"N</t>
  </si>
  <si>
    <t>04°46'8.52"N</t>
  </si>
  <si>
    <t>04°45'48.14"N</t>
  </si>
  <si>
    <t>04°45'48.16"N</t>
  </si>
  <si>
    <t>04°46'2.60"N</t>
  </si>
  <si>
    <t>04°46'2.95"N</t>
  </si>
  <si>
    <t>04°46'1.19"N</t>
  </si>
  <si>
    <t>04°45'56.82"N</t>
  </si>
  <si>
    <t>04°45'50.08"N</t>
  </si>
  <si>
    <t>04°45'47.98”N</t>
  </si>
  <si>
    <t>04°45'49.80''N</t>
  </si>
  <si>
    <t>04°45'57.25''N</t>
  </si>
  <si>
    <t>04°46'3.00''N</t>
  </si>
  <si>
    <t>04°45'47.00"N</t>
  </si>
  <si>
    <t>04°46'11.17"N</t>
  </si>
  <si>
    <t>04°45'59.14"N</t>
  </si>
  <si>
    <t>04°46'7.8"N</t>
  </si>
  <si>
    <t>04°45'55.34"N</t>
  </si>
  <si>
    <t>04°45'45.4"N</t>
  </si>
  <si>
    <t>04°45'44.6"N</t>
  </si>
  <si>
    <t>04°45'57.9"N</t>
  </si>
  <si>
    <t>04°46'2.141''N</t>
  </si>
  <si>
    <t>04°45'52.896''N</t>
  </si>
  <si>
    <t>04°45'57.9 N</t>
  </si>
  <si>
    <t>04°45'56.7"N</t>
  </si>
  <si>
    <t>04°45’43N</t>
  </si>
  <si>
    <t>04°45’44N</t>
  </si>
  <si>
    <t>04°45'45"N</t>
  </si>
  <si>
    <t>04°46'2.52"N</t>
  </si>
  <si>
    <t>04°46'07.09"N</t>
  </si>
  <si>
    <t>04°47'20.80"N</t>
  </si>
  <si>
    <t>04°47'56.80"N</t>
  </si>
  <si>
    <t>04°45’27.418” N</t>
  </si>
  <si>
    <t>04°47'00.86191”N</t>
  </si>
  <si>
    <t>04°45'27.47"N</t>
  </si>
  <si>
    <t>04°46'1.61"N</t>
  </si>
  <si>
    <t>04°46'11.92"N</t>
  </si>
  <si>
    <t>04°45'57.86"N</t>
  </si>
  <si>
    <t>04°45'55.3"N</t>
  </si>
  <si>
    <t>04°47'58.53"N</t>
  </si>
  <si>
    <t>04°45'49.90"N</t>
  </si>
  <si>
    <t>04°46'1.57"N</t>
  </si>
  <si>
    <t>04°45'55.43"N</t>
  </si>
  <si>
    <t>04°45'45.6"N</t>
  </si>
  <si>
    <t>04°45'50.78"N</t>
  </si>
  <si>
    <t>04°45'26.09"N</t>
  </si>
  <si>
    <t>04°47'17.91"N</t>
  </si>
  <si>
    <t>04°46'27.13"N</t>
  </si>
  <si>
    <t>04°49'16.22"N</t>
  </si>
  <si>
    <t>04°47'24.885”N</t>
  </si>
  <si>
    <t>04°49'19.00"N</t>
  </si>
  <si>
    <t>04°48'25.00"N</t>
  </si>
  <si>
    <t>04°48'33.48"N</t>
  </si>
  <si>
    <t>04°48'33.42"N</t>
  </si>
  <si>
    <t>04°45'40.49"N</t>
  </si>
  <si>
    <t>04°45'44.22"N</t>
  </si>
  <si>
    <t>04°45'49.14"N</t>
  </si>
  <si>
    <t>04°49'08.48"N</t>
  </si>
  <si>
    <t>04°49'02.16"N</t>
  </si>
  <si>
    <t>04°45'43.74"N</t>
  </si>
  <si>
    <t>04°45'40.35"N</t>
  </si>
  <si>
    <t>04°48'07.92"N</t>
  </si>
  <si>
    <t>04°46'37.79"N</t>
  </si>
  <si>
    <t>04°47'05.52"N</t>
  </si>
  <si>
    <t>04°31'23.366"N</t>
  </si>
  <si>
    <t>04°30'31.72"N</t>
  </si>
  <si>
    <t>074°3'19.70"W</t>
  </si>
  <si>
    <t>074°3'14.30"W</t>
  </si>
  <si>
    <t>074°3'21.07"W</t>
  </si>
  <si>
    <t>074°3'16.10"W</t>
  </si>
  <si>
    <t>074°2'27.46"W</t>
  </si>
  <si>
    <t>074°3'5.61"W</t>
  </si>
  <si>
    <t>074°2'45.75"W</t>
  </si>
  <si>
    <t>074°3'7.41"W</t>
  </si>
  <si>
    <t>074°2'52.19"W</t>
  </si>
  <si>
    <t>074°2'52.12"W</t>
  </si>
  <si>
    <t>074°2'57.54"W</t>
  </si>
  <si>
    <t>074°2'45.50"W</t>
  </si>
  <si>
    <t>074°2'35.00"W</t>
  </si>
  <si>
    <t>074°3'9.66"W</t>
  </si>
  <si>
    <t>074°3'9.16"W</t>
  </si>
  <si>
    <t>074°2'27.67"W</t>
  </si>
  <si>
    <t>074°3'9.40"W</t>
  </si>
  <si>
    <t>074°3'10.10"W</t>
  </si>
  <si>
    <t>074°3'11.20"W</t>
  </si>
  <si>
    <t>074°2'29.52"W</t>
  </si>
  <si>
    <t>074°2'23.00"W</t>
  </si>
  <si>
    <t>074°3'6.35"W</t>
  </si>
  <si>
    <t>074°2'35.23"W</t>
  </si>
  <si>
    <t>074°2'26.36"W</t>
  </si>
  <si>
    <t>074°3'5.33"W</t>
  </si>
  <si>
    <t>074°3'7.00"W</t>
  </si>
  <si>
    <t>074°2'54.98"W</t>
  </si>
  <si>
    <t>074°2'59.56"W</t>
  </si>
  <si>
    <t>074°3'8.18"W</t>
  </si>
  <si>
    <t>074°3'6.56"W</t>
  </si>
  <si>
    <t>074°3'0.06"W</t>
  </si>
  <si>
    <t>074°3'57.12"W</t>
  </si>
  <si>
    <t>074°3'50.52"W</t>
  </si>
  <si>
    <t>074°3'49.64"W</t>
  </si>
  <si>
    <t>074°3'44.3"W</t>
  </si>
  <si>
    <t>074°3'47.70"W</t>
  </si>
  <si>
    <t>074°3'49.45"W</t>
  </si>
  <si>
    <t>074°3'56.46"W</t>
  </si>
  <si>
    <t>074°3'49.13"W</t>
  </si>
  <si>
    <t>074°3'34.56"W</t>
  </si>
  <si>
    <t>074°3'29.49"W</t>
  </si>
  <si>
    <t xml:space="preserve"> 074°03'54.50"W</t>
  </si>
  <si>
    <t>074°4'7.39"W</t>
  </si>
  <si>
    <t>074°4'06.60"W</t>
  </si>
  <si>
    <t>074°3'56.874"W</t>
  </si>
  <si>
    <t>074°4'03.39"W</t>
  </si>
  <si>
    <t>074°4'1.97"W</t>
  </si>
  <si>
    <t>074°4'09.28"W</t>
  </si>
  <si>
    <t>074°4'7.68"W</t>
  </si>
  <si>
    <t>074°3'50.66"W</t>
  </si>
  <si>
    <t>074°03'18.5"W</t>
  </si>
  <si>
    <t>074°03'20.2"W</t>
  </si>
  <si>
    <t>074°3'50.56"W</t>
  </si>
  <si>
    <t xml:space="preserve"> 074°03'34.91"W</t>
  </si>
  <si>
    <t xml:space="preserve"> 074°03'53.60"W</t>
  </si>
  <si>
    <t xml:space="preserve"> 074°03'52.30"W</t>
  </si>
  <si>
    <t>074°3'53.59"W</t>
  </si>
  <si>
    <t>074°04'00.77"W</t>
  </si>
  <si>
    <t xml:space="preserve"> 074°2,18'30.55"W</t>
  </si>
  <si>
    <t>074°3'50.86"W</t>
  </si>
  <si>
    <t>074°03´27.06”W</t>
  </si>
  <si>
    <t>074°3'21.21"W</t>
  </si>
  <si>
    <t>074°3'23.64"W</t>
  </si>
  <si>
    <t>074°03'36,82054"W</t>
  </si>
  <si>
    <t xml:space="preserve"> 074°03'25.66"W</t>
  </si>
  <si>
    <t xml:space="preserve"> 074°03'25.62"W</t>
  </si>
  <si>
    <t>074°4'4.69"W</t>
  </si>
  <si>
    <t>074°3'50.73"W</t>
  </si>
  <si>
    <t>074°3'51.06"W</t>
  </si>
  <si>
    <t>074°04'03,235"W</t>
  </si>
  <si>
    <t>074°3'59.88"W</t>
  </si>
  <si>
    <t>074°3'29.20"W</t>
  </si>
  <si>
    <t>074°3'41.44"W</t>
  </si>
  <si>
    <t>074°3'47.20"W</t>
  </si>
  <si>
    <t>074°3'22.03"W</t>
  </si>
  <si>
    <t xml:space="preserve"> 074°03'55.56"W</t>
  </si>
  <si>
    <t>074°3'56.29"W</t>
  </si>
  <si>
    <t>074°4'0.16"W</t>
  </si>
  <si>
    <t>074°3'34.60"W</t>
  </si>
  <si>
    <t xml:space="preserve"> 074°03'53.95"W</t>
  </si>
  <si>
    <t>074°4'06.15"W</t>
  </si>
  <si>
    <t>074°4'0.54”W</t>
  </si>
  <si>
    <t>074°03'47.1720"W</t>
  </si>
  <si>
    <t xml:space="preserve">074°3'30.67''W </t>
  </si>
  <si>
    <t xml:space="preserve">074°3'50.31''W </t>
  </si>
  <si>
    <t xml:space="preserve">074°3'43,00''W </t>
  </si>
  <si>
    <t>074°4'8.47"W</t>
  </si>
  <si>
    <t>074°3'40.06"W</t>
  </si>
  <si>
    <t>074°3'39.92"W</t>
  </si>
  <si>
    <t>074°3'42.50"W</t>
  </si>
  <si>
    <t>074°4'1.69"W</t>
  </si>
  <si>
    <t>074°3'43.4"W</t>
  </si>
  <si>
    <t>074°3'52.4"W</t>
  </si>
  <si>
    <t>074°3'42.7"W</t>
  </si>
  <si>
    <t>074°3'50.472''W</t>
  </si>
  <si>
    <t>074°3'53.578''W</t>
  </si>
  <si>
    <t>074°3'42.7 W</t>
  </si>
  <si>
    <t>074°03'43.5"W</t>
  </si>
  <si>
    <t>074°3’55"W</t>
  </si>
  <si>
    <t>074°3’44"W</t>
  </si>
  <si>
    <t>074°03'48"W</t>
  </si>
  <si>
    <t>074° 3' 57,1"W</t>
  </si>
  <si>
    <t>074° 4'0.70"W</t>
  </si>
  <si>
    <t>074° 2'25.36"W</t>
  </si>
  <si>
    <t>074°02'25.36"W</t>
  </si>
  <si>
    <t xml:space="preserve"> 074°03'28.37"W</t>
  </si>
  <si>
    <t>074°3'47.4"W</t>
  </si>
  <si>
    <t>074°2'38.50"W</t>
  </si>
  <si>
    <t>074°2'35.80"W</t>
  </si>
  <si>
    <t>074°3’35.348” W</t>
  </si>
  <si>
    <t>074°03'10.69516”W</t>
  </si>
  <si>
    <t>074°3'35.35"W</t>
  </si>
  <si>
    <t>074°4'03.18"W</t>
  </si>
  <si>
    <t xml:space="preserve"> 074°04'14.43"W</t>
  </si>
  <si>
    <t>074°03'16.246"W</t>
  </si>
  <si>
    <t>074°3'31.13"W</t>
  </si>
  <si>
    <t>074°3'44.20"W</t>
  </si>
  <si>
    <t>074°3'42.63"W</t>
  </si>
  <si>
    <t>074°3'21.9"W</t>
  </si>
  <si>
    <t>074°2'43.48"W</t>
  </si>
  <si>
    <t>074°3'25.72"W</t>
  </si>
  <si>
    <t>074°3'20.59"W</t>
  </si>
  <si>
    <t>074°3'21.52W</t>
  </si>
  <si>
    <t>074°3'59.0W</t>
  </si>
  <si>
    <t>074°3'31.20"W</t>
  </si>
  <si>
    <t xml:space="preserve"> 074°03'27.00"W</t>
  </si>
  <si>
    <t>074°3'35.61"W</t>
  </si>
  <si>
    <t xml:space="preserve"> 074°02'46.36"W</t>
  </si>
  <si>
    <t xml:space="preserve"> 074°02'41.23"W</t>
  </si>
  <si>
    <t xml:space="preserve"> 074°02'43.15"W</t>
  </si>
  <si>
    <t>074°2'29.17"W</t>
  </si>
  <si>
    <t>074°03'35,2''W</t>
  </si>
  <si>
    <t>074°2'35.26"W</t>
  </si>
  <si>
    <t>074°2'16.81"W</t>
  </si>
  <si>
    <t>074°01'58,4''W</t>
  </si>
  <si>
    <t>074°2'27.760”W</t>
  </si>
  <si>
    <t>074°2'19.01"W</t>
  </si>
  <si>
    <t>074°2'12.00"W</t>
  </si>
  <si>
    <t>074°2'24.95"W</t>
  </si>
  <si>
    <t>074°2'08.30"W</t>
  </si>
  <si>
    <t>074°03'52,396"W</t>
  </si>
  <si>
    <t>074°3'55.93"W</t>
  </si>
  <si>
    <t>074°04'00,00''W</t>
  </si>
  <si>
    <t>074°3'19.11"W</t>
  </si>
  <si>
    <t>074°2'05.47"W</t>
  </si>
  <si>
    <t>074°2'07.21"W</t>
  </si>
  <si>
    <t>074°3'55.26"W</t>
  </si>
  <si>
    <t>074°3'55.69"W</t>
  </si>
  <si>
    <t>074°2'14.88"W</t>
  </si>
  <si>
    <t>074°2'43.83"W</t>
  </si>
  <si>
    <t>074°2'28.91"W</t>
  </si>
  <si>
    <t>074°07'41.274"W</t>
  </si>
  <si>
    <t>074°8'36.92"W</t>
  </si>
  <si>
    <t xml:space="preserve"> 074°07'32.12"W</t>
  </si>
  <si>
    <t>074°06'43.584"W</t>
  </si>
  <si>
    <t>074°06'51.843"W</t>
  </si>
  <si>
    <t>074°06'42.213"W</t>
  </si>
  <si>
    <t>074°06'40.095"W</t>
  </si>
  <si>
    <t>074°06'42.683"W</t>
  </si>
  <si>
    <t xml:space="preserve"> 074°06'29.95"W</t>
  </si>
  <si>
    <t xml:space="preserve"> 074°06'35.37"W</t>
  </si>
  <si>
    <t xml:space="preserve"> 074°06'37.20"W</t>
  </si>
  <si>
    <t xml:space="preserve"> 074°06'43.04"W</t>
  </si>
  <si>
    <t>074°6'34,3"W</t>
  </si>
  <si>
    <t>074°6'34,1"W</t>
  </si>
  <si>
    <t>074°06'50,50"W</t>
  </si>
  <si>
    <t>074°06'48,3"W</t>
  </si>
  <si>
    <t>074°06'46,5"W</t>
  </si>
  <si>
    <t>04° 45' 50,90"N</t>
  </si>
  <si>
    <t>074° 3' 17,34"W</t>
  </si>
  <si>
    <t>Se estimó la carga con la información del radicado SDA No. 2020ER241903 del 31/12/2020. Fecha de monitoreo 21/09/2020</t>
  </si>
  <si>
    <t>Se estimó la carga con la información del radicado SDA No. 2020ER239441 del 29/12/2020. Fecha de monitorero 21/10/2020. Las coordenadas del punto de vertimiento se tomaron del plano presentado por el usuario en el mencionado radicado.</t>
  </si>
  <si>
    <t>74°3'59.0"W</t>
  </si>
  <si>
    <t>04°48'58,80''N</t>
  </si>
  <si>
    <t>074°3'21,06"W</t>
  </si>
  <si>
    <r>
      <t xml:space="preserve">Se tomó la información de carga contaminante del Informe Técnico No. 01919 del 10/11/2016 (I.T. SDA No. 2016IE198658 del 10/11/2016). </t>
    </r>
  </si>
  <si>
    <t>Se toma el dato de radicado SDA No. 2018ER32377 del 20/02/2018 (remisión información permiso de vertimientos), fecha monitoreo: 22/01/2018. Laboratorio Analquim Ltda. (Caracterización del vertimiento).</t>
  </si>
  <si>
    <t>Se estimó la carga con su autodeclaración de vertimientos radicado SDA No. 2021ER40579 del 03/03/2021. Informe de caracterización en el mismo radicado. Fecha de monitoreo 14/12/2020. Laboratorio del medio ambiente y calibración WR S.A.S. Concepto Técnico No. 04412 del 10 de mayo del 2021 (2021IE90150)</t>
  </si>
  <si>
    <t>La carga contaminante se estimó con la información contenida en el Concepto Técnico No. 06164 del 22 de junio del 2021 (2021IE124763) donde se evaluó el radicado SDA No.  2020ER196961 del 5/11/2020 que corresponde a una caracterización del vertimiento.</t>
  </si>
  <si>
    <t xml:space="preserve">Se estimó la carga con los resultados del PMAE Fase XV, Radicado SDA No. 2020ER26338 del 5/02/2020. Muestra 2904AN04. Fecha de monitoreo: 29/04/2019. Hora: 11:00 - 13:00 </t>
  </si>
  <si>
    <t xml:space="preserve">Se toma el dato del radicado SDA No. 2018ER267279 del 15/11/2018, fecha de monitoreo: 15/09/2018.Laboratorio Analquim Ltda (caracterización del vertimiento). </t>
  </si>
  <si>
    <r>
      <t xml:space="preserve">Se estimó la carga con la caracterización enviada para tramite de vertimientos presentada con radicado SDA No. 2020ER190405 del 28/10/2020 y  2020ER191324 del 29/10/2020. Laboratorio H2O es vida S.A.S. el dia 17/09/2020 en la tuberia de salida al vallado . </t>
    </r>
  </si>
  <si>
    <t>Se estimó la carga contaminante como el promedio entre el resultado del PMAE Fase XV y la autodeclaración de vertimientos del año 2019.</t>
  </si>
  <si>
    <t>Se estimó la carga contaminante con los resultados del PMAE Fase XV, Radicado SDA No. 2019ER181438 del 9/08/2019. Muestra 2604AN03. Fecha de monitoreo 26/04/2019. Hora: 10:14 - 12:14</t>
  </si>
  <si>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con el Concepto Tecnico No. 04772 del 19 de mayo del 2021, totalidad de empleados 25, Estudiantes 150)</t>
  </si>
  <si>
    <t xml:space="preserve">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</si>
  <si>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Se estimó la carga con la información del radicado SDA No. 2020ER208237 del 20/11/2020. Fecha de monitoreo 23/09/2020. En el radicado SDA No. 2021ER53422 del 24/03/2021 se informa que en la casa habitan 18 personas.</t>
  </si>
  <si>
    <t>Sede 1 Informe de caracterización radicado SDA No. 2021ER38156 del 01/03/2021, fecha de monitoreo: 27/10/2020.Hora:8:00-16:00 Laboratorio H2O es Vida S.A.S</t>
  </si>
  <si>
    <t>Sede 2 Informe de caracterización radicado SDA No. 2021ER38209 del 01/03/2021, fecha de monitoreo: 27/10/2020.Hora:8:00-16:00 Laboratorio H2O es Vida S.A.S</t>
  </si>
  <si>
    <t>Informe de caracterización radicado SDA No.2020ER183864 del 20/10/2020, fecha de monitoreo: 25/09/2020.Hora:8:00-16:00 Laboratorio ASINAL S.A.S</t>
  </si>
  <si>
    <t xml:space="preserve">Se estimó la carga contaminante con la información del informe de caracterización de vertimientos radicado SDA No.2020ER87398 del 26/05/2020, fecha monitoreo: 12/03/2020. hora: 8:00 - 16:00. Elaborada por la consultora y servicios ambientales CONOSER Ltda. Consultoría y Servicios Ambientales y analizada por los Laboratorios ANALQUIM e HIDROLAB. (caracterización de los tres vertimientos preescolar, primaria y bachillerato, todas realizan descarga en diferentes puntos). </t>
  </si>
  <si>
    <t>Se estimó la carga contaminante con los resultados del PMAE Fase XV, Radicado SDA No. 2020ER213311 del 13/09/2019. Muestra No. 0706WI01. Fecha de monitoreo: 7/06/2019. Hora: 09:00-11:00</t>
  </si>
  <si>
    <t>Se estimó la carga contaminante con los resultados del PMAE Fase XV, Radicado SDA No. 2019ER145333 del 28/06/2020. Muestra 1803WI05. Fecha de monitoreo: 18/03/2019. Hora: 14:00 - 16:00</t>
  </si>
  <si>
    <t>Se estimó la carga contaminante con la infomación del radicado SDA No.2021ER39215 del 02/03/2021, Informe de carcaterización de vertimientos, Fecha de monitoreo: 28/11/2020. Hora:7:30-15:30. Laboratorio Quimicontrol LTDA.</t>
  </si>
  <si>
    <t xml:space="preserve">Se estimó la carga con la información del radicado SDA No. 2019ER06076 del 10/01/2019, fecha monitoreo: 09/07/2018. Laboratorio Arturo Lizarazo &amp; CIA. Radicado SDA No. 2018ER301612 del 19/12/2018 (caracterización del vertimiento). </t>
  </si>
  <si>
    <t>Se estimó la carga contaminante con su autodeclaración de vertimientos radicado SDA No. 2021ER49439 del 17/03/2021, fecha monitoreo: 28/01/2021.Hora: 9:00 - 17:00  Laboratorio del Medio Ambiente y Calibración WR S.A.S</t>
  </si>
  <si>
    <t xml:space="preserve">S estimó la carga contaminante con su autodeclaración de vertimientos radicado SDA No. 2021ER28913 del 15/02/2021, Informe de Caracterización radicado SDA No. 2020ER240623  del 30/12/2020, fecha monitoreo: 03/11/2020, Hora: 08:00 - 16:00. Laboratorio del Medio Ambiente y Calibración WR S.A.S </t>
  </si>
  <si>
    <t>Se estimó la carga contaminante con los resultados del PMAE Fase XV, Radicado SDA No. 2019ER181438 del 9/08/2019. Muestra 2604HA01. Fecha de monitoreo: 26/04/2019. Hora: 8:15 - 10:15. Punto ubicado sobre la Cl 173 al respaldo del predio.</t>
  </si>
  <si>
    <t>Se estimó la carga contaminante con los resultados del PMAE Fase XV, Radicado SDA No. 2019ER181438 del 9/08/2019. Muestra 2604HA02. Fecha de monitoreo: 26/04/2019. Hora: 10:00 - 12:00. Punto ubicado sobre la Cl 173 al respaldo del predio.</t>
  </si>
  <si>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 cuerdo a Concepto Técnico SDA No.2019IE290556 del 13/12/2019, totalidad de empleados 22)</t>
  </si>
  <si>
    <t>Se estimó la carga con caracterización realizada para trámite de nuevo permiso de vertimientos (por cambio de propietario) radicado SDA No. 2021ER51351 del 19/03/2021 . Fecha de muestreo 17/12/2020.  Laboratorio CIAN LTDA consultoria y servicios ambientales.</t>
  </si>
  <si>
    <t>Se toma información de la autodeclaración del año 2019 radicado SDA No. 2020ER09032 del 16/01/2020, fecha monitoreo: 23/12/2019. Laboratorio Chemilab Ltda. (caracterización del vertimiento).</t>
  </si>
  <si>
    <t xml:space="preserve">Se estimó la carga contaminante con la autodeclaración de vertimiento radicado SDA No.2020ER09336 del 17/01/2020, fecha monitoreo: 6/11/2020.Hora: 8:00 -16:00 Laboratorio Analquim Ltda. (Caracterización del vertimiento). </t>
  </si>
  <si>
    <t xml:space="preserve">Se estimó la carga contaminante con la autodeclaración de vertimientos  del año 2019 radicado SDA No. 2020ER02046 del 8/01/2020, fecha monitoreo: 18/02/20019. Laboratorio Instituto de Higiene Ambiental S.A.S. Radicado SDA No. 2019ER92037 del 29/04/2019 (Caracterización del vertimiento). </t>
  </si>
  <si>
    <t xml:space="preserve">Se estimó la carga contaminante con la información del radicado 2018ER255020 del 31/10/2018, fecha de monitoreo: 27/07/2018. Laboratorio Instituto de Higiene Ambiental S.A.S.  (caracterización del vertimiento). </t>
  </si>
  <si>
    <t>Se estimó la carga contaminante con la información del Radicado SDA No. 2020ER167971 30/09/2020. Por el laboratorio CIAN Ltda., en la fecha 26/08/2020.</t>
  </si>
  <si>
    <t>Se estimó la carga contaminante con la información del Radicado SDA No.  2020ER231292 del 18/12/2020. Fecha de monitoreo: 06/10/2020. Por el  Laboratorio MCS Consultoría y Monitoreo Ambiental S.A.S. (caracterización del vertimiento).</t>
  </si>
  <si>
    <t xml:space="preserve">Se estimó la carga contaminante con la información  del Radicado SDA No. 2020ER216524  del  01/12/2020, Informe de caracterización de aguas residuales del año 2020, Fecha de monitoreo: 28/10/2020. Laboratorio Analquim Ltda. (caracterización del vertimiento). </t>
  </si>
  <si>
    <t xml:space="preserve">Se estimó la carga contaminante con la información del Radicado SDA No. 2021ER06547  del  15/01/2021, Informe de  caracterización de aguas residuales del año 2020, Fecha de monitoreo: 13/12/2020. Laboratorio Analquim Ltda. (caracterización del vertimiento).  </t>
  </si>
  <si>
    <t xml:space="preserve">Se estimó la carga contaminante con la información del Radicado SDA No. 2020ER216689  del  1/12/2020, Informe de  caracterización de aguas residuales del año 2020, Fecha de monitoreo: 29/10/2020. Laboratorio Analquim Ltda. (caracterización del vertimiento).  </t>
  </si>
  <si>
    <t xml:space="preserve">Se estimó la carga contaminante de acuerdo con el informe de caracterización para seguimiento permiso de vertimientos radicado SDA No. 2020ER189800 del 27/10/2020, fecha de monitoreo: 29/09/2020. Laboratorio Analquim Ltda. </t>
  </si>
  <si>
    <t xml:space="preserve">Se estimó la carga contaminante de la autodeclaración de vertimientos del año 2019. Radicado SDA No. 2019ER213191 del 13/09/2019, fecha de monitoreo: 05/08/2019, hora: 8:30 - 16:30, Laboractorio MCS Consultoría y Monitoreo Ambiental. </t>
  </si>
  <si>
    <t>Se estimó la carga contaminante con la información del Radicado SDA No. 2021ER24188 del  09/02/2021, informe de caracterización de aguas residuales del año 2020, Fecha de monitoreo: 22/12/2021. Por el  Laboratorio CIAN LTDA. (caracterización del vertimiento).</t>
  </si>
  <si>
    <t>Se estimó la carga contaminante con la información de la autodeclaración de vertimientos del año 2019 radicado SDA No. 2020ER03185 del 9/01/2020, fecha monitoreo: 20/11/2019. Laboratorio MCS Consultoría y Monitoreo Ambiental S.A.S.</t>
  </si>
  <si>
    <t>Se estimó la carga contaminante con la información del radicado SDA No.2021ER27285 del 12/02/2021, fecha monitoreo: 23/04/2020. Laboratorio CIAN LTDA.(Caracterización de vertimientos), informe de caracterización radicado SDA No. 2020ER87549 del 26/05/2020.</t>
  </si>
  <si>
    <t>Se estimó la carga contaminante con la información del radicado SDA No.2020ER171816 del 05/10/2020, fecha monitoreo: 23/07/2020, hora: 7:00 - 15:00. Laboratorio MCS Consultoría y Monitoreo Ambiental S.A.S. (caracterización del vertimiento)</t>
  </si>
  <si>
    <t xml:space="preserve">Se estimó la carga contaminante con la información del radicado SDA No. 2020ER204296 del 17/11/2020, fecha de caracterización: 29/09/2020, Hora: 09:00 - 17:00, Laboratorio Instituto de Higiene Ambiental S.A.S. </t>
  </si>
  <si>
    <t xml:space="preserve">Se estimó la carga contaminante con la autodeclaración de vertimientos del año 2019,  radicado SDA No. 2020ER08253 del 15/01/2020, informe de caracterización radicado SDA No.2019ER190298 del 21/08/2019, fecha monitoreo: 12/06/2019, Hora: 07:30 - 15:30. Laboratorio MCS Consultoría y Monitoreo Ambiental S.A.S. </t>
  </si>
  <si>
    <t>Se estimó la carga contaminante con la información del radicado SDA No. 2020ER239306 del 29/12/2020, fecha monitoreo: 23/10/2020, Hora: 07:00 - 15:00. Laboratorio MCS Consultoría y Monitoreo Ambiental S.A.S. (caracterización del vertimiento)</t>
  </si>
  <si>
    <t>Se estimó la carga contaminante con la información de la autodeclaración de vertimientos Radicado SDA No. 2021ER27395 del 12/02/2021. Informe de caracterización de vertimientos radicado SDA No.2020ER222480 del 09/12/2020, fecha de monitoreo 15/10/2020, Hora: 7:30-15:30 .Laboratorio CIAN LTDA.</t>
  </si>
  <si>
    <t xml:space="preserve">Se estimó la carga contaminante de la autodeclaración de vertimientos del año 2019, radicado SDA No. 2020ER03122 del 09/01/2020, fecha monitoreo: 05/08/2019, Hora: 08:45 - 16:45. Laboratorio MCS Consultoría y Monitoreo Ambiental S.A.S. </t>
  </si>
  <si>
    <t xml:space="preserve">Se estimó la carga contaminante con la información del radicado SDA No. 2020ER230039 del 17/12/2020, fecha monitoreo: 21/10/2020, hora: 7:00 - 15:00. Laboratorio MCS Consultoría y Monitoreo Ambiental S.A.S. </t>
  </si>
  <si>
    <t xml:space="preserve">Se estimó la carga contaminante con la información del radicado SDA No. 2020ER226331 del 14/12/2020, fecha de caracterización: 20/10/2020, Hora: 07:00 - 15:00, Laboratorio MCS Consultoría y Monitoreo Ambiental S.A.S. </t>
  </si>
  <si>
    <t xml:space="preserve">Se estimó la carga contaminante con la información del radicado SDA No. 2019ER221933 del 23/09/2019, fecha de caracterización: 07/08/2019, Hora: 07:20 - 15:20, Laboratorio Instituto de Higiene Ambiental S.A.S.  </t>
  </si>
  <si>
    <t>Se estimó la carga contaminante con la información del radicado SDA No. 2020ER195645 del 04/11/2020, fecha monitoreo: 24/09/2020, Hora: 08:00 - 16:00. Laboratorio CIAN LTDA.</t>
  </si>
  <si>
    <t>Se estimó la carga contaminante con la información del radicado SDA No. 2020ER214458 del 27/11/2020, fecha de monitoreo: 16/09/2020, hora: 07:00 - 15:00, Laboractorio MCS Consultoría y Monitoreo Ambiental S.A.S..</t>
  </si>
  <si>
    <t>Se estimó la carga contaminante con la información del radicado SDA No. 2021ER13704  del 25/01/2021, fecha monitoreo: 26/11/2020, Hora: 08:00 - 16:00. Laboratorio CIAN LTDA.</t>
  </si>
  <si>
    <t xml:space="preserve">Se estimó la carga contaminante con la información del radicado SDA No. 2019ER298331 del 20/12/2019, fecha monitoreo: 21/06/2019, Hora: 08:00-16:00. Laboratorio de Análisis químicos y microbiológicos Biopolab Ltda. </t>
  </si>
  <si>
    <t>Se estimó la carga contaminante con la información del radicado SDA No. 2020ER226247 del 14/12/2020, fecha de monitoreo: 20/10/2020, hora: 07:00 - 15:00, Laboractorio MCS Consultoría y Monitoreo Ambiental S.A.S..</t>
  </si>
  <si>
    <t>Se estimó la carga contaminante con la información del radicado SDA No.  2020ER148475 02/09/2020. Laboratorio CIAN Ltda., en la fecha 10/06/2020. Hora:8:00- 16:00</t>
  </si>
  <si>
    <t>Se estimó la carga contaminante con la información del radicado SDA No. 2020ER101789 del 19/06/2020. Fecha del monitoreo: 05/03/2020 Hora:07:00-15:00. Laboratorio MCS Consultoría y Monitoreo Ambiental S.A.S..</t>
  </si>
  <si>
    <t xml:space="preserve">Se estimó la carga contaminante con la información presentada en el radicado SDA No. 2021ER51221 del 19/03/2021. Fecha de Monitoreo 03/02/2021, Hora:7:30- 15:30. Laboratorio MCS Consultoría y Monitoreo Ambiental S.A.S. </t>
  </si>
  <si>
    <t>Se estimó la carga contaminante con la información presentada en el r,adicado SDA No. 2019ER251514 del 25/10/2019. Fecha de Monitoreo 13/09/2019.</t>
  </si>
  <si>
    <t>Se estimó la carga contaminante con la información del radicado SDA No. 2020ER204578 del 17/11/2020, fecha monitoreo: 10/09/2020. Laboratorio CIAN Ltda. Consultoría y Servicios Ambientales.</t>
  </si>
  <si>
    <t>Se estimó la carga con el Informe de caracterización radicado SDA No. 2019ER205536 del 5/09/2019, fecha de monitoreo: 8/03/2019, Laboratorio Quimicontrol Ltda. Ambiente e Industria.</t>
  </si>
  <si>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con el SINUPOT el conjunto cuenta con 14 casas)</t>
  </si>
  <si>
    <t>Se estimó la carga contaminante del Informe de caracterización radicado SDA No. 2021ER18982 del 01/02/2021, fecha de caracterización 22/12/2020. Hora:8:30-16:30, Laboratorio CIAN Ltda. Consultoría y Servicios Ambientales.</t>
  </si>
  <si>
    <t>Se estimó la acrga contaminante con la información del radicado SDA No. 2020ER164289 del 24/09/2020, fecha monitoreo: 22/07/2020. Laboratorio MCS Consultoría y Monitoreo Ambiental S.A.S. Se corrige el valor del caudal de acuerdo con lo establecido en la cadena de custodia de la caracterización.</t>
  </si>
  <si>
    <t xml:space="preserve">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</si>
  <si>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Se estimó la carga contaminante con los resultados del PMAE Fase XV, Radicado SDA No. 2020ER26338 del 5/02/2020. Muestra 2904AN02. Fecha de monitoreo: 29/04/2019. Hora: 07:50 - 09:50</t>
  </si>
  <si>
    <t>Se estimó la carga contaminante con los resultados del PMAE Fase XV, Radicado SDA 2020ER26338 del 5/02/2020. Muestra No. 0305WI02. Fecha de monitoreo: 03/05/2020. Hora: 06:30-09:30</t>
  </si>
  <si>
    <t>Se estimó la carga contaminante con los resultados del PMAE Fase XV, Radicado SDA No.  2020ER26338 del 5/02/2020. Muestra No. 0305WI01. Fecha de monitoreo: 03/05/2020. Hora: 07:00-09:00</t>
  </si>
  <si>
    <t xml:space="preserve">Se estimó carga con la información del radicado SDA No.2019ER294949 del 18/12/2019, fecha de monitoreo: 29/08/2019. Laboratorio H2O es vida S.A.S.  </t>
  </si>
  <si>
    <t>Se estimó la carga contaminante con el informe de caracterización, radicado SDA No. 2019ER269271 del 19/11/2019, fecha de caracterización 24/09/2019. Laboratorio Analquim Ltda.</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</si>
  <si>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(4 casas, CT 15644 de 2020, 2020IE290561)</t>
  </si>
  <si>
    <t>Se estimó la carga contaminante con la información del radicado SDA No. 2021ER32866 del  22/02/2021, Fecha de monitoreo: 30/12/2020. Por el  Laboratorio MCS Consultoría y Monitoreo Ambiental S.A.S. Se corrige el valor del caudal de acuerdo con lo establecido en la cadena de custodia de la caracterización.</t>
  </si>
  <si>
    <t xml:space="preserve">Se estimó la carga contaminante con los resultados del PMAE Fase XV, Radicado SDA No. 2019ER181438 del 9/08/2019. Muestra 2604WI01. Fecha de monitoreo: 26/04/2019. Hora: 7:00 - 9:00. </t>
  </si>
  <si>
    <t xml:space="preserve">Se estimó la carga contaminante con la información del radicado 2021ER23972 del 08/02/2021. Fecha de monitoreo: 12/11/2020. Laboratorio Analquim LTDA.  </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</si>
  <si>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Para el año 2020</t>
  </si>
  <si>
    <t>Se estimó la carga contaminante con los resultados del PMAE Fase XV, Radicado SDA No. 2020ER26338 del 5/02/2020. Muestra: 2904AN03. Fecha de monitoreo: 29/04/2019. Hora: 10:20 - 12:20.</t>
  </si>
  <si>
    <t>Se estimó la carga contaminante con la información del radicado SDA No. 2020ER210693 del 24/11/2020, (De acuerdo con las visitas técnicas y el CT 2020IE34527 DEL 13/02/2020 el usuario  genera vertimiento al vallado calle 175), Laboratorio Analquim LTDA. Fecha de monitoreo: 03/09/2020, resultados con los que se estimó la carga.</t>
  </si>
  <si>
    <t xml:space="preserve">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Información del usuario tomada del I.T 00931 del 01/08/2016 (2016IE130868 del 01/08/201). Para el año 2020. </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</si>
  <si>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</si>
  <si>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Se estimó la carga con la caracterización presentada con radicado SDA No.  2020ER237857 del 28/12/2020. CASA 1 Y  3, fecha de monitoreo: 05/10/2020. Laboratorio H2O es vida S.A.S. (En el informe de resultados  informan que la casa 3 estaba desocupada en el momento del monitoreo)</t>
  </si>
  <si>
    <t xml:space="preserve">Se estimó la carga con el informe de caracterización, radicado SDA No.  2020ER237857 del 28/12/2020. CASA 2 Y 4, fecha de monitoreo: 05/10/2020. Laboratorio H2O es vida S.A.S. </t>
  </si>
  <si>
    <t>Se estimó la carga con el informe de caracterización, radicado SDA No. 2021ER14278 del 26/01/2021, fecha de monitoreo: 08/10/2020. Laboratorio Analquim LTDA. Se tomaron 3 vertimientos Casa 1, Casa 2, Casa 3 y 4   Compuesto de 8 Horas</t>
  </si>
  <si>
    <t xml:space="preserve">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</si>
  <si>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Se estimó la carga de acuerdo con la caracterización presentada para solicitude de permiso de vertimiento, Radicado SDA No. 2020ER192700 del 30/10/2020. Fecha de monitoreo: 16/03/2020  Laboratorio Analquim LTDA.</t>
  </si>
  <si>
    <t>Se estimó la carga contaminante con resultados del Informe de Caracterización radicado SDA No. 2020ER192416 del  30/10/2010, fecha de monitoreo: 29/09/2020. Laboratorio Analquim Ltda.</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</si>
  <si>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</si>
  <si>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Se estimó la carga de acuerdo con la caracterización enviada para seguimiento de permiso de vertimientos radicado SDA No. 2020ER237858 del 28/12/2020, fecha de la caracterización 09/10/2020  Laboratorio H2O Es Vida S.A.S. Casas 3 y 4 </t>
  </si>
  <si>
    <t xml:space="preserve">Se estimó la carga de acuerdo con la caracterización enviada para seguimiento de permiso de vertimientos radicado SDA No. 2020ER237858 del 28/12/2020, fecha de la caracterización 09/10/2020  Laboratorio H2O Es Vida S.A.S. Casas 1 y 2 </t>
  </si>
  <si>
    <t xml:space="preserve">Se estimó la carga con la información del radicado SDA No. 2020ER214196 del 27/11/2020, fecha del monitoreo 21/10/2020.  Laboratorio Analquim LTDA </t>
  </si>
  <si>
    <t xml:space="preserve">Se estimó la carga contaminante con el radicado SDA No. 2020ER09601 del 17/01/2020, fecha de caracterización: 03/10/2019.
</t>
  </si>
  <si>
    <t xml:space="preserve">Se estimó la carga de acuerdo con el informe de caracterización para seguimiento permiso de vertimientos radicado SDA No .2020ER222118 del 09/12/2020, fecha de monitoreo: 26/10/2020. Laboratorio H20 Es vida SAS </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</si>
  <si>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En la visita realizada por personal del grupo RH  se observa que tienen campo de inflitración. Sin embargo, según el auto 2021EE58532  del 31/03/2021  tienen un punto que vierte al vallado (celaduria) ultima caracterizacion Radicado 2020ER51386 (PORTERIA Y CASA4) del 05/03/2020.</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</si>
  <si>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Segun visita por el dia grupo RH el dia 26/02/2021  cuenta con dos efluentes</t>
  </si>
  <si>
    <r>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t>
    </r>
    <r>
      <rPr>
        <sz val="8"/>
        <color indexed="8"/>
        <rFont val="Arial Narrow"/>
        <family val="2"/>
      </rPr>
      <t>009".  Presenta 3 puntos de vertimiento(P.V Radicado 2017ER33247 del 16/02/2017)</t>
    </r>
  </si>
  <si>
    <t>Se estimó la carga de acuerdo con la caracterización enviada para tramite de permiso de vertimientos mediante el radicado SDA No. 2020ER48164 del 02/03/2020, Fecha de monitoreo: 13/01//2020. Laboratorio Analquim LTDA.</t>
  </si>
  <si>
    <r>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r>
    <r>
      <rPr>
        <sz val="8"/>
        <color indexed="10"/>
        <rFont val="Arial Narrow"/>
        <family val="2"/>
      </rPr>
      <t xml:space="preserve"> </t>
    </r>
  </si>
  <si>
    <t>Se estimó la carga de acuerdo a la caracterización enviada para tramite de vertimientos mediante el radicado SDA No. 2021ER44552 del 09/03/2021. Conjunto cuenta con 4 casas, 3 habitadas (1,2 Y 4) las cuales  vierten a la acequia de la CL 179 por colectores independientes. Fecha de monitoreo:04/12/2020 Laboratotio H2O es vida SAS. * Para la casa 1 Se corrige el valor del caudal de acuerdo con lo establecido en la cadena de custodia de la caracterización.</t>
  </si>
  <si>
    <t>CASA 2</t>
  </si>
  <si>
    <t>CASA 4</t>
  </si>
  <si>
    <t>Se estimó la carga contaminante con los resultados del PMAE Fase XV, Radicado SDA No. 2019ER181438 del 9/08/2019. Muestra: 2604WI02. Fecha de muestreo: 26/04/2019. Hora: 7:30 - 9:30</t>
  </si>
  <si>
    <t>Se estimó la carga contaminante con los resultados del PMAE Fase XV, Radicado SDA No. 2020ER26338 del 5/02/2020. Muestra: 2904AN05. Fecha de monitoreo: 29/04/2019. Hora: 13:10 - 15:10. (Solo se tomó una alicuota, no se presentó más vertimiento)</t>
  </si>
  <si>
    <t>Se estimó la carga contaminante con los resultados del PMAE Fase XV, Radicado SDA No.  2020ER26338 del 5/02/2020. Muestra: 0305WI03. Fecha de monitoreo: 03/05/2019. Hora: 08:00 - 10:00. Concepto Técnico No. 06409 de 2021 (2021IE127302)</t>
  </si>
  <si>
    <t>Se estimó la carga contaminante con la caracterización realizada para seguimiento de su permiso de vertimiento, radicado SDA No. 2020ER201973 del 12/11/2020 . Fecha de muestreo 28/09/2020.  Laboratorio Analquim LTDA</t>
  </si>
  <si>
    <t>Se estimó la carga con la información del radicado SDA No. 2021ER48925 del 16/03/2021, el vertimiento solo corresponde a la casa 3, ya que las casas 1, 2, 4 y porteria tienen vertimiento al suelo.
Fecha de Monitoreo 14/11/2020</t>
  </si>
  <si>
    <t>04°45'44.58"N</t>
  </si>
  <si>
    <t xml:space="preserve"> 74°03'55.71"W</t>
  </si>
  <si>
    <t xml:space="preserve">  4°45'43.94"N</t>
  </si>
  <si>
    <t xml:space="preserve"> 74° 3'52.96"W</t>
  </si>
  <si>
    <t>04°45'47.65"N</t>
  </si>
  <si>
    <t>074°03'48.54"W</t>
  </si>
  <si>
    <t xml:space="preserve">  4°46'18.14"N</t>
  </si>
  <si>
    <t xml:space="preserve"> 74° 3'45.47"W</t>
  </si>
  <si>
    <t xml:space="preserve"> 4°45'53.73"N</t>
  </si>
  <si>
    <t xml:space="preserve"> 74° 3'23.33"W</t>
  </si>
  <si>
    <t>04°46’7,09N</t>
  </si>
  <si>
    <t>074°3’47,40"W</t>
  </si>
  <si>
    <t>04°45’50,38N</t>
  </si>
  <si>
    <t>074°3’42,32"W</t>
  </si>
  <si>
    <t>Se estimó la carga con la información del radicado SDA No. 2019ER88110 del 23/04/2019. Fecha de monitoreo 21/02/2019.</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</si>
  <si>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El Concepto Técnico No. 10339 del 2/1/2020 (2020IE218030), establece que el conjunto está conformado por 4 viviendas, se realiza vertimiento al suelo y al canal en tierra de la KR 76. Coordenadas geográficas tomadas del CT No.10339.</t>
  </si>
  <si>
    <t>De acuerdo con el radicado SDA No. 2020ER177379 del 13/10/2020 el vertimiento corresponde a las casas 1 y 4. Se estimó la carga con la información del mencionado radicado. Fecha de monitoreo 09/09/2020.
CASA 1</t>
  </si>
  <si>
    <t>De acuerdo con el radicado SDA No. 2020ER177379 del 13/10/2020 el vertimiento corresponde a las casas 1 y 4. Se estimó la carga con la información del mencionado radicado. Fecha de monitoreo 09/09/2020.
CASA 4</t>
  </si>
  <si>
    <t>Se estimó la carga contaminante con la información del radicado SDA No. 2021ER19894 del 2/02/2021. Fecha de monitoreo 14/10/2020</t>
  </si>
  <si>
    <t>Se estimó la carga contaminante con la información del radicado SDA No. 2020ER241762  del 31/12/2020. Fecha de monitoreo 11/11/2020</t>
  </si>
  <si>
    <r>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r>
    <r>
      <rPr>
        <sz val="8"/>
        <color indexed="10"/>
        <rFont val="Arial Narrow"/>
        <family val="2"/>
      </rPr>
      <t xml:space="preserve">  </t>
    </r>
  </si>
  <si>
    <t>Se estimó la carga contaminante con la información del radicado SDA No. 2020ER42971 del 24/02/2020 Fecha de monitoreo 22/11/2019</t>
  </si>
  <si>
    <t>Se estimó la carga contaminante con los resultados del PMAE Fase XV, Radicado SDA No. 2019ER181438 del 9/08/2019. Muestra: 2504AN01. Fecha de monitoreo: 25/04/2019. Hora: 9:14 - 11:14</t>
  </si>
  <si>
    <t xml:space="preserve">Se estimó la carga contaminante con su autodeclaración de vertimientos 2020, radicado SDA No. 2021ER40582 del 03/03/2021. Fecha de monitoreo  28/09/2020. Laboratorio SVL ambiental </t>
  </si>
  <si>
    <t>Se estimó la carga contaminante con la información del radicado SDA No. 2019ER95198 de 2/05/2019.
Fecha de Monitoreo 14/03/2019</t>
  </si>
  <si>
    <t>Se estimó la carga contaminante con la información del radicado SDA No. 2020ER113361 del 9/07/2020. Fecha de monitoreo 25/02/2020</t>
  </si>
  <si>
    <t>S estimó la carga contaminante con la información del radicado SDA No. 2020ER207533 del 19/11/2020. Fecha de monitoreo 15/10/2020</t>
  </si>
  <si>
    <t xml:space="preserve">Se estimó la carga contaminante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</si>
  <si>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Se estimó carga con autodeclaración del año 2019, radicado SDA No. 2020ER09339 del 17/01/2020, fecha monitoreo: 6/11/2020. Laboratorio Analquim Ltda. (caracterización del vertimiento). </t>
  </si>
  <si>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(No. de empleados=14, CT 12638 del 2015)</t>
  </si>
  <si>
    <t xml:space="preserve">Se estimó la carga contaminante como el promedio entre los resultados del PMAE Fase XV y el Informe de Caracterización radicado SDA No. 2019ER69893 del 28/03/2019 </t>
  </si>
  <si>
    <t>Se estimó la carga contaminante con la información del radicado SDA No. 2021ER35497 de 24/02/2021, Fecha de monitoreo: 13/05/2020, Hora: 07:30-15:30. Laboratorio Analquim Ltda. Se corrige el valor del caudal de acuerdo con lo establecido en la cadena de custodia de la caracterización.</t>
  </si>
  <si>
    <t>Se estimó la carga contaminante con la información del radicado SDA No.2021ER105018 del 28/05/2021. Se estimó la carga contaminante con los resultados de los monitoreos remitidos en el radicado en mención.</t>
  </si>
  <si>
    <t xml:space="preserve">Se estimó la carga contaminante con la informcaión del radicado SDA No.2021ER21579 del  04/02/2020, Informe de caracterización de aguas residuales del año 2020, Fecha de monitoreo: 29/12/2020. Hora:8:00 -16:00 Laboratorio Analquim Ltda. </t>
  </si>
  <si>
    <t xml:space="preserve">Se estimó la carga con la información de la autodeclaración de vertimientos radicado SDA No. 2021ER19002 del 01/02/2020, los resultados de la carecterización se referencian a los radicados SDA No.2021ER18288 del 01/02/2021 ( PV 1, PV2, PV4, PV5,PV6,PV7,PV8) y SDA No. 2021ER18839 del 01/02/2021(PV3) aclarando que este punto realiza descarga al sistema de Alcantarillado. Fecha del monitoreo 09/11/2020 y 10/11/2020, muestras tomadas por Comnambiente y analizadas por Laboratorio MCS –Consultoría y Monitoreos Ambientales S.A.S y Analquim LTDA. De acuerdo con la información presentada por el usuario en el  radicado SDA No.2020ER83144 del 15/05/2020  los puntos PV4 y PV8 fueron eliminados.  </t>
  </si>
  <si>
    <t xml:space="preserve">Se estimó la carga con la información de la autodeclaración de vertimientos radicado SDA No. 2021ER14853 del 26/01/2021,  resultados de la carectrización radicado SDA No. 2021ER12155 del 22/01/2021.  fecha de monitoreo: 11/11/2020 (PV1,PV3,PV4)  y 12/11/2020 (puntos PV2). Muestras tomadas por Comnambiente y analizadas por Laboratorio MCS –Consultoría y Monitoreos Ambientales S.A.S y Analquim LTDA.  Para  el PV2 debido a que reporta caudal de 0, se estiman carga  de  los datos del radicado SDA No. 2018ER21694 del 07/02/2018, informe de caracterización 2017ER18330 del 30/01/2017, fechas de monitoreo: 10/11/2016 y 11/11/2016. Laboratorio SGS Colombia S.A.S.  </t>
  </si>
  <si>
    <t>Se estimó la carga con la información de la autodeclaración de vertimientos radicado SDA No. 2021ER14326 del 26/01/2020, y SDA No. 2015ER30054 del 23/02/2015  fecha de monitoreo: 07/01/2015. Laboratorio Asinal Ltda. Se toma el número de días promedio en los que se presentaron eventos de lluvia en el año 2020 (Estación Santa María de Usme - IDEAM, radicado SDA No. 2021ER14326 del 26/01/2020)</t>
  </si>
  <si>
    <t xml:space="preserve">Se estimó la carga con la información de la autodeclaración de vertimientos radicado SDA No. 2021ER14162 del 26/01/2021, se verifica información remitida solo adjuntan información del punto ARND - PV1,  radicado SDA No. 2019ER90377 del 26/04/2019. fecha de monitoreo: 27/02/2019. Laboratorio Asinal SAS.  Se estima carga PMAE Fase XV Muestra 0310WI04. Fecha de monitoreo: 03/10/2019. Hora: 12:30 a.m. muestra puntual.  Radicado 2018ER137346  del 14/06/2018
</t>
  </si>
  <si>
    <t>02561 
( 2016EE236379 )
00449- Aclaración- (2018EE35952)</t>
  </si>
  <si>
    <t>Cumplimiento Normativo</t>
  </si>
  <si>
    <t>Resolución</t>
  </si>
  <si>
    <t>SST 
(mg/L)</t>
  </si>
  <si>
    <t>Autodeclaración de vertimientos radicado SDA No. 2020ER07358 del 14/01/2020, el usuario no reporta valores sustentando que no ha salido el permiso de vertimientos tramitado con la SDA. No aprobada.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al SINUPOT la agrupación cuenta con 13 casas)</t>
  </si>
  <si>
    <t>2019 - Línea Base</t>
  </si>
  <si>
    <t>Número de viviendas</t>
  </si>
  <si>
    <t>Q/No. de viviendas</t>
  </si>
  <si>
    <t>Carga Objetivo</t>
  </si>
  <si>
    <t>631 de 2015</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</si>
  <si>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30 Lotes de los cuales se encuentran construidas y habitadas 6 viviendas.</t>
  </si>
  <si>
    <t>CAUDAL</t>
  </si>
  <si>
    <t>DBO</t>
  </si>
  <si>
    <t>DBO (mg/l)</t>
  </si>
  <si>
    <t>SST</t>
  </si>
  <si>
    <t>No presentó autodeclaración de vertimientos, se estima la carga contaminante con los resultados del PMAE Fase XV, Radicado SDA No. 2020ER26338 del 5/02/2020. Muestra 2904AN02. Fecha de monitoreo: 29/04/2019. Hora: 07:50 - 09:50</t>
  </si>
  <si>
    <t xml:space="preserve">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</si>
  <si>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No presentó autodeclaración de vertimientos. Se estima la carga contaminante con los resultados del PMAE Fase XV, Radicado SDA 2020ER26338 del 5/02/2020. Muestra No. 0305WI02. Fecha de monitoreo: 03/05/2019. Hora: 06:30-09:30</t>
  </si>
  <si>
    <t xml:space="preserve">No presentó autodeclaración de vertimientos; con radicado SDA No. 2019ER299478 del 23/12/2019 solicitó prórroga.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</si>
  <si>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No presentó autodeclaración de vertimientos. Se estima la carga contaminante con los resultados del PMAE Fase XV, Radicado SDA No.  2020ER26338 del 5/02/2020. Muestra No. 0305WI01. Fecha de monitoreo: 03/05/2019. Hora: 07:00-09:00</t>
  </si>
  <si>
    <t xml:space="preserve">No presentó autodeclaración de vertimientos. Se estima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</si>
  <si>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Autodeclaración de vertimientos 2019ER294949 del 18/12/2019, fecha de monitoreo: 29/08/2019. Laboratorio H2O es vida S.A.S. (caracterización del vertimiento). </t>
  </si>
  <si>
    <t>No presentó autodeclaración de vertimientos. Se estima la carga contaminante con la información del radicado SDA No. 2019ER269271 del 19/11/2019, fecha de caracterización 24/09/2019. Laboratorio Analquim Ltda.</t>
  </si>
  <si>
    <t>Autodeclaración de vertimientos 2020ER09550 del 17/01/2020, no presenta soportes, revisado el sistema forest se evidencia que los datos diligenciados corresponden a una caracterización del año 2018.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(4 casas, CT 15644 de 2019, 2019IE290561)</t>
  </si>
  <si>
    <t>Autodeclaración de vertimientos radicado SDA No. 2020ER08315 del 15/01/2020, fecha de monitoreo: 14/11/2019, Hora: 08:00 - 15:30, QHSE Asesoría e Ingeniería Ambiental S.A.S. Se corrige el valor del caudal de acuerdo con lo establecido en la cadena de custodia de la caracterización.</t>
  </si>
  <si>
    <t xml:space="preserve">No presentó autodeclaración de vertimientos, se estima la carga contaminante con los resultados del PMAE Fase XV, Radicado SDA No. 2019ER181438 del 9/08/2019. Muestra 2604WI01. Fecha de monitoreo: 26/04/2019. Hora: 7:00 - 9:00. </t>
  </si>
  <si>
    <t>Autodeclaración de vertimientos radicado SDA No.2020ER00856 del 03/01/2020, caracterización de periodo diferente al año 2019. Se estima la carga contaminante con los resultados del PMAE Fase XV, Radicado SDA No. 2020ER26338 del 5/02/2020. Muestra: 2904AN03. Fecha de monitoreo: 29/04/2019. Hora: 10:20 - 12:20 (Sólo se pudo tomar una alicuota, durante el resto de las dos horas no se presentó vertimiento)</t>
  </si>
  <si>
    <t xml:space="preserve"> No presentó autodeclaración de vertimientos. Se toma el dato del PMAE Fase XIV (Radicado CAR 2017ER261481 del 21/12/2017). Muestra CAR No. 5791-17. </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</si>
  <si>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Información del usuario tomada del I.T 00931 del 01/08/2016 (2016IE130868 del 01/08/201).</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</si>
  <si>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</si>
  <si>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Autodeclaración de vertimientos radicado SDA No.2020ER08100 del 15/01/2020, fecha de monitoreo: 05/07/2019. Laboratorio H2O es vida S.A.S. Radicado SDA No.  2019ER206991 del 06/09/2019 (caracterización del vertimiento). CASA 1 Y 3 </t>
  </si>
  <si>
    <t xml:space="preserve">Autodeclaración de vertimientos radicado SDA No.2020ER08100 del 15/01/2020, fecha de monitoreo: 05/07/2019. Laboratorio H2O es vida S.A.S. Radicado SDA No.  2019ER206991 del 06/09/2019 (caracterización del vertimiento). CASA 2 Y 4 </t>
  </si>
  <si>
    <t xml:space="preserve">Autodeclaración de vertimientos radicado SDA No. 2020ER09861 del 17/01/202020, Solo envían formulario y hoja de resultados de caracterización del año anterior..Se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</si>
  <si>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</si>
  <si>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Autodeclaración de vertimientos radicado SDA No.2020ER08098 del 15/01/2020,  no presenta soportes de la caracteriazción .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</si>
  <si>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No presentó autodeclaración de vertimientos, se estima la carga contaminante con el Informe de Caracterización radicado SDA No. 2019ER223411 del 24/09/2019, fecha de monitoreo: 06/08/2019. Laboratorio Analquim Ltda.</t>
  </si>
  <si>
    <t>No presentó autodeclaración.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</si>
  <si>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</si>
  <si>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</si>
  <si>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Autodeclaración de vertimientos 2020ER08101 del 15/01/2020. Casas 1 y 2, fecha de caracterización: 23/08/2019. Laboratorio H2O Es Vida S.A.S. Radicado SDA No. 2019ER271127 del 21/11/2019 (caracterización del vertimiento) </t>
  </si>
  <si>
    <t xml:space="preserve">Autodeclaración de vertimientos 2020ER08101 del 15/01/2020. Casas 3 y 4, fecha de caracterización: 23/08/2019. Laboratorio H2O Es Vida S.A.S. Radicado SDA No. 2019ER271127 del 21/11/2019 (caracterización del vertimiento) </t>
  </si>
  <si>
    <t xml:space="preserve">Autodeclaración de vertimientos  2020ER09601 del 17/01/2020, fecha de caracterización: 03/10/2019. Laboratorio Analquim Ltda. (caracterización del vertimiento) 
</t>
  </si>
  <si>
    <t>Autodeclaración de vertimientos radicado SDA No. 2020ER51386 del 5/03/2020, fecha de caracterización: 1/04/2019. Laboratorio Analquim Ltda. No se aprueba porque no se presentó en la fecha indicada.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</si>
  <si>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Autodeclaración de vertimientos radicado SDA No. 2020ER06287 del 14/01/2020, el usuario no diligenció los datos de concentraciones y caudal.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</si>
  <si>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No presentó autodeclaración de vertimientos.Se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</si>
  <si>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No presentó autodeclaración de vertimientos. Se estima la carga contaminante con los resultados del PMAE Fase XV, Radicado SDA No. 2020ER26338 del 5/02/2020. Muestra: 2904AN04. Fecha de monitoreo: 29/04/2019. Hora: 13:10 - 15:10. (Solo se tomó una alicuota, no se presentó más vertimiento)</t>
  </si>
  <si>
    <t xml:space="preserve">No presentó autodeclaración de vertimientos. Se estima la carga contaminante con los resultados del PMAE Fase XV, Radicado SDA No.  2020ER26338 del 5/02/2020. Muestra: 0305WI03. Fecha de monitoreo: 03/05/2019. Hora: 08:00 - 10:00. </t>
  </si>
  <si>
    <t>Análisis y reporte</t>
  </si>
  <si>
    <t>Resolución 3956 de 2009
Artículo 11</t>
  </si>
  <si>
    <t>Remoción &gt; 80% en carga</t>
  </si>
  <si>
    <t>631 de 2015
Vivienda Unifamiliar - Bifamiliar</t>
  </si>
  <si>
    <t>Se estima la carga contaminante como el promedio entre el resultado del PMAE Fase XV y la autodeclaración de vertimientos.</t>
  </si>
  <si>
    <t>Resultado PMAE Fase XV. Radicado 2020ER26338 del 5/02/2020. Muestra 0305AN02. Fecha de monitoreo: 3/05/2019. Hora: 09:35 - 11:35</t>
  </si>
  <si>
    <t>Autodeclaración de vertimientos Radicado SDA No. 2020ER03174 del 09/01/2020. Fecha de monitoreo: 3/10/2019. Por el  Laboratorio MCS Consultoría y Monitoreo Ambiental S.A.S. (caracterización del vertimiento).</t>
  </si>
  <si>
    <t xml:space="preserve">Autodeclaración de vertimientos radicado SDA No. 2020ER07371 del 14/01/2020, Información del radicado SDA No. 2019ER104193 del 14/05/2019. Fecha de monitoreo: 05/04/2019. Laboratorio Analquim Ltda. (caracterización del vertimiento).  </t>
  </si>
  <si>
    <t xml:space="preserve">Autodeclaración de vertimientos radicado SDA No. 2020ER07364 del 14/01/2020. fecha de monitoreo: 4/10/2019. Laboratorio Analquim Ltda. Radicado SDA No. 2019ER266113 del 14/11/2019 (caracterización del vertimiento). </t>
  </si>
  <si>
    <t xml:space="preserve">Autodeclaración de vertimientos radicado SDA No. 2020ER07370 del 14/01/2020. fecha de monitoreo: 5/08/2019. Hora: 08:00 - 16:00.  Laboratorio Analquim Ltda. Radicado SDA No.2019ER211948 del 12/09/2019 (caracterización del vertimiento).
</t>
  </si>
  <si>
    <t>No presentó autodeclaración. El usuario presentó informe de caracterización radicado SDA No. SDA No. 2019ER224655 del 25/09/2019, fecha de monitoreo: 27/08/2019. Laboratorio Analquim Ltda, sin embargo no se aforó caudal.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</si>
  <si>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Con radicado SDA No. 2019ER303597 del 27/12/2019 el usuario informa que presentó su autodeclaración de vertimientos con radicado SDA No. 2019ER213191 del 13/09/2019, fecha de monitoreo: 05/08/2019, hora: 8:30 - 16:30, Laboractorio MCS Consultoría y Monitoreo Ambiental S.A.S.</t>
  </si>
  <si>
    <t>Autodeclaración de vertimientos radicado SDA No. 2020ER08261 del 15/01/2020, informe de caracterización radicado SDA No. 2018ER303963 del 20/12/2018, fecha monitoreo: 31/10/2018. Laboratorio Conoser Ltda. 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(25 lotes, 21 casas, SINUPOT)</t>
  </si>
  <si>
    <t>Autodeclaración de vertimientos radicado SDA No. 2020ER03185 del 9/01/2020, fecha monitoreo: 20/11/2019. Laboratorio MCS Consultoría y Monitoreo Ambiental S.A.S.</t>
  </si>
  <si>
    <t>Autodeclaración de vertimientos radicado SDA No.2020ER06598 del 14/01/2020, fecha monitoreo: 14/11/2019. Laboratorio Hidrolab. Radicado SDA No. 2019ER291062 del 13/12/2019 (caracterización del vertimiento). Los valores en el formulario de autodeclaración de vertimientos están mal diligenciados de acuerdo con el informe de caracterización del vertimiento.</t>
  </si>
  <si>
    <t>Con radicado SDA No. 2019ER303577 del 27/12/2019 el usuario informa que presentó su Autodeclaración de vertimientos en radicado SDA No. 2019ER213181 del 13/12/2019, fecha monitoreo: 06/08/2019, hora: 8:45 - 16:45. Laboratorio MCS Consultoría y Monitoreo Ambiental S.A.S. (caracterización del vertimiento)</t>
  </si>
  <si>
    <t>Resultado PMAE Fase XV, Radicado SDA No. 2020ER26338 del 5/02/2020. Muestra No. 0205AN03. Fecha de monitoreo: 2/05/2019. Hora: 9:10 - 11:10</t>
  </si>
  <si>
    <t xml:space="preserve">Autodeclaración de vertimientos 2019ER295845 del 19/12/2019. Informe de Caracterización radicado SDA No. 2019ER255309 del 31/10/2019, fecha de caracterización: 11/09/2019, Hora: 07:00 - 15:00, Laboratorio Instituto de Higiene Ambiental S.A.S. </t>
  </si>
  <si>
    <t xml:space="preserve">Autodeclaración de vertimientos radicado SDA No. 2020ER08253 del 15/01/2020, incluida también en el radicado SDA No.2019ER190298 del 21/08/2019, fecha monitoreo: 12/06/2019, Hora: 07:30 - 15:30. Laboratorio MCS Consultoría y Monitoreo Ambiental S.A.S. </t>
  </si>
  <si>
    <t>Con radicado SDA No. 2019ER303625 del 27/12/2019 el usuario informa que envió su Autodeclaración de vertimientos en el radicado SDA No. 2019ER263799 del 12/11/2019, fecha monitoreo: 10/09/2019, Hora: 08:00 - 16:00. Laboratorio MCS Consultoría y Monitoreo Ambiental S.A.S. (caracterización del vertimiento)</t>
  </si>
  <si>
    <t>Se estima la carga contaminante como el promedio entre el resultado del PMAE Fase XV y su autodeclaración de vertimientos.</t>
  </si>
  <si>
    <t>Resultado PMAE Fase XV, Radicado SDA No. 2020ER26338 del 5/02/2020. Muestra No. 0205AN04. Fecha de monitoreo: 2/05/2019. Hora: 12:05 - 14:05</t>
  </si>
  <si>
    <t>Autodeclaración de vertimientos 2020ER22294 del 31/01/2020, Informe de caracterización, radicado 2020ER22290 del 31/01/2020, fecha de caracterización: 28/12/2019, Hora: 09:00 - 17:00. CIAN Consultoría y Servicios Ambientales Ltda.</t>
  </si>
  <si>
    <t xml:space="preserve">Autodeclaración de vertimientos radicado SDA No. 2020ER03122 del 09/01/2020, el usuario informa que con radicado SDA No. 2019ER226266 del 29/09/2019 envió su formulario de autodeclaración de vertimientos, fecha monitoreo: 05/08/2019, Hora: 08:45 - 16:45. Laboratorio MCS Consultoría y Monitoreo Ambiental S.A.S. (Caracterización del vertimiento). </t>
  </si>
  <si>
    <t>Con radicado SDA No. 2019ER303601 del 27/12/2019 el usuario informa que presentó su Autodeclaración de vertimientos en radicado SDA No. 2019ER264635 del 13/11/2019, fecha monitoreo: 10/09/2019, hora: 7:00 - 15:00. Laboratorio MCS Consultoría y Monitoreo Ambiental S.A.S. (Caracterización del vertimiento)</t>
  </si>
  <si>
    <t>Con radicado SDA No. 2020ER03151 del 17/01/2020 informó que su Autodeclaración de vertimientos está incluida en el radicado SDA No. 2019ER263787 del 12/11/2019, fecha de caracterización: 16/09/2019, Hora: 08:30 - 16:30, Laboratorio Instituto de Higiene Ambiental S.A.S.  (Caracterización del vertimiento)</t>
  </si>
  <si>
    <t>Con radicado SDA No. 2020ER03136 del 9/01/2020 el usuario informa que su Autodeclaración de vertimientos está incluida en el radicado SDA No. 2019ER221933 del 23/09/2019, fecha de caracterización: 07/08/2019, Hora: 07:20 - 15:20, Laboratorio Instituto de Higiene Ambiental S.A.S.  (Caracterización del vertimiento)</t>
  </si>
  <si>
    <t>Autodeclaración de vertimientos radicado SDA No.2020ER06611 del 14/01/2020, Informe de Caracterización radicado SDA No. 2019ER255358 del 31/10/2019, fecha monitoreo: 06/09/2019, Hora: 09:00 - 17:00. Laboratorio Hidrolab.</t>
  </si>
  <si>
    <t>Con radicado SDA No. 2019ER303589 del 27/12/2019 el usuario informa que presentó su autodeclaración de vertimientos con radicado SDA No. 2019ER264801 del 13/11/2019, fecha de monitoreo: 10/09/2019, hora: 07:00 - 15:00, Laboractorio MCS Consultoría y Monitoreo Ambiental S.A.S..</t>
  </si>
  <si>
    <t xml:space="preserve">Autodeclaración de vertimientos radicado SDA No. 2020ER07197 del 14/01/2020, fecha monitoreo: 20/11/2019, Hora: 07:00-15:00. Laboratorio MCS Consultoría y Monitoreo Ambiental S.A.S., (Caracterización del vertimiento). </t>
  </si>
  <si>
    <t xml:space="preserve">Autodeclaración de vertimientos radicado SDA No. 2019ER298331 del 20/12/2019, fecha monitoreo: 21/06/2019, Hora: 08:00-16:00. Laboratorio de Análisis químicos y microbiológicos Biopolab Ltda. , (Caracterización del vertimiento). </t>
  </si>
  <si>
    <t xml:space="preserve">Autodeclaración de vertimientos radicado SDA No. 2020ER03208 del 9/01/2020. Fecha de monitoreo: 07/11/2019., Hora: 07:00-15:00. Laboratorio MCS Consultoría y Monitoreo Ambiental S.A.S. (caracterización del vertimiento). </t>
  </si>
  <si>
    <t>No presentó autodeclaración de vertimientos, se estima la carga contaminante con la información contenida en el radicado SDA No. 2019ER205550 del 5/09/2019, fecha de monitoreo: 8/03/2019. Hora: 07:00-15:00</t>
  </si>
  <si>
    <t>Con radicado SDA No.2020ER03081 del 9/01/2020 el usuario informa que presentó su autodeclaración de vertimientos con radicado SDA No. 2019ER190296 del 21/08/2019, fecha de monitoreo: 12/06/2019, hora: 07:30 - 15:30, Laboratorio MCS Consultoría y Monitoreo Ambiental S.A.S. No se anexa custodia del aforo del caudal para determinar el caudal promedio, el informe tampoco lo presenta. 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(25 casas - CT No. 14234 del 27/11/2019 - 2019IE275552)</t>
  </si>
  <si>
    <t>No presentó autodeclaración de vertimientos a través del radicado SDA No. 2020ER03143 del 9/01/2020 solicitó prórroga.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(15 casas, CT  09891 del 5/09/2019, 2019IE206257)</t>
  </si>
  <si>
    <t>Autodeclaración de vertimientos radicado SDA No. 2020ER32415 del 11/02/2020, no presenta soportes. Se estima la carga contaminante con la información presentada en el Radicado SDA No. 2019ER251514 del 25/10/2019. Fecha de Monitoreo 13/09/2019, que corresponde a su solicitud de renovación de permiso de vertimientos.</t>
  </si>
  <si>
    <t>Autodeclaración de vertimientos radicado SDA No. 2020ER06615 del 14/01/2020, fecha monitoreo: 05/12/2019. Laboratorio CIAN Ltda. Consultoría y Servicios Ambientales, Informe de Caracterización radicado SDA No. 2020ER06606 del 14/01/2020.</t>
  </si>
  <si>
    <t>Autodeclaración de vertimientos radicado SDA No. 2020ER08257 del 15/01/2020, Informe de Caracterización radicado SDA No. 2019ER205536 del 5/09/2019, fecha de monitoreo: 8/03/2019, Laboratorio Quimicontrol Ltda. Ambiente e Industria.</t>
  </si>
  <si>
    <t>No presentó autodeclaración de vertimientos. Se estima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con el SINUPOT el conjunto cuenta con 14 casas)</t>
  </si>
  <si>
    <t>Autodeclaración de vertimientos radicado SDA No. 2020ER10017 del 17/01/2020. Informe de caracterización radicado SDA No. 2020ER06591 del 14/01/2020, fecha de caracterización 5/12/2019, Laboratorio CIAN Ltda. Consultoría y Servicios Ambientales.</t>
  </si>
  <si>
    <t>Autodeclaración de vertimientos incluida en el radicado SDA No. 2019ER213168 del 13/09/2019, fecha monitoreo: 6/08/2019. Laboratorio MCS Consultoría y Monitoreo Ambiental S.A.S.</t>
  </si>
  <si>
    <t>Q - Estandarizado</t>
  </si>
  <si>
    <t>631 de 2015
Vivienda unifamiliar o bifamiliar</t>
  </si>
  <si>
    <t>Autodeclaración de vertimientos radicado SDA No. 2020ER57209 del 13/03/2020 remitido por la UAESP</t>
  </si>
  <si>
    <t>No presentó autodeclaración de vertimientos. Se toma el dato del PMAE Fase XIV. Muestra No. 2310WI01, fecha de monitoreo: 23/10/2019, Hora: 9:30-10:30</t>
  </si>
  <si>
    <t>No presentó autodeclaración de vertimientos, se estimó la carga contaminante con la información del radicado SDA No. 2017ER158239 del 16/08/2017, fecha de monitoreo: 5/06/2017</t>
  </si>
  <si>
    <t>Resultados PMAE Fase XV, Muestra 0310WI02. Fecha de monitoreo: 03/10/2019. Hora: 10:45 a.m. en el punto ARND -PV1 , Muestra 0310AN03. Fecha de monitoreo: 03/10/2019. Hora: 10:30 a.m en el punto ARND -PV2.
Autodeclaración de vertimientos radicado SDA No.2020ER09742  del 17/01/2020, fecha de monitoreo: 27/11/2018 y 28/11/2018 (Puntos PV1, PV2, PV3 y PV5). Laboratorio SGS Colombia S.A.S. Radicado SDA No. 2019ER23997 del 30/01/2019 (caracterización del vertimiento), fecha de monitoreo 08/11/2016 y 09/11/2016 (Puntos PV4, PV6 y PV7)  Laboratorio SGS Colombia S.A.S. . No Aprobada, no presenta soportes del tiempo de vertimiento por día.</t>
  </si>
  <si>
    <t>Resultados PMAE Fase XV, Muestra 0310WI03. Fecha de monitoreo: 03/10/2019. Hora: 11:15 a.m. en el punto ARND -PV1 , Muestra 0310AN04. Fecha de monitoreo: 03/10/2019. Hora: 11:30 a.m en el punto ARND -PV3. 
Autodeclaración de vertimientos radicado SDA No. 2020ER09744 del 17/01/2020,  fecha de monitoreo: 29/11/2018 y 30/11/2018 (puntos PV1 y PV3). Laboratorio SGS Colombia S.A.S. Radicado SDA No. 2019ER25202 del 31/01/2019 (caracterización del vertimiento), los demás puntos reportó un caudal de 0. Para los puntos PV2 y PV4 se toma el dato del radicado SDA No. 2018ER21694 del 07/02/2018, informe de caracterización 2017ER18330 del 30/01/2017, fechas de monitoreo: 10/11/2016 y 11/11/2016. Laboratorio SGS Colombia S.A.S.  No Aprobada, no presenta soportes del tiempo de vertimiento por día.</t>
  </si>
  <si>
    <t xml:space="preserve">Autodeclaración de vertimientos radicado SDA No. 2020ER09131 del 16/01/2020, fecha de monitoreo: 07/01/2015. Laboratorio Asinal Ltda. Radicado SDA No. 2015ER30054 del 23/02/2015 (caracterización del vertimiento). No Aprobada, no reporta un punto de vertimiento. </t>
  </si>
  <si>
    <t xml:space="preserve">PMAE Fase XV Muestra 0310WI04. Fecha de monitoreo: 03/10/2019. Hora: 12:30 a.m. muestra puntual. 
Autodeclaración de vertimientos radicado SDA No. 2020ER09126 del 16/01/2020, fecha de monitoreo: 27/02/2019. Laboratorio Asinal SAS. Radicado SDA No.  2019ER90377 del 26/04/2019 (caracterización del vertimiento envian solo del punto PV1,quedaron faltando los otros 2 puntos ). 
</t>
  </si>
  <si>
    <t>20
90</t>
  </si>
  <si>
    <t>120
90</t>
  </si>
  <si>
    <t>Autodeclaración de vertimientos radicado SAD No. 2020ER09183 del 16/01/2020, no presenta soportes, no se evidencia remisión por parte del usuario de informe de caracterización en el año 2019 en el sistema forest, se estima la carga contaminante con los resultados del PMAE Fase XV, Radicado SDA No. 2019ER181438 del 9/08/2019. Muestra: 2504AN01. Fecha de monitoreo: 25/04/2019. Hora: 9:14 - 11:14</t>
  </si>
  <si>
    <t>No presentó autodeclaración. Se toma el dato de radicado SDA No. 2018ER56922 del 20/03/2018 (remisión información permiso de vertimientos), fecha monitoreo: 22/01/2018. Laboratorio Analquim Ltda. (Caracterización del vertimiento).</t>
  </si>
  <si>
    <t>No presentó autodeclaración.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(No. de alumnos=600, radicado 2014ER221845)</t>
  </si>
  <si>
    <t>La carga contaminante se estimó como el promedio entre el PMAE Fase XV y su autodeclaración de vertimientos</t>
  </si>
  <si>
    <t>Radicado 2019ER145305 del 28/06/2019. Muestra 2903WI04
Fecha de monitoreo: 29/03/2019. Hora: 10:30 - 12:30</t>
  </si>
  <si>
    <t xml:space="preserve">Autodeclaración de vertimientos Radicado SDA No. 2020ER03419 del 9/01/2020, Informe de caracterización con radicado SDA No. 2019ER133430  del 17/06/2019, fecha de caracterización: 26/04/2019. Laboratorio ChemiLab S.A.S. </t>
  </si>
  <si>
    <t>No presentó autodeclaración. Se toma el dato del radicado permiso de vertimientos SDA No. 2017ER202639 del 12/10/2017, 
Autodeclaración 2018ER35126 del 22/02/2018, fecha de monitoreo: 02/10/2017, laboratorio Hidrolab.</t>
  </si>
  <si>
    <t>No presentó autodeclaración de vertimientos. Se estima la carga con los resultados del PMAE Fase XV, Radicado SDA No. 2020ER26338 del 5/02/2020. Muestre 2904AN04. Fecha de monitoreo: 29/04/2019. Hora: 11:00 - 13:00</t>
  </si>
  <si>
    <t xml:space="preserve">No presentó autodeclaración de vertimientos. Se toma el dato del radicado SDA No. 2018ER267279 del 15/11/2018, fecha de monitoreo: 15/09/2018.Laboratorio Analquim Ltda (caracterización del vertimiento). </t>
  </si>
  <si>
    <t>La carga contaminante se estimó como el promedio entre el PMAE Fase XV y la autodeclaración de vertimientos</t>
  </si>
  <si>
    <t>Resultado PMAE Fase XV, Radicado SDA No. 2019ER181438 del 9/08/2019. Muestra: 2404HA03. Fecha de muestreo: 24/04/2019. Hora: 15:00 - 17:00</t>
  </si>
  <si>
    <t xml:space="preserve">Autodeclaración de vertimientos radicado SDA No. 2020ER09871 del 17/01/2020, fecha de monitoreo: 17/09/2019. Laboratorio H2O ES VIDA S.A.S. </t>
  </si>
  <si>
    <t>Resultado PMAE Fase XV, Radicado SDA No. 2019ER181438 del 9/08/2019. Muestre 2404HA01. Fecha: de monitoreo: 24/04/2019. Hora: 8:00-10:00</t>
  </si>
  <si>
    <t xml:space="preserve">Autodeclaración de vertimientos radicado SDA No. 2020ER09209 del 16/01/2020, fecha monitoreo: 1/11/2019. Laboratorio H2O Es Vida S.A.S (caracterización del vertimiento). </t>
  </si>
  <si>
    <t>No presentó autodeclaración de vertimientos. Se estima la carga contaminante con los resultados del PMAE Fase XV, Radicado SDA No. 2019ER181438 del 9/08/2019. Muestra 2604AN03. Fecha de monitoreo 26/04/2019. Hora: 10:14 - 12:14</t>
  </si>
  <si>
    <t>Autodeclaración de vertimientos radicado SDA No.  2020ER05640 del 13/01/2020. No presenta soporte del parámetro SST. Se toma el dato del radicado SDA No. 2018ER29881 del 16/02/2018, documentos complementarios a la solicitud de permiso de vertimientos.</t>
  </si>
  <si>
    <t>No presentó autodeclaración. Se toma el dato del radicado SDA No. 2019ER04656  del 09/01/2019, fecha de monitoreo: 19/11/2018. (Caracterización del vertimiento).</t>
  </si>
  <si>
    <t>Autodeclaración de vertimientos 2020ER09728 del 17/01/2020, sede 1 Informe de caracterización radicado SDA No. 2019ER299141 del 23/12/2019, fecha de monitoreo: 21/10/2019. Laboratorio H2O es Vida S.A.S</t>
  </si>
  <si>
    <t>Autodeclaración de vertimientos 2020ER09728 del 17/01/2020, no se incluye el vertimiento de la sede 2; Informe de caracterización radicado SDA No. 2019ER299138 del 23/12/2019, fecha de monitoreo: 21/10/2019. Laboratorio H2O es Vida S.A.S</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</si>
  <si>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(Número de estudiantes y empleados: 149, CT 09065 de 2017, 2017IE268096)</t>
  </si>
  <si>
    <t>No presentó autodeclaración. Se toma el dato de autodeclaración de vertimientos radicado SDA No.2018ER29421 del 16/02/2018, fecha monitoreo: 31/07/2017. Laboratorio CIAN Ltda. Consultoría y Servicios Ambientales, radicado SDA No. 2017ER196835 del 05/10/2017 (caracterización del vertimiento).</t>
  </si>
  <si>
    <t>No presentó autodeclaración de vertimientos se estima la carga con los resultados del PMAE Fase XV, Radicado SDA No. 2019ER181438 del 9/08/2019. Muestra No. 2404WI02. Fecha 24/04/2019. Hora: 9:30 - 11:30. De acuerdo con las coordenadas correspondería a este punto.</t>
  </si>
  <si>
    <t xml:space="preserve">No presentó autodeclaración de vertimientos. Se estimó la carga contaminante con los resultados del PMAE Fase XV, Radicado SDA No.2019ER145205 del 28/06/2019. Muestra 0703AN04. Fecha de monitoreo: 7/03/2019. Hora: 13:20 - 15:20. Muestra compuesta. 
</t>
  </si>
  <si>
    <t>No presentó autodeclaración de vertimientos. Se estimó la carga contaminante con los resultados del PMAE Fase XV, Radicado SDA No. 2019ER213311 del 13/09/2019. Muestra No. 0706WI01. Fecha de monitoreo: 7/06/2019. Hora: 09:00-11:00</t>
  </si>
  <si>
    <t>No presentó autodeclaración de vertimientos; con radicado SDA No. 2020ER17924 del 28/01/2020 solicitó prórroga. Se estima la carga contaminante con los resultados del PMAE Fase XV, Radicado SDA No. 2019ER145333 del 28/06/2019. Muestra 1803WI05. Fecha de monitoreo: 18/03/2019. Hora: 14:00 - 16:00</t>
  </si>
  <si>
    <t>Autodeclaración de vertimientos 2019ER304731 del 30/12/2020, no presenta soportes. No se aprueba. Se estima la carga contaminante con los resultados del PMAE Fase XV, Radicado SDA No. 2019ER213311 del 13/09/2019. Muestra No. 0706AZ01. Fecha de monitoreo: 7/06/2019. Hora: 09:00-11:00</t>
  </si>
  <si>
    <t xml:space="preserve">No presentó autodeclaración de vertimientos, se estima la carga con la información del radicado SDA No. 2019ER06076 del 10/01/2019, fecha monitoreo: 09/07/2018. Laboratorio Arturo Lizarazo &amp; CIA. Radicado SDA No. 2018ER301612 del 19/12/2018  (caracterización del vertimiento). </t>
  </si>
  <si>
    <t xml:space="preserve">Autodeclaración de vertimientos radicado SDA No. 2020ER17431 del 28/01/2020, fecha monitoreo: 25/11/2019. Laboratorio Ambiental y Servicios Sanitarios (LASS) Ltda., (caracterización del vertimiento). </t>
  </si>
  <si>
    <t>Autodeclaración de vertimientos radicado SDA No. 2019ER305138 del 30/12/2019, fecha monitoreo: 17/10/2019, Hora: 8:30-16:30. Laboratorio Ambiental y Servicios Sanitarios (LASS) Ltda., radicado SDA No. 2019ER276108 del 27/11/2019 (caracterización del vertimiento). Aprobada.</t>
  </si>
  <si>
    <t>Autodeclaración de vertimientos Radicado SDA No. 2020ER09889 del 17/01/2019, no presenta soportes de los valores diligenciados en el formulario, no se evidencia en el sistema forest de la entidad la remisión de informe de caracterización en el año 2019. Se estima la carga con los resultados del PMAE Fase XV, Radicado SDA No. 2019ER145333 del 28/06/2019. Muestra 1803HA03. Fecha de monitoreo: 18/03/2019. Hora: 11:00 - 13:00</t>
  </si>
  <si>
    <t>Autodeclaración de vertimientos radicado SDA No. 2020ER08551 del 16/01/2020, no presenta soportes. Se estima la carga contaminante con los resultados del PMAE Fase XV, Radicado SDA No. 2019ER181438 del 9/08/2019. Muestra 2604HA01. Fecha de monitoreo: 26/04/2019. Hora: 8:15 - 10:15. Punto ubicado sobre la Cl 173 al respaldo del predio.</t>
  </si>
  <si>
    <t>Autodeclaración de vertimientos radicado SDA No. 2020ER08551 del 16/01/2020, no presenta soportes. Se estima la carga contaminante con los resultados del PMAE Fase XV, Radicado SDA No. 2019ER181438 del 9/08/2019. Muestra 2604HA02. Fecha de monitoreo: 26/04/2019. Hora: 10:00 - 12:00. Punto ubicado sobre la Cl 173 al respaldo del predio.</t>
  </si>
  <si>
    <t xml:space="preserve">Autodeclaración de vertimientos radicado SDA No. 2020ER09343 del 17/01/2020, no presenta soportes. Se estima la carga con  el radicado SDA No. 2019ER20338 del 25/01/2019, fecha monitoreo: 13/11/2018. Laboratorio Analquim Ltda. (caracterización del vertimiento). </t>
  </si>
  <si>
    <t xml:space="preserve">Autodeclaración de vertimientos radicado SDA No. 2020ER09339 del 17/01/2020, fecha monitoreo: 6/11/2019. Laboratorio Analquim Ltda. (caracterización del vertimiento). </t>
  </si>
  <si>
    <t>Autodeclaración de vertimientos radicado SDA No. 2020ER06725 del  14/01/2020, el informe de caracterización no presenta aforo de caudal.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</si>
  <si>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Autodeclaración de vertimientos radicado SDA No. 2019ER302499 del 26/12/2019, no se presentan soportes de la caracterización.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(No. de empleados=14, CT 12638 del 2015)</t>
  </si>
  <si>
    <t>Autodeclaración de vertimientos radicado SDA No. 2020ER09032 del 16/01/2020, fecha monitoreo: 23/12/2019. Laboratorio Chemilab Ltda. (caracterización del vertimiento).</t>
  </si>
  <si>
    <t xml:space="preserve">Autodeclaración de vertimientos radicado SDA No.2020ER09336 del 17/01/2020, fecha monitoreo: 6/11/2019. Laboratorio Analquim Ltda. (Caracterización del vertimiento). </t>
  </si>
  <si>
    <t xml:space="preserve">Autodeclaración de vertimientos radicado SDA No. 2020ER02046 del 8/01/2020, fecha monitoreo: 18/02/20019. Laboratorio Instituto de Higiene Ambiental S.A.S. Radicado SDA No. 2019ER92037 del 29/04/2019 (Caracterización del vertimiento). </t>
  </si>
  <si>
    <t xml:space="preserve">Autodeclaración de vertimientos radicado SDA No. 2020ER02048 del 8/01/2020, no presenta soportes de la caracterización. Se estima la carga con la información del radicado 2018ER255020 del 31/10/2018, fecha de monitoreo: 27/07/2018. Laboratorio Instituto de Higiene Ambiental S.A.S.  (caracterización del vertimiento). </t>
  </si>
  <si>
    <t>Autodeclaración de vertimientos radicado SDA No. 2019ER301807 del 26/12/2019, el usuario refiere el radicado SDA No. 2019ER176985 del 2/08/2019, sin embargo este radicado no corresponde al informe de caracterización, así las cosas no se presentan soportes. Se estima la carga con el resultado del PMAE Fase XV, Radicado No. 2019ER195566 del 27/08/2019. Muestra No. 1705AZ01. Fecha de monitoreo: 17/05/2019. Hora: 8:30 - 10:30.</t>
  </si>
  <si>
    <t>No presentó autodeclaración de vertimientos. Se estima la carga contaminante como el promedio entre los resultados del PMAE Fase XV y el Informe de Caracterización radicado SDA No. 2019ER69893 del 28/03/2019</t>
  </si>
  <si>
    <t>Q</t>
  </si>
  <si>
    <t>INSTITUCIONES EDUCATIVAS</t>
  </si>
  <si>
    <t>Resolución 631 de 2015</t>
  </si>
  <si>
    <t>Resolución 3956 de 2009</t>
  </si>
  <si>
    <t>Resolución 631 de 2015
Vivienda unifamiliar o bifamiliar</t>
  </si>
  <si>
    <t>DBO - Estandarizada</t>
  </si>
  <si>
    <t>SST Estandarizado</t>
  </si>
  <si>
    <t>4025
(2021EE234063)</t>
  </si>
  <si>
    <t>3487
(2021EE211348)</t>
  </si>
  <si>
    <t xml:space="preserve">METAS INDIVIDUALES DE CARGA CONTAMINANTE </t>
  </si>
  <si>
    <t>Carga DBO5 (Kg/año)</t>
  </si>
  <si>
    <t>Promedio (2021 - Carga Objetivo)</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</si>
  <si>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El usuario presentó propuesta de meta individual y anexó informe de caracterización, con estos valores se estimó la carga para el año 2020. Fecha monitoreo: 3/03/2020. Analquim Ltda.</t>
  </si>
  <si>
    <t>Se estimó la carga contaminante con la información del radicado SDA No. 2021ER21587 del 04/02/2021, informe de caracterización de vertimientos, fecha de monitoreo: 29/12/2020, hora: 08:00 - 16:00, Laboractorio Analquim LTDA.
El usuario presentó propuesta de meta individual en la cual informó que la caracterización del año 2020 no se considera representativa por la pandemia Covid-19. Los valores de concentración y caudal corresponden a los estandarizados.</t>
  </si>
  <si>
    <t>20
100</t>
  </si>
  <si>
    <t>120
250</t>
  </si>
  <si>
    <t>Se estimó la carga contaminante con la autodeclaración del año 2020, Radicado SDA No.2021ER11227 del 21/01/2021,fecha de la caracterización 22/01/2020. Hora:11:30- 12:30. Laboratorio HIDROLAB</t>
  </si>
  <si>
    <t>3956 de 2009</t>
  </si>
  <si>
    <t>3956 de 2009
631 de 2015</t>
  </si>
  <si>
    <t>3956 de 2009
Resolución 01181 del 2020
ANLA</t>
  </si>
  <si>
    <t>Río</t>
  </si>
  <si>
    <t>Tramo</t>
  </si>
  <si>
    <t>Salitre</t>
  </si>
  <si>
    <t>Fucha</t>
  </si>
  <si>
    <t>SST 
(kg/año)</t>
  </si>
  <si>
    <t>Carga 
SST 
(Kg/año)</t>
  </si>
  <si>
    <t>Carga SST
 (Kg/año)</t>
  </si>
  <si>
    <t>Observaciones 2019</t>
  </si>
  <si>
    <t>Observaciones 2020</t>
  </si>
  <si>
    <t>DBO5 
(kg/año)</t>
  </si>
  <si>
    <t>Carga calculada</t>
  </si>
  <si>
    <t xml:space="preserve">Carga Calculada </t>
  </si>
  <si>
    <t>CONJUNTO RESIDENCIAL EL TRÉBOL</t>
  </si>
  <si>
    <t>CONJUNTO RESIDENCIAL EL BOSQUE</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</si>
</sst>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0"/>
    <numFmt numFmtId="187" formatCode="#,##0.000"/>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 #,##0"/>
    <numFmt numFmtId="194" formatCode="[$-240A]dddd\,\ dd&quot; de &quot;mmmm&quot; de &quot;yyyy"/>
    <numFmt numFmtId="195" formatCode="[$-240A]h:mm:ss\ AM/PM"/>
    <numFmt numFmtId="196" formatCode="#,##0.0"/>
    <numFmt numFmtId="197" formatCode="hh:mm:ss;@"/>
    <numFmt numFmtId="198" formatCode="#,##0.0000"/>
    <numFmt numFmtId="199" formatCode="mmm\-yyyy"/>
    <numFmt numFmtId="200" formatCode="[$-240A]hh:mm:ss\ AM/PM"/>
    <numFmt numFmtId="201" formatCode="0.00000000"/>
    <numFmt numFmtId="202" formatCode="0.0000000"/>
    <numFmt numFmtId="203" formatCode="0.000000"/>
    <numFmt numFmtId="204" formatCode="0.00000"/>
    <numFmt numFmtId="205" formatCode="0.0"/>
    <numFmt numFmtId="206" formatCode="&quot;$&quot;#,##0"/>
    <numFmt numFmtId="207" formatCode="0.0000000000"/>
    <numFmt numFmtId="208" formatCode="0.000000000"/>
    <numFmt numFmtId="209" formatCode="[$-240A]dddd\,\ d\ &quot;de&quot;\ mmmm\ &quot;de&quot;\ yyyy"/>
    <numFmt numFmtId="210" formatCode="dd/mm/yyyy;@"/>
    <numFmt numFmtId="211" formatCode="[$-C0A]General"/>
  </numFmts>
  <fonts count="58">
    <font>
      <sz val="11"/>
      <color theme="1"/>
      <name val="Calibri"/>
      <family val="2"/>
    </font>
    <font>
      <sz val="11"/>
      <color indexed="8"/>
      <name val="Calibri"/>
      <family val="2"/>
    </font>
    <font>
      <sz val="10"/>
      <name val="Arial"/>
      <family val="2"/>
    </font>
    <font>
      <b/>
      <sz val="8"/>
      <color indexed="8"/>
      <name val="Arial Narrow"/>
      <family val="2"/>
    </font>
    <font>
      <sz val="8"/>
      <name val="Arial Narrow"/>
      <family val="2"/>
    </font>
    <font>
      <b/>
      <sz val="8"/>
      <name val="Arial Narrow"/>
      <family val="2"/>
    </font>
    <font>
      <b/>
      <vertAlign val="subscript"/>
      <sz val="8"/>
      <color indexed="8"/>
      <name val="Arial Narrow"/>
      <family val="2"/>
    </font>
    <font>
      <sz val="8"/>
      <color indexed="10"/>
      <name val="Arial Narrow"/>
      <family val="2"/>
    </font>
    <font>
      <sz val="8"/>
      <color indexed="8"/>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10"/>
      <name val="Arial Narrow"/>
      <family val="2"/>
    </font>
    <font>
      <sz val="11"/>
      <color indexed="8"/>
      <name val="Arial Narrow"/>
      <family val="2"/>
    </font>
    <font>
      <b/>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Narrow"/>
      <family val="2"/>
    </font>
    <font>
      <sz val="8"/>
      <color rgb="FF000000"/>
      <name val="Arial Narrow"/>
      <family val="2"/>
    </font>
    <font>
      <b/>
      <sz val="8"/>
      <color rgb="FFFF0000"/>
      <name val="Arial Narrow"/>
      <family val="2"/>
    </font>
    <font>
      <sz val="8"/>
      <color rgb="FFFF0000"/>
      <name val="Arial Narrow"/>
      <family val="2"/>
    </font>
    <font>
      <b/>
      <sz val="8"/>
      <color theme="1"/>
      <name val="Arial Narrow"/>
      <family val="2"/>
    </font>
    <font>
      <sz val="11"/>
      <color theme="1"/>
      <name val="Arial Narrow"/>
      <family val="2"/>
    </font>
    <font>
      <sz val="11"/>
      <color rgb="FF000000"/>
      <name val="Arial Narrow"/>
      <family val="2"/>
    </font>
    <font>
      <b/>
      <sz val="11"/>
      <color rgb="FF00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6" tint="-0.24997000396251678"/>
        <bgColor indexed="64"/>
      </patternFill>
    </fill>
    <fill>
      <patternFill patternType="solid">
        <fgColor rgb="FFD6E6F4"/>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color rgb="FF5B9BD5"/>
      </left>
      <right style="medium">
        <color rgb="FF5B9BD5"/>
      </right>
      <top style="medium">
        <color rgb="FF5B9BD5"/>
      </top>
      <bottom style="medium">
        <color rgb="FF5B9BD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thin"/>
      <right style="thin"/>
      <top style="medium"/>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medium">
        <color rgb="FF5B9BD5"/>
      </left>
      <right style="medium">
        <color rgb="FF5B9BD5"/>
      </right>
      <top style="medium">
        <color rgb="FF5B9BD5"/>
      </top>
      <bottom>
        <color indexed="63"/>
      </bottom>
    </border>
    <border>
      <left style="medium">
        <color rgb="FF5B9BD5"/>
      </left>
      <right style="medium">
        <color rgb="FF5B9BD5"/>
      </right>
      <top>
        <color indexed="63"/>
      </top>
      <bottom>
        <color indexed="63"/>
      </bottom>
    </border>
    <border>
      <left style="medium">
        <color rgb="FF5B9BD5"/>
      </left>
      <right style="medium">
        <color rgb="FF5B9BD5"/>
      </right>
      <top>
        <color indexed="63"/>
      </top>
      <bottom style="medium">
        <color rgb="FF5B9BD5"/>
      </bottom>
    </border>
    <border>
      <left style="medium">
        <color rgb="FF5B9BD5"/>
      </left>
      <right>
        <color indexed="63"/>
      </right>
      <top style="medium">
        <color rgb="FF5B9BD5"/>
      </top>
      <bottom style="medium">
        <color rgb="FF5B9BD5"/>
      </bottom>
    </border>
    <border>
      <left>
        <color indexed="63"/>
      </left>
      <right style="medium">
        <color rgb="FF5B9BD5"/>
      </right>
      <top style="medium">
        <color rgb="FF5B9BD5"/>
      </top>
      <bottom style="medium">
        <color rgb="FF5B9BD5"/>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211" fontId="39"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72">
    <xf numFmtId="0" fontId="0" fillId="0" borderId="0" xfId="0" applyFont="1" applyAlignment="1">
      <alignment/>
    </xf>
    <xf numFmtId="0" fontId="50" fillId="0" borderId="0" xfId="0" applyFont="1" applyFill="1" applyAlignment="1">
      <alignment/>
    </xf>
    <xf numFmtId="0" fontId="50" fillId="0" borderId="0" xfId="0" applyFont="1" applyAlignment="1">
      <alignment/>
    </xf>
    <xf numFmtId="0" fontId="50" fillId="0" borderId="0" xfId="0" applyFont="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187" fontId="4" fillId="0" borderId="10" xfId="0" applyNumberFormat="1" applyFont="1" applyFill="1" applyBorder="1" applyAlignment="1">
      <alignment horizontal="center" vertical="center"/>
    </xf>
    <xf numFmtId="186"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quotePrefix="1">
      <alignment horizontal="center" vertical="center"/>
    </xf>
    <xf numFmtId="14" fontId="4"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4" fontId="50" fillId="0" borderId="0" xfId="0" applyNumberFormat="1" applyFont="1" applyAlignment="1">
      <alignment/>
    </xf>
    <xf numFmtId="4" fontId="4" fillId="0" borderId="10" xfId="0" applyNumberFormat="1" applyFont="1" applyFill="1" applyBorder="1" applyAlignment="1">
      <alignment horizontal="center" vertical="center"/>
    </xf>
    <xf numFmtId="0" fontId="50" fillId="0" borderId="0" xfId="0" applyFont="1" applyBorder="1" applyAlignment="1">
      <alignment/>
    </xf>
    <xf numFmtId="4" fontId="50" fillId="0" borderId="0" xfId="0" applyNumberFormat="1" applyFont="1" applyBorder="1" applyAlignment="1">
      <alignment/>
    </xf>
    <xf numFmtId="4" fontId="51" fillId="0" borderId="0" xfId="0" applyNumberFormat="1" applyFont="1" applyBorder="1" applyAlignment="1">
      <alignment horizontal="center" vertical="center" wrapText="1"/>
    </xf>
    <xf numFmtId="0" fontId="4" fillId="0" borderId="10" xfId="0" applyFont="1" applyFill="1" applyBorder="1" applyAlignment="1" quotePrefix="1">
      <alignment horizontal="center" vertical="center" wrapText="1"/>
    </xf>
    <xf numFmtId="0" fontId="52" fillId="0" borderId="0" xfId="0" applyFont="1" applyFill="1" applyAlignment="1">
      <alignment/>
    </xf>
    <xf numFmtId="0" fontId="53" fillId="0" borderId="10" xfId="0" applyFont="1" applyFill="1" applyBorder="1" applyAlignment="1">
      <alignment/>
    </xf>
    <xf numFmtId="0" fontId="53" fillId="0" borderId="0" xfId="0" applyFont="1" applyAlignment="1">
      <alignment/>
    </xf>
    <xf numFmtId="0" fontId="53" fillId="0" borderId="0" xfId="0" applyFont="1" applyFill="1" applyAlignment="1">
      <alignment/>
    </xf>
    <xf numFmtId="0" fontId="4" fillId="0" borderId="0" xfId="0" applyFont="1" applyAlignment="1">
      <alignment/>
    </xf>
    <xf numFmtId="0" fontId="4" fillId="0" borderId="0" xfId="0" applyFont="1" applyAlignment="1">
      <alignment horizontal="center" vertical="center"/>
    </xf>
    <xf numFmtId="0" fontId="4" fillId="0" borderId="10" xfId="0" applyFont="1" applyBorder="1" applyAlignment="1" quotePrefix="1">
      <alignment horizontal="center" vertical="center" wrapText="1"/>
    </xf>
    <xf numFmtId="14" fontId="4" fillId="0" borderId="10" xfId="0" applyNumberFormat="1" applyFont="1" applyFill="1" applyBorder="1" applyAlignment="1" quotePrefix="1">
      <alignment horizontal="center" vertical="center"/>
    </xf>
    <xf numFmtId="0" fontId="4" fillId="0" borderId="10" xfId="0" applyFont="1" applyBorder="1" applyAlignment="1" quotePrefix="1">
      <alignment horizontal="center" vertical="center"/>
    </xf>
    <xf numFmtId="14" fontId="4" fillId="0" borderId="10" xfId="0" applyNumberFormat="1" applyFont="1" applyBorder="1" applyAlignment="1">
      <alignment horizontal="center" vertical="center"/>
    </xf>
    <xf numFmtId="14" fontId="4" fillId="0" borderId="10" xfId="0" applyNumberFormat="1" applyFont="1" applyBorder="1" applyAlignment="1" quotePrefix="1">
      <alignment horizontal="center" vertical="center"/>
    </xf>
    <xf numFmtId="4" fontId="4" fillId="0" borderId="10" xfId="0" applyNumberFormat="1" applyFont="1" applyBorder="1" applyAlignment="1">
      <alignment horizontal="center" vertical="center"/>
    </xf>
    <xf numFmtId="3"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186" fontId="4" fillId="0" borderId="11"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186"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53" fillId="0" borderId="10" xfId="0" applyFont="1" applyBorder="1" applyAlignment="1">
      <alignment horizontal="center" vertical="center"/>
    </xf>
    <xf numFmtId="0" fontId="4" fillId="0" borderId="10" xfId="55" applyFont="1" applyFill="1" applyBorder="1" applyAlignment="1">
      <alignment horizontal="center" vertical="center" wrapText="1"/>
      <protection/>
    </xf>
    <xf numFmtId="2" fontId="4" fillId="0" borderId="10" xfId="0" applyNumberFormat="1" applyFont="1" applyBorder="1" applyAlignment="1">
      <alignment horizontal="center" vertical="center"/>
    </xf>
    <xf numFmtId="0" fontId="53" fillId="0" borderId="10" xfId="0" applyFont="1" applyFill="1" applyBorder="1" applyAlignment="1">
      <alignment horizontal="center" vertical="center"/>
    </xf>
    <xf numFmtId="188" fontId="4" fillId="0" borderId="10" xfId="0" applyNumberFormat="1" applyFont="1" applyBorder="1" applyAlignment="1">
      <alignment horizontal="center" vertical="center" wrapText="1"/>
    </xf>
    <xf numFmtId="186" fontId="50" fillId="0" borderId="10" xfId="0" applyNumberFormat="1" applyFont="1" applyFill="1" applyBorder="1" applyAlignment="1">
      <alignment horizontal="center" vertical="center"/>
    </xf>
    <xf numFmtId="186" fontId="53" fillId="0" borderId="10" xfId="0" applyNumberFormat="1" applyFont="1" applyFill="1" applyBorder="1" applyAlignment="1">
      <alignment horizontal="center" vertical="center"/>
    </xf>
    <xf numFmtId="14" fontId="4" fillId="0" borderId="10" xfId="0" applyNumberFormat="1" applyFont="1" applyBorder="1" applyAlignment="1">
      <alignment horizontal="center" vertical="center" wrapText="1"/>
    </xf>
    <xf numFmtId="1" fontId="4" fillId="0" borderId="10" xfId="0" applyNumberFormat="1" applyFont="1" applyFill="1" applyBorder="1" applyAlignment="1">
      <alignment horizontal="center" vertical="center"/>
    </xf>
    <xf numFmtId="14" fontId="4" fillId="0" borderId="10" xfId="0" applyNumberFormat="1" applyFont="1" applyBorder="1" applyAlignment="1" quotePrefix="1">
      <alignment horizontal="center" vertical="center" wrapText="1"/>
    </xf>
    <xf numFmtId="0" fontId="50" fillId="0" borderId="10" xfId="55" applyFont="1" applyFill="1" applyBorder="1" applyAlignment="1">
      <alignment horizontal="center" vertical="center" wrapText="1"/>
      <protection/>
    </xf>
    <xf numFmtId="1" fontId="4" fillId="0" borderId="10" xfId="0" applyNumberFormat="1" applyFont="1" applyFill="1" applyBorder="1" applyAlignment="1" quotePrefix="1">
      <alignment horizontal="center" vertical="center"/>
    </xf>
    <xf numFmtId="0" fontId="4" fillId="33" borderId="10" xfId="0" applyFont="1" applyFill="1" applyBorder="1" applyAlignment="1">
      <alignment horizontal="center" vertical="center" wrapText="1"/>
    </xf>
    <xf numFmtId="186" fontId="50" fillId="0" borderId="10" xfId="0" applyNumberFormat="1" applyFont="1" applyBorder="1" applyAlignment="1">
      <alignment horizontal="center" vertical="center"/>
    </xf>
    <xf numFmtId="2" fontId="50" fillId="0" borderId="10" xfId="0" applyNumberFormat="1" applyFont="1" applyFill="1" applyBorder="1" applyAlignment="1">
      <alignment horizontal="center" vertical="center"/>
    </xf>
    <xf numFmtId="4" fontId="50" fillId="0" borderId="10" xfId="0" applyNumberFormat="1" applyFont="1" applyFill="1" applyBorder="1" applyAlignment="1">
      <alignment horizontal="center" vertical="center"/>
    </xf>
    <xf numFmtId="210" fontId="50" fillId="0" borderId="10" xfId="0" applyNumberFormat="1" applyFont="1" applyFill="1" applyBorder="1" applyAlignment="1">
      <alignment horizontal="center" vertical="center"/>
    </xf>
    <xf numFmtId="210" fontId="4" fillId="0" borderId="10" xfId="0" applyNumberFormat="1" applyFont="1" applyFill="1" applyBorder="1" applyAlignment="1" quotePrefix="1">
      <alignment horizontal="center" vertical="center"/>
    </xf>
    <xf numFmtId="14" fontId="50" fillId="0" borderId="10" xfId="0" applyNumberFormat="1" applyFont="1" applyFill="1" applyBorder="1" applyAlignment="1">
      <alignment horizontal="center" vertical="center"/>
    </xf>
    <xf numFmtId="210" fontId="4" fillId="0" borderId="10" xfId="0" applyNumberFormat="1" applyFont="1" applyFill="1" applyBorder="1" applyAlignment="1">
      <alignment horizontal="center" vertical="center"/>
    </xf>
    <xf numFmtId="14" fontId="50" fillId="0" borderId="10" xfId="0" applyNumberFormat="1" applyFont="1" applyFill="1" applyBorder="1" applyAlignment="1" quotePrefix="1">
      <alignment horizontal="center" vertical="center"/>
    </xf>
    <xf numFmtId="14"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quotePrefix="1">
      <alignment horizontal="center" vertical="center"/>
    </xf>
    <xf numFmtId="210"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53" fillId="0" borderId="0" xfId="0" applyFont="1" applyFill="1" applyAlignment="1">
      <alignment horizontal="center" vertical="center"/>
    </xf>
    <xf numFmtId="205" fontId="4" fillId="0" borderId="10" xfId="0" applyNumberFormat="1" applyFont="1" applyFill="1" applyBorder="1" applyAlignment="1">
      <alignment horizontal="center" vertical="center"/>
    </xf>
    <xf numFmtId="0" fontId="4" fillId="0" borderId="10" xfId="57" applyFont="1" applyBorder="1" applyAlignment="1">
      <alignment horizontal="center" vertical="center" wrapText="1"/>
      <protection/>
    </xf>
    <xf numFmtId="211" fontId="4" fillId="0" borderId="10" xfId="46" applyFont="1" applyBorder="1" applyAlignment="1">
      <alignment horizontal="center" vertical="center" wrapText="1"/>
      <protection/>
    </xf>
    <xf numFmtId="0" fontId="5" fillId="34" borderId="10" xfId="0" applyFont="1" applyFill="1" applyBorder="1" applyAlignment="1">
      <alignment horizontal="center" vertical="center" wrapText="1"/>
    </xf>
    <xf numFmtId="186" fontId="50" fillId="0" borderId="10" xfId="0" applyNumberFormat="1" applyFont="1" applyFill="1" applyBorder="1" applyAlignment="1">
      <alignment horizontal="center" vertical="center" wrapText="1"/>
    </xf>
    <xf numFmtId="186" fontId="4" fillId="0" borderId="10" xfId="0" applyNumberFormat="1" applyFont="1" applyBorder="1" applyAlignment="1">
      <alignment horizontal="center" vertical="center" wrapText="1"/>
    </xf>
    <xf numFmtId="4" fontId="50" fillId="0" borderId="10" xfId="0" applyNumberFormat="1" applyFont="1" applyBorder="1" applyAlignment="1">
      <alignment horizontal="center" vertical="center"/>
    </xf>
    <xf numFmtId="0" fontId="50" fillId="0"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4" fillId="35" borderId="10" xfId="55"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14" fontId="50" fillId="0" borderId="10" xfId="0" applyNumberFormat="1" applyFont="1" applyBorder="1" applyAlignment="1">
      <alignment horizontal="center" vertical="center" wrapText="1"/>
    </xf>
    <xf numFmtId="0" fontId="4" fillId="0" borderId="11" xfId="0" applyFont="1" applyFill="1" applyBorder="1" applyAlignment="1">
      <alignment horizontal="center" vertical="center"/>
    </xf>
    <xf numFmtId="0" fontId="50" fillId="0" borderId="10" xfId="0" applyFont="1" applyBorder="1" applyAlignment="1">
      <alignment horizontal="center" vertical="center"/>
    </xf>
    <xf numFmtId="4" fontId="4" fillId="0" borderId="12" xfId="0" applyNumberFormat="1" applyFont="1" applyFill="1" applyBorder="1" applyAlignment="1">
      <alignment horizontal="center" vertical="center"/>
    </xf>
    <xf numFmtId="4" fontId="4" fillId="0" borderId="12" xfId="0" applyNumberFormat="1" applyFont="1" applyBorder="1" applyAlignment="1">
      <alignment horizontal="center" vertical="center"/>
    </xf>
    <xf numFmtId="3"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xf>
    <xf numFmtId="4" fontId="50" fillId="0" borderId="12" xfId="0" applyNumberFormat="1" applyFont="1" applyBorder="1" applyAlignment="1">
      <alignment horizontal="center" vertical="center"/>
    </xf>
    <xf numFmtId="4" fontId="50" fillId="0" borderId="12" xfId="0" applyNumberFormat="1" applyFont="1" applyFill="1" applyBorder="1" applyAlignment="1">
      <alignment horizontal="center" vertical="center"/>
    </xf>
    <xf numFmtId="4" fontId="4" fillId="0" borderId="13" xfId="0" applyNumberFormat="1" applyFont="1" applyFill="1" applyBorder="1" applyAlignment="1">
      <alignment horizontal="center" vertical="center"/>
    </xf>
    <xf numFmtId="4" fontId="4" fillId="0" borderId="12" xfId="0" applyNumberFormat="1" applyFont="1" applyFill="1" applyBorder="1" applyAlignment="1" quotePrefix="1">
      <alignment horizontal="center" vertical="center"/>
    </xf>
    <xf numFmtId="0" fontId="50" fillId="0" borderId="10" xfId="0" applyFont="1" applyBorder="1" applyAlignment="1">
      <alignment/>
    </xf>
    <xf numFmtId="0" fontId="53" fillId="0" borderId="10" xfId="0" applyFont="1" applyBorder="1" applyAlignment="1">
      <alignment/>
    </xf>
    <xf numFmtId="0" fontId="50"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Fill="1" applyBorder="1" applyAlignment="1">
      <alignment horizontal="center" vertical="center" wrapText="1"/>
    </xf>
    <xf numFmtId="3" fontId="4" fillId="0" borderId="11" xfId="0" applyNumberFormat="1" applyFont="1" applyBorder="1" applyAlignment="1">
      <alignment horizontal="center" vertical="center"/>
    </xf>
    <xf numFmtId="188" fontId="4" fillId="0" borderId="10" xfId="0" applyNumberFormat="1" applyFont="1" applyFill="1" applyBorder="1" applyAlignment="1">
      <alignment horizontal="center" vertical="center" wrapText="1"/>
    </xf>
    <xf numFmtId="0" fontId="54" fillId="0" borderId="0" xfId="0" applyFont="1" applyAlignment="1">
      <alignment/>
    </xf>
    <xf numFmtId="188" fontId="50" fillId="0" borderId="0" xfId="0" applyNumberFormat="1" applyFont="1" applyAlignment="1">
      <alignment/>
    </xf>
    <xf numFmtId="0" fontId="50" fillId="0" borderId="15" xfId="0" applyFont="1" applyBorder="1" applyAlignment="1">
      <alignment/>
    </xf>
    <xf numFmtId="0" fontId="50" fillId="0" borderId="0" xfId="0" applyFont="1" applyBorder="1" applyAlignment="1">
      <alignment wrapText="1"/>
    </xf>
    <xf numFmtId="0" fontId="50" fillId="0" borderId="16" xfId="0" applyFont="1" applyBorder="1" applyAlignment="1">
      <alignment/>
    </xf>
    <xf numFmtId="0" fontId="54" fillId="25" borderId="16" xfId="0" applyFont="1" applyFill="1" applyBorder="1" applyAlignment="1">
      <alignment/>
    </xf>
    <xf numFmtId="2" fontId="50" fillId="0" borderId="16" xfId="0" applyNumberFormat="1" applyFont="1" applyBorder="1" applyAlignment="1">
      <alignment/>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188"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188" fontId="53" fillId="0" borderId="10" xfId="0" applyNumberFormat="1" applyFont="1" applyBorder="1" applyAlignment="1">
      <alignment horizontal="center" vertical="center" wrapText="1"/>
    </xf>
    <xf numFmtId="188" fontId="4" fillId="0" borderId="10" xfId="0" applyNumberFormat="1" applyFont="1" applyFill="1" applyBorder="1" applyAlignment="1">
      <alignment horizontal="center" vertical="center"/>
    </xf>
    <xf numFmtId="188" fontId="53" fillId="0" borderId="10" xfId="0" applyNumberFormat="1" applyFont="1" applyFill="1" applyBorder="1" applyAlignment="1">
      <alignment horizontal="center" vertical="center"/>
    </xf>
    <xf numFmtId="0" fontId="4" fillId="0" borderId="10" xfId="0" applyFont="1" applyBorder="1" applyAlignment="1">
      <alignment vertical="center"/>
    </xf>
    <xf numFmtId="186" fontId="4" fillId="0" borderId="10" xfId="0" applyNumberFormat="1" applyFont="1" applyBorder="1" applyAlignment="1">
      <alignment vertical="center"/>
    </xf>
    <xf numFmtId="4" fontId="4" fillId="0" borderId="10" xfId="0" applyNumberFormat="1" applyFont="1" applyFill="1" applyBorder="1" applyAlignment="1">
      <alignment vertical="center"/>
    </xf>
    <xf numFmtId="4" fontId="4" fillId="0" borderId="12" xfId="0" applyNumberFormat="1" applyFont="1" applyFill="1" applyBorder="1" applyAlignment="1">
      <alignment vertical="center"/>
    </xf>
    <xf numFmtId="188" fontId="50" fillId="0" borderId="0" xfId="0" applyNumberFormat="1" applyFont="1" applyBorder="1" applyAlignment="1">
      <alignment/>
    </xf>
    <xf numFmtId="0" fontId="50" fillId="0" borderId="11" xfId="0" applyFont="1" applyBorder="1" applyAlignment="1">
      <alignment horizontal="center" vertical="center"/>
    </xf>
    <xf numFmtId="186" fontId="50" fillId="0" borderId="11" xfId="0" applyNumberFormat="1" applyFont="1" applyBorder="1" applyAlignment="1">
      <alignment horizontal="center" vertical="center"/>
    </xf>
    <xf numFmtId="205" fontId="4" fillId="0" borderId="10" xfId="0" applyNumberFormat="1" applyFont="1" applyFill="1" applyBorder="1" applyAlignment="1">
      <alignment horizontal="center" vertical="center" wrapText="1"/>
    </xf>
    <xf numFmtId="186" fontId="4" fillId="0" borderId="11" xfId="0" applyNumberFormat="1" applyFont="1" applyBorder="1" applyAlignment="1">
      <alignment horizontal="center" vertical="center" wrapText="1"/>
    </xf>
    <xf numFmtId="0" fontId="50" fillId="0" borderId="0" xfId="0" applyFont="1" applyAlignment="1">
      <alignment/>
    </xf>
    <xf numFmtId="0" fontId="50" fillId="0" borderId="0" xfId="0" applyFont="1" applyBorder="1" applyAlignment="1">
      <alignment/>
    </xf>
    <xf numFmtId="0" fontId="53" fillId="0" borderId="10" xfId="0" applyFont="1" applyFill="1" applyBorder="1" applyAlignment="1">
      <alignment horizontal="center" vertical="center"/>
    </xf>
    <xf numFmtId="186" fontId="50" fillId="0" borderId="10" xfId="0" applyNumberFormat="1" applyFont="1" applyBorder="1" applyAlignment="1">
      <alignment horizontal="center" vertical="center"/>
    </xf>
    <xf numFmtId="2" fontId="50" fillId="0" borderId="10" xfId="0" applyNumberFormat="1" applyFont="1" applyFill="1" applyBorder="1" applyAlignment="1">
      <alignment horizontal="center" vertical="center"/>
    </xf>
    <xf numFmtId="186"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xf>
    <xf numFmtId="0" fontId="50" fillId="0" borderId="10" xfId="0" applyFont="1" applyBorder="1" applyAlignment="1">
      <alignment/>
    </xf>
    <xf numFmtId="0" fontId="52" fillId="0" borderId="10" xfId="0" applyFont="1" applyFill="1" applyBorder="1" applyAlignment="1">
      <alignment/>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188" fontId="54" fillId="36" borderId="0" xfId="0" applyNumberFormat="1" applyFont="1" applyFill="1" applyAlignment="1">
      <alignment/>
    </xf>
    <xf numFmtId="188" fontId="50" fillId="0" borderId="10" xfId="0" applyNumberFormat="1" applyFont="1" applyBorder="1" applyAlignment="1">
      <alignment horizontal="center" vertical="center"/>
    </xf>
    <xf numFmtId="2" fontId="50" fillId="0" borderId="10" xfId="0" applyNumberFormat="1" applyFont="1" applyBorder="1" applyAlignment="1">
      <alignment horizontal="center" vertical="center"/>
    </xf>
    <xf numFmtId="2" fontId="50" fillId="0" borderId="0" xfId="0" applyNumberFormat="1" applyFont="1" applyBorder="1" applyAlignment="1">
      <alignment horizontal="center" vertical="center"/>
    </xf>
    <xf numFmtId="0" fontId="54" fillId="0" borderId="10" xfId="0" applyFont="1" applyBorder="1" applyAlignment="1">
      <alignment/>
    </xf>
    <xf numFmtId="0" fontId="52" fillId="0" borderId="10" xfId="0" applyFont="1" applyBorder="1" applyAlignment="1">
      <alignment/>
    </xf>
    <xf numFmtId="0" fontId="54" fillId="0" borderId="10" xfId="0" applyFont="1" applyFill="1" applyBorder="1" applyAlignment="1">
      <alignment horizontal="center" vertical="center"/>
    </xf>
    <xf numFmtId="187" fontId="50" fillId="0" borderId="10" xfId="0" applyNumberFormat="1" applyFont="1" applyBorder="1" applyAlignment="1">
      <alignment horizontal="center" vertical="center"/>
    </xf>
    <xf numFmtId="187" fontId="50" fillId="0" borderId="0" xfId="0" applyNumberFormat="1" applyFont="1" applyAlignment="1">
      <alignment/>
    </xf>
    <xf numFmtId="0" fontId="4" fillId="0" borderId="0" xfId="0" applyFont="1" applyFill="1" applyAlignment="1">
      <alignment horizontal="center" vertical="center"/>
    </xf>
    <xf numFmtId="0" fontId="50" fillId="0" borderId="20" xfId="0" applyFont="1" applyBorder="1" applyAlignment="1">
      <alignment/>
    </xf>
    <xf numFmtId="0" fontId="50" fillId="0" borderId="21" xfId="0" applyFont="1" applyBorder="1" applyAlignment="1">
      <alignment wrapText="1"/>
    </xf>
    <xf numFmtId="0" fontId="50" fillId="0" borderId="22" xfId="0" applyFont="1" applyBorder="1" applyAlignment="1">
      <alignment/>
    </xf>
    <xf numFmtId="188" fontId="50" fillId="0" borderId="16" xfId="0" applyNumberFormat="1" applyFont="1" applyBorder="1" applyAlignment="1">
      <alignment/>
    </xf>
    <xf numFmtId="188" fontId="50" fillId="0" borderId="18" xfId="0" applyNumberFormat="1" applyFont="1" applyBorder="1" applyAlignment="1">
      <alignment/>
    </xf>
    <xf numFmtId="188" fontId="54" fillId="16" borderId="16" xfId="0" applyNumberFormat="1" applyFont="1" applyFill="1" applyBorder="1" applyAlignment="1">
      <alignment/>
    </xf>
    <xf numFmtId="0" fontId="54" fillId="16" borderId="16" xfId="0" applyFont="1" applyFill="1" applyBorder="1" applyAlignment="1">
      <alignment/>
    </xf>
    <xf numFmtId="0" fontId="50" fillId="0" borderId="21" xfId="0" applyFont="1" applyBorder="1" applyAlignment="1">
      <alignment/>
    </xf>
    <xf numFmtId="2" fontId="50" fillId="0" borderId="0" xfId="0" applyNumberFormat="1" applyFont="1" applyBorder="1" applyAlignment="1">
      <alignment/>
    </xf>
    <xf numFmtId="2" fontId="50" fillId="0" borderId="18" xfId="0" applyNumberFormat="1" applyFont="1" applyBorder="1" applyAlignment="1">
      <alignment/>
    </xf>
    <xf numFmtId="2" fontId="54" fillId="16" borderId="16" xfId="0" applyNumberFormat="1" applyFont="1" applyFill="1" applyBorder="1" applyAlignment="1">
      <alignment/>
    </xf>
    <xf numFmtId="2" fontId="50" fillId="0" borderId="0" xfId="0" applyNumberFormat="1" applyFont="1" applyBorder="1" applyAlignment="1">
      <alignment horizontal="right" vertical="center"/>
    </xf>
    <xf numFmtId="0" fontId="54" fillId="36" borderId="0" xfId="0" applyFont="1" applyFill="1" applyBorder="1" applyAlignment="1">
      <alignment/>
    </xf>
    <xf numFmtId="2" fontId="53" fillId="0" borderId="10" xfId="0" applyNumberFormat="1" applyFont="1" applyFill="1" applyBorder="1" applyAlignment="1">
      <alignment horizontal="center" vertical="center"/>
    </xf>
    <xf numFmtId="0" fontId="50" fillId="0" borderId="11" xfId="0" applyFont="1" applyFill="1" applyBorder="1" applyAlignment="1">
      <alignment horizontal="center" vertical="center"/>
    </xf>
    <xf numFmtId="4" fontId="50" fillId="0" borderId="11" xfId="0" applyNumberFormat="1" applyFont="1" applyFill="1" applyBorder="1" applyAlignment="1">
      <alignment horizontal="center" vertical="center"/>
    </xf>
    <xf numFmtId="0" fontId="50" fillId="0" borderId="23" xfId="0" applyFont="1" applyFill="1" applyBorder="1" applyAlignment="1">
      <alignment horizontal="center" vertical="center" wrapText="1"/>
    </xf>
    <xf numFmtId="198" fontId="4" fillId="0" borderId="11" xfId="0" applyNumberFormat="1" applyFont="1" applyBorder="1" applyAlignment="1">
      <alignment horizontal="center" vertical="center"/>
    </xf>
    <xf numFmtId="4" fontId="4" fillId="0" borderId="11" xfId="0" applyNumberFormat="1" applyFont="1" applyBorder="1" applyAlignment="1">
      <alignment horizontal="center" vertical="center"/>
    </xf>
    <xf numFmtId="188" fontId="4" fillId="0" borderId="10" xfId="0" applyNumberFormat="1" applyFont="1" applyBorder="1" applyAlignment="1">
      <alignment horizontal="center" vertical="center"/>
    </xf>
    <xf numFmtId="198" fontId="4" fillId="0" borderId="10" xfId="0" applyNumberFormat="1" applyFont="1" applyBorder="1" applyAlignment="1">
      <alignment horizontal="center" vertical="center"/>
    </xf>
    <xf numFmtId="188" fontId="4" fillId="0" borderId="11" xfId="0" applyNumberFormat="1" applyFont="1" applyFill="1" applyBorder="1" applyAlignment="1">
      <alignment horizontal="center" vertical="center"/>
    </xf>
    <xf numFmtId="186" fontId="4" fillId="0" borderId="11" xfId="0" applyNumberFormat="1" applyFont="1" applyBorder="1" applyAlignment="1">
      <alignment horizontal="center" vertical="center"/>
    </xf>
    <xf numFmtId="0" fontId="0" fillId="0" borderId="15" xfId="0" applyBorder="1" applyAlignment="1">
      <alignment/>
    </xf>
    <xf numFmtId="0" fontId="0" fillId="0" borderId="0" xfId="0" applyBorder="1" applyAlignment="1">
      <alignment/>
    </xf>
    <xf numFmtId="0" fontId="55" fillId="0" borderId="16" xfId="0" applyFont="1" applyBorder="1" applyAlignment="1">
      <alignment/>
    </xf>
    <xf numFmtId="0" fontId="0" fillId="0" borderId="17" xfId="0" applyBorder="1" applyAlignment="1">
      <alignment/>
    </xf>
    <xf numFmtId="0" fontId="0" fillId="0" borderId="18" xfId="0" applyBorder="1" applyAlignment="1">
      <alignment/>
    </xf>
    <xf numFmtId="0" fontId="55" fillId="0" borderId="19" xfId="0" applyFont="1" applyBorder="1" applyAlignment="1">
      <alignment/>
    </xf>
    <xf numFmtId="0" fontId="0" fillId="0" borderId="16" xfId="0" applyBorder="1" applyAlignment="1">
      <alignment/>
    </xf>
    <xf numFmtId="0" fontId="0" fillId="0" borderId="19" xfId="0" applyBorder="1" applyAlignment="1">
      <alignment/>
    </xf>
    <xf numFmtId="2" fontId="4" fillId="0" borderId="11" xfId="0" applyNumberFormat="1" applyFont="1" applyFill="1" applyBorder="1" applyAlignment="1">
      <alignment horizontal="center" vertical="center"/>
    </xf>
    <xf numFmtId="0" fontId="53" fillId="0" borderId="10" xfId="0" applyFont="1" applyFill="1" applyBorder="1" applyAlignment="1">
      <alignment/>
    </xf>
    <xf numFmtId="0" fontId="53" fillId="0" borderId="0" xfId="0" applyFont="1" applyFill="1" applyAlignment="1">
      <alignment/>
    </xf>
    <xf numFmtId="0" fontId="50" fillId="0" borderId="10" xfId="55" applyFont="1" applyFill="1" applyBorder="1" applyAlignment="1">
      <alignment horizontal="center" vertical="center" wrapText="1"/>
      <protection/>
    </xf>
    <xf numFmtId="186" fontId="50" fillId="0" borderId="10" xfId="0" applyNumberFormat="1" applyFont="1" applyBorder="1" applyAlignment="1">
      <alignment horizontal="center" vertical="center"/>
    </xf>
    <xf numFmtId="0" fontId="50" fillId="0" borderId="10" xfId="0" applyFont="1" applyFill="1" applyBorder="1" applyAlignment="1">
      <alignment horizontal="center" vertical="center" wrapText="1"/>
    </xf>
    <xf numFmtId="186" fontId="50" fillId="0" borderId="0" xfId="0" applyNumberFormat="1" applyFont="1" applyBorder="1" applyAlignment="1">
      <alignment/>
    </xf>
    <xf numFmtId="0" fontId="0" fillId="0" borderId="0" xfId="0" applyAlignment="1">
      <alignment/>
    </xf>
    <xf numFmtId="0" fontId="53" fillId="0" borderId="10" xfId="0" applyFont="1" applyFill="1" applyBorder="1" applyAlignment="1">
      <alignment/>
    </xf>
    <xf numFmtId="0" fontId="53" fillId="0" borderId="0" xfId="0" applyFont="1" applyFill="1" applyAlignment="1">
      <alignment/>
    </xf>
    <xf numFmtId="0" fontId="53"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186" fontId="54" fillId="16" borderId="16" xfId="0" applyNumberFormat="1" applyFont="1" applyFill="1" applyBorder="1" applyAlignment="1">
      <alignment/>
    </xf>
    <xf numFmtId="205" fontId="53"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 fontId="4"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0" xfId="0" applyFont="1" applyBorder="1" applyAlignment="1">
      <alignment horizontal="center"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14" fontId="4" fillId="0" borderId="10" xfId="0" applyNumberFormat="1" applyFont="1" applyFill="1" applyBorder="1" applyAlignment="1" quotePrefix="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4" fillId="0" borderId="10" xfId="0" applyFont="1" applyBorder="1" applyAlignment="1">
      <alignment horizontal="center" vertical="center"/>
    </xf>
    <xf numFmtId="0" fontId="54" fillId="13" borderId="10" xfId="0" applyFont="1" applyFill="1" applyBorder="1" applyAlignment="1">
      <alignment horizontal="center" vertical="center" wrapText="1"/>
    </xf>
    <xf numFmtId="0" fontId="54" fillId="13" borderId="10" xfId="0" applyFont="1" applyFill="1" applyBorder="1" applyAlignment="1">
      <alignment horizontal="center" wrapText="1"/>
    </xf>
    <xf numFmtId="186" fontId="50" fillId="0" borderId="10" xfId="0" applyNumberFormat="1" applyFont="1" applyBorder="1" applyAlignment="1">
      <alignment/>
    </xf>
    <xf numFmtId="1" fontId="50" fillId="0" borderId="10" xfId="0" applyNumberFormat="1" applyFont="1" applyBorder="1" applyAlignment="1">
      <alignment horizontal="center" vertical="center"/>
    </xf>
    <xf numFmtId="1" fontId="50" fillId="0" borderId="10" xfId="0" applyNumberFormat="1" applyFont="1" applyFill="1" applyBorder="1" applyAlignment="1">
      <alignment horizontal="center" vertical="center"/>
    </xf>
    <xf numFmtId="2" fontId="53" fillId="0" borderId="10" xfId="0" applyNumberFormat="1" applyFont="1" applyBorder="1" applyAlignment="1">
      <alignment horizontal="center" vertical="center"/>
    </xf>
    <xf numFmtId="1" fontId="53" fillId="0" borderId="10" xfId="0" applyNumberFormat="1" applyFont="1" applyFill="1" applyBorder="1" applyAlignment="1">
      <alignment horizontal="center" vertical="center"/>
    </xf>
    <xf numFmtId="188" fontId="50" fillId="0" borderId="10" xfId="0" applyNumberFormat="1" applyFont="1" applyFill="1" applyBorder="1" applyAlignment="1">
      <alignment horizontal="center" vertical="center"/>
    </xf>
    <xf numFmtId="4" fontId="50" fillId="0" borderId="10" xfId="0" applyNumberFormat="1" applyFont="1" applyBorder="1" applyAlignment="1">
      <alignment/>
    </xf>
    <xf numFmtId="2" fontId="50" fillId="0" borderId="0" xfId="0" applyNumberFormat="1" applyFont="1" applyFill="1" applyBorder="1" applyAlignment="1">
      <alignment/>
    </xf>
    <xf numFmtId="186" fontId="50" fillId="0" borderId="0" xfId="0" applyNumberFormat="1" applyFont="1" applyAlignment="1">
      <alignment/>
    </xf>
    <xf numFmtId="4" fontId="53" fillId="0" borderId="10" xfId="0" applyNumberFormat="1" applyFont="1" applyFill="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0" fillId="0"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6" fillId="37" borderId="24" xfId="0" applyFont="1" applyFill="1" applyBorder="1" applyAlignment="1">
      <alignment horizontal="center" vertical="center" wrapText="1" readingOrder="1"/>
    </xf>
    <xf numFmtId="3" fontId="9" fillId="37" borderId="24" xfId="0" applyNumberFormat="1" applyFont="1" applyFill="1" applyBorder="1" applyAlignment="1">
      <alignment horizontal="center" vertical="center" wrapText="1"/>
    </xf>
    <xf numFmtId="0" fontId="56" fillId="0" borderId="24" xfId="0" applyFont="1" applyBorder="1" applyAlignment="1">
      <alignment horizontal="center" vertical="center" wrapText="1" readingOrder="1"/>
    </xf>
    <xf numFmtId="3" fontId="9" fillId="0" borderId="24" xfId="0" applyNumberFormat="1" applyFont="1" applyBorder="1" applyAlignment="1">
      <alignment horizontal="center" vertical="center" wrapText="1"/>
    </xf>
    <xf numFmtId="0" fontId="57" fillId="0" borderId="24" xfId="0" applyFont="1" applyBorder="1" applyAlignment="1">
      <alignment horizontal="center" vertical="center" wrapText="1" readingOrder="1"/>
    </xf>
    <xf numFmtId="0" fontId="5" fillId="33" borderId="10" xfId="0" applyFont="1" applyFill="1" applyBorder="1" applyAlignment="1">
      <alignment vertical="center" wrapText="1"/>
    </xf>
    <xf numFmtId="3" fontId="0" fillId="0" borderId="0" xfId="0" applyNumberFormat="1" applyAlignment="1">
      <alignment/>
    </xf>
    <xf numFmtId="3" fontId="50" fillId="0" borderId="0" xfId="0" applyNumberFormat="1" applyFont="1" applyAlignment="1">
      <alignment/>
    </xf>
    <xf numFmtId="1" fontId="50" fillId="0" borderId="0" xfId="0" applyNumberFormat="1" applyFont="1" applyAlignment="1">
      <alignment/>
    </xf>
    <xf numFmtId="1" fontId="0" fillId="0" borderId="0" xfId="0" applyNumberFormat="1" applyAlignment="1">
      <alignment/>
    </xf>
    <xf numFmtId="0" fontId="50" fillId="38" borderId="25" xfId="0" applyFont="1" applyFill="1" applyBorder="1" applyAlignment="1">
      <alignment horizontal="center"/>
    </xf>
    <xf numFmtId="0" fontId="50" fillId="38" borderId="26" xfId="0" applyFont="1" applyFill="1" applyBorder="1" applyAlignment="1">
      <alignment horizontal="center"/>
    </xf>
    <xf numFmtId="0" fontId="50" fillId="38" borderId="27" xfId="0" applyFont="1" applyFill="1" applyBorder="1" applyAlignment="1">
      <alignment horizontal="center"/>
    </xf>
    <xf numFmtId="0" fontId="54" fillId="34" borderId="11" xfId="0" applyFont="1" applyFill="1" applyBorder="1" applyAlignment="1">
      <alignment horizontal="center" vertical="center" wrapText="1"/>
    </xf>
    <xf numFmtId="0" fontId="54" fillId="34" borderId="10" xfId="0" applyFont="1" applyFill="1" applyBorder="1" applyAlignment="1">
      <alignment horizontal="center" vertical="center" wrapText="1"/>
    </xf>
    <xf numFmtId="188" fontId="54" fillId="34" borderId="11" xfId="0" applyNumberFormat="1" applyFont="1" applyFill="1" applyBorder="1" applyAlignment="1">
      <alignment horizontal="center" vertical="center" wrapText="1"/>
    </xf>
    <xf numFmtId="188" fontId="54" fillId="34" borderId="10" xfId="0" applyNumberFormat="1" applyFont="1" applyFill="1" applyBorder="1" applyAlignment="1">
      <alignment horizontal="center" vertical="center" wrapText="1"/>
    </xf>
    <xf numFmtId="3" fontId="54" fillId="34" borderId="11" xfId="0" applyNumberFormat="1" applyFont="1" applyFill="1" applyBorder="1" applyAlignment="1">
      <alignment horizontal="center" vertical="center" wrapText="1"/>
    </xf>
    <xf numFmtId="3" fontId="54" fillId="34" borderId="10" xfId="0" applyNumberFormat="1" applyFont="1" applyFill="1" applyBorder="1" applyAlignment="1">
      <alignment horizontal="center" vertical="center" wrapText="1"/>
    </xf>
    <xf numFmtId="187" fontId="54" fillId="34" borderId="11" xfId="0" applyNumberFormat="1" applyFont="1" applyFill="1" applyBorder="1" applyAlignment="1">
      <alignment horizontal="center" vertical="center" wrapText="1"/>
    </xf>
    <xf numFmtId="187" fontId="54" fillId="34" borderId="10" xfId="0" applyNumberFormat="1" applyFont="1" applyFill="1" applyBorder="1" applyAlignment="1">
      <alignment horizontal="center" vertical="center" wrapText="1"/>
    </xf>
    <xf numFmtId="187" fontId="54" fillId="34" borderId="13" xfId="0" applyNumberFormat="1" applyFont="1" applyFill="1" applyBorder="1" applyAlignment="1">
      <alignment horizontal="center" vertical="center" wrapText="1"/>
    </xf>
    <xf numFmtId="187" fontId="54" fillId="34" borderId="12" xfId="0" applyNumberFormat="1" applyFont="1" applyFill="1" applyBorder="1" applyAlignment="1">
      <alignment horizontal="center" vertical="center" wrapText="1"/>
    </xf>
    <xf numFmtId="0" fontId="4" fillId="0" borderId="10" xfId="0" applyFont="1" applyBorder="1" applyAlignment="1" quotePrefix="1">
      <alignment horizontal="center" vertical="center"/>
    </xf>
    <xf numFmtId="0" fontId="4" fillId="0" borderId="10" xfId="0" applyFont="1" applyFill="1" applyBorder="1" applyAlignment="1">
      <alignment horizontal="center" vertical="center"/>
    </xf>
    <xf numFmtId="14" fontId="50"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 fillId="34" borderId="28"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10" xfId="57" applyFont="1" applyBorder="1" applyAlignment="1">
      <alignment horizontal="center" vertical="center" wrapText="1"/>
      <protection/>
    </xf>
    <xf numFmtId="0" fontId="50"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quotePrefix="1">
      <alignment horizontal="center" vertical="center"/>
    </xf>
    <xf numFmtId="0" fontId="4" fillId="0" borderId="28" xfId="0" applyFont="1" applyBorder="1" applyAlignment="1" quotePrefix="1">
      <alignment horizontal="center" vertical="center"/>
    </xf>
    <xf numFmtId="0" fontId="4" fillId="0" borderId="11" xfId="0" applyFont="1" applyBorder="1" applyAlignment="1" quotePrefix="1">
      <alignment horizontal="center" vertical="center"/>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14" fontId="4" fillId="0" borderId="10" xfId="0" applyNumberFormat="1" applyFont="1" applyBorder="1" applyAlignment="1" quotePrefix="1">
      <alignment horizontal="center" vertical="center"/>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4" xfId="55" applyFont="1" applyFill="1" applyBorder="1" applyAlignment="1">
      <alignment horizontal="center" vertical="center" wrapText="1"/>
      <protection/>
    </xf>
    <xf numFmtId="0" fontId="4" fillId="0" borderId="28"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35" borderId="10" xfId="55" applyFont="1" applyFill="1" applyBorder="1" applyAlignment="1">
      <alignment horizontal="center" vertical="center" wrapText="1"/>
      <protection/>
    </xf>
    <xf numFmtId="4" fontId="54" fillId="34" borderId="11" xfId="0" applyNumberFormat="1" applyFont="1" applyFill="1" applyBorder="1" applyAlignment="1">
      <alignment horizontal="center" vertical="center" wrapText="1"/>
    </xf>
    <xf numFmtId="4" fontId="54" fillId="34" borderId="10" xfId="0" applyNumberFormat="1" applyFont="1" applyFill="1" applyBorder="1" applyAlignment="1">
      <alignment horizontal="center" vertical="center" wrapText="1"/>
    </xf>
    <xf numFmtId="4" fontId="54" fillId="34" borderId="13" xfId="0" applyNumberFormat="1" applyFont="1" applyFill="1" applyBorder="1" applyAlignment="1">
      <alignment horizontal="center" vertical="center" wrapText="1"/>
    </xf>
    <xf numFmtId="4" fontId="54" fillId="34" borderId="12" xfId="0" applyNumberFormat="1" applyFont="1" applyFill="1" applyBorder="1" applyAlignment="1">
      <alignment horizontal="center" vertical="center" wrapText="1"/>
    </xf>
    <xf numFmtId="0" fontId="54" fillId="0" borderId="11" xfId="0" applyFont="1" applyBorder="1" applyAlignment="1">
      <alignment horizontal="center" vertical="center"/>
    </xf>
    <xf numFmtId="0" fontId="54"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54" fillId="13" borderId="10" xfId="0" applyFont="1" applyFill="1" applyBorder="1" applyAlignment="1">
      <alignment horizontal="center"/>
    </xf>
    <xf numFmtId="0" fontId="54" fillId="13" borderId="29" xfId="0" applyFont="1" applyFill="1" applyBorder="1" applyAlignment="1">
      <alignment horizontal="center"/>
    </xf>
    <xf numFmtId="0" fontId="50" fillId="9" borderId="30" xfId="0" applyFont="1" applyFill="1" applyBorder="1" applyAlignment="1">
      <alignment horizontal="center"/>
    </xf>
    <xf numFmtId="0" fontId="50" fillId="9" borderId="31" xfId="0" applyFont="1" applyFill="1" applyBorder="1" applyAlignment="1">
      <alignment horizontal="center"/>
    </xf>
    <xf numFmtId="0" fontId="50" fillId="9" borderId="32" xfId="0" applyFont="1" applyFill="1" applyBorder="1" applyAlignment="1">
      <alignment horizontal="center"/>
    </xf>
    <xf numFmtId="0" fontId="54" fillId="16" borderId="30" xfId="0" applyFont="1" applyFill="1" applyBorder="1" applyAlignment="1">
      <alignment horizontal="center"/>
    </xf>
    <xf numFmtId="0" fontId="54" fillId="16" borderId="31" xfId="0" applyFont="1" applyFill="1" applyBorder="1" applyAlignment="1">
      <alignment horizontal="center"/>
    </xf>
    <xf numFmtId="0" fontId="54" fillId="16" borderId="32" xfId="0" applyFont="1" applyFill="1" applyBorder="1" applyAlignment="1">
      <alignment horizontal="center"/>
    </xf>
    <xf numFmtId="0" fontId="50" fillId="15" borderId="25" xfId="0" applyFont="1" applyFill="1" applyBorder="1" applyAlignment="1">
      <alignment horizontal="center"/>
    </xf>
    <xf numFmtId="0" fontId="50" fillId="15" borderId="26" xfId="0" applyFont="1" applyFill="1" applyBorder="1" applyAlignment="1">
      <alignment horizontal="center"/>
    </xf>
    <xf numFmtId="0" fontId="50" fillId="15" borderId="27" xfId="0" applyFont="1" applyFill="1" applyBorder="1" applyAlignment="1">
      <alignment horizontal="center"/>
    </xf>
    <xf numFmtId="0" fontId="54" fillId="13" borderId="28" xfId="0" applyFont="1" applyFill="1" applyBorder="1" applyAlignment="1">
      <alignment horizontal="center" vertical="center" wrapText="1"/>
    </xf>
    <xf numFmtId="0" fontId="54" fillId="13" borderId="11" xfId="0" applyFont="1" applyFill="1" applyBorder="1" applyAlignment="1">
      <alignment horizontal="center" vertical="center" wrapText="1"/>
    </xf>
    <xf numFmtId="0" fontId="50" fillId="19" borderId="25" xfId="0" applyFont="1" applyFill="1" applyBorder="1" applyAlignment="1">
      <alignment horizontal="center"/>
    </xf>
    <xf numFmtId="0" fontId="50" fillId="19" borderId="27" xfId="0" applyFont="1" applyFill="1" applyBorder="1" applyAlignment="1">
      <alignment horizontal="center"/>
    </xf>
    <xf numFmtId="0" fontId="50" fillId="9" borderId="25" xfId="0" applyFont="1" applyFill="1" applyBorder="1" applyAlignment="1">
      <alignment horizontal="center"/>
    </xf>
    <xf numFmtId="0" fontId="50" fillId="9" borderId="26" xfId="0" applyFont="1" applyFill="1" applyBorder="1" applyAlignment="1">
      <alignment horizontal="center"/>
    </xf>
    <xf numFmtId="0" fontId="50" fillId="9" borderId="27" xfId="0" applyFont="1" applyFill="1" applyBorder="1" applyAlignment="1">
      <alignment horizont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4" xfId="0" applyFont="1" applyFill="1" applyBorder="1" applyAlignment="1">
      <alignment horizontal="center" vertical="center" wrapText="1"/>
    </xf>
    <xf numFmtId="187" fontId="50" fillId="38" borderId="26" xfId="0" applyNumberFormat="1" applyFont="1" applyFill="1" applyBorder="1" applyAlignment="1">
      <alignment horizontal="center"/>
    </xf>
    <xf numFmtId="187" fontId="50" fillId="38" borderId="27" xfId="0" applyNumberFormat="1" applyFont="1" applyFill="1" applyBorder="1" applyAlignment="1">
      <alignment horizontal="center"/>
    </xf>
    <xf numFmtId="0" fontId="50" fillId="9" borderId="10" xfId="0" applyFont="1" applyFill="1" applyBorder="1" applyAlignment="1">
      <alignment horizontal="center"/>
    </xf>
    <xf numFmtId="0" fontId="50" fillId="9" borderId="12" xfId="0" applyFont="1" applyFill="1" applyBorder="1" applyAlignment="1">
      <alignment horizontal="center"/>
    </xf>
    <xf numFmtId="0" fontId="5" fillId="34" borderId="12"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4" fillId="19" borderId="25" xfId="0" applyFont="1" applyFill="1" applyBorder="1" applyAlignment="1">
      <alignment horizontal="center"/>
    </xf>
    <xf numFmtId="0" fontId="54" fillId="19" borderId="26" xfId="0" applyFont="1" applyFill="1" applyBorder="1" applyAlignment="1">
      <alignment horizontal="center"/>
    </xf>
    <xf numFmtId="0" fontId="54" fillId="13" borderId="30" xfId="0" applyFont="1" applyFill="1" applyBorder="1" applyAlignment="1">
      <alignment horizontal="center"/>
    </xf>
    <xf numFmtId="0" fontId="54" fillId="13" borderId="31" xfId="0" applyFont="1" applyFill="1" applyBorder="1" applyAlignment="1">
      <alignment horizontal="center"/>
    </xf>
    <xf numFmtId="0" fontId="54" fillId="13" borderId="32" xfId="0" applyFont="1" applyFill="1" applyBorder="1" applyAlignment="1">
      <alignment horizontal="center"/>
    </xf>
    <xf numFmtId="0" fontId="54" fillId="13" borderId="33" xfId="0" applyFont="1" applyFill="1" applyBorder="1" applyAlignment="1">
      <alignment horizontal="center" vertical="center" wrapText="1"/>
    </xf>
    <xf numFmtId="0" fontId="54" fillId="13" borderId="13" xfId="0" applyFont="1" applyFill="1" applyBorder="1" applyAlignment="1">
      <alignment horizontal="center" vertical="center" wrapText="1"/>
    </xf>
    <xf numFmtId="0" fontId="54" fillId="13" borderId="11" xfId="0" applyFont="1" applyFill="1" applyBorder="1" applyAlignment="1">
      <alignment horizontal="center"/>
    </xf>
    <xf numFmtId="0" fontId="4" fillId="0" borderId="10" xfId="0" applyFont="1" applyFill="1" applyBorder="1" applyAlignment="1" quotePrefix="1">
      <alignment horizontal="center" vertical="center"/>
    </xf>
    <xf numFmtId="0" fontId="50" fillId="16" borderId="30" xfId="0" applyFont="1" applyFill="1" applyBorder="1" applyAlignment="1">
      <alignment horizontal="center"/>
    </xf>
    <xf numFmtId="0" fontId="50" fillId="16" borderId="31" xfId="0" applyFont="1" applyFill="1" applyBorder="1" applyAlignment="1">
      <alignment horizontal="center"/>
    </xf>
    <xf numFmtId="0" fontId="50" fillId="16" borderId="32" xfId="0" applyFont="1" applyFill="1" applyBorder="1" applyAlignment="1">
      <alignment horizontal="center"/>
    </xf>
    <xf numFmtId="0" fontId="54" fillId="34" borderId="28" xfId="0" applyFont="1" applyFill="1" applyBorder="1" applyAlignment="1">
      <alignment horizontal="center" vertical="center" wrapText="1"/>
    </xf>
    <xf numFmtId="0" fontId="54" fillId="34" borderId="34" xfId="0" applyFont="1" applyFill="1" applyBorder="1" applyAlignment="1">
      <alignment horizontal="center" vertical="center" wrapText="1"/>
    </xf>
    <xf numFmtId="3" fontId="54" fillId="34" borderId="28" xfId="0" applyNumberFormat="1" applyFont="1" applyFill="1" applyBorder="1" applyAlignment="1">
      <alignment horizontal="center" vertical="center" wrapText="1"/>
    </xf>
    <xf numFmtId="0" fontId="54" fillId="0" borderId="28" xfId="0" applyFont="1" applyBorder="1" applyAlignment="1">
      <alignment horizontal="center" vertical="center"/>
    </xf>
    <xf numFmtId="4" fontId="54" fillId="34" borderId="28" xfId="0" applyNumberFormat="1" applyFont="1" applyFill="1" applyBorder="1" applyAlignment="1">
      <alignment horizontal="center" vertical="center" wrapText="1"/>
    </xf>
    <xf numFmtId="0" fontId="54" fillId="13" borderId="13" xfId="0" applyFont="1" applyFill="1" applyBorder="1" applyAlignment="1">
      <alignment horizontal="center"/>
    </xf>
    <xf numFmtId="0" fontId="54" fillId="13" borderId="35" xfId="0" applyFont="1" applyFill="1" applyBorder="1" applyAlignment="1">
      <alignment horizontal="center"/>
    </xf>
    <xf numFmtId="0" fontId="5" fillId="34" borderId="36" xfId="0" applyFont="1" applyFill="1" applyBorder="1" applyAlignment="1">
      <alignment horizontal="center" vertical="center" wrapText="1"/>
    </xf>
    <xf numFmtId="0" fontId="50" fillId="38" borderId="13" xfId="0" applyFont="1" applyFill="1" applyBorder="1" applyAlignment="1">
      <alignment horizontal="center"/>
    </xf>
    <xf numFmtId="0" fontId="50" fillId="38" borderId="37" xfId="0" applyFont="1" applyFill="1" applyBorder="1" applyAlignment="1">
      <alignment horizontal="center"/>
    </xf>
    <xf numFmtId="0" fontId="4" fillId="0" borderId="10" xfId="0" applyFont="1" applyFill="1" applyBorder="1" applyAlignment="1" quotePrefix="1">
      <alignment horizontal="center" vertical="center" wrapText="1"/>
    </xf>
    <xf numFmtId="0" fontId="4" fillId="0" borderId="10" xfId="0" applyFont="1" applyBorder="1" applyAlignment="1" quotePrefix="1">
      <alignment horizontal="center" vertical="center" wrapText="1"/>
    </xf>
    <xf numFmtId="14" fontId="4" fillId="0" borderId="10" xfId="0" applyNumberFormat="1" applyFont="1" applyBorder="1" applyAlignment="1">
      <alignment horizontal="center" vertical="center" wrapText="1"/>
    </xf>
    <xf numFmtId="14" fontId="4" fillId="0" borderId="10" xfId="0" applyNumberFormat="1" applyFont="1" applyFill="1" applyBorder="1" applyAlignment="1" quotePrefix="1">
      <alignment horizontal="center" vertical="center"/>
    </xf>
    <xf numFmtId="0" fontId="54" fillId="16" borderId="29" xfId="0" applyFont="1" applyFill="1" applyBorder="1" applyAlignment="1">
      <alignment horizontal="center"/>
    </xf>
    <xf numFmtId="0" fontId="54" fillId="16" borderId="10" xfId="0" applyFont="1" applyFill="1" applyBorder="1" applyAlignment="1">
      <alignment horizontal="center"/>
    </xf>
    <xf numFmtId="0" fontId="50" fillId="15" borderId="13" xfId="0" applyFont="1" applyFill="1" applyBorder="1" applyAlignment="1">
      <alignment horizontal="center"/>
    </xf>
    <xf numFmtId="0" fontId="50" fillId="15" borderId="37" xfId="0" applyFont="1" applyFill="1" applyBorder="1" applyAlignment="1">
      <alignment horizontal="center"/>
    </xf>
    <xf numFmtId="0" fontId="54" fillId="19" borderId="37" xfId="0" applyFont="1" applyFill="1" applyBorder="1" applyAlignment="1">
      <alignment horizontal="center"/>
    </xf>
    <xf numFmtId="0" fontId="54" fillId="19" borderId="35" xfId="0" applyFont="1" applyFill="1" applyBorder="1" applyAlignment="1">
      <alignment horizontal="center"/>
    </xf>
    <xf numFmtId="0" fontId="54" fillId="13" borderId="14" xfId="0" applyFont="1" applyFill="1" applyBorder="1" applyAlignment="1">
      <alignment horizontal="center" vertical="center" wrapText="1"/>
    </xf>
    <xf numFmtId="0" fontId="0" fillId="0" borderId="18" xfId="0" applyBorder="1" applyAlignment="1">
      <alignment horizontal="center"/>
    </xf>
    <xf numFmtId="0" fontId="50" fillId="38" borderId="25" xfId="0" applyFont="1" applyFill="1" applyBorder="1" applyAlignment="1">
      <alignment horizontal="center" vertical="center"/>
    </xf>
    <xf numFmtId="0" fontId="50" fillId="38" borderId="26" xfId="0" applyFont="1" applyFill="1" applyBorder="1" applyAlignment="1">
      <alignment horizontal="center" vertical="center"/>
    </xf>
    <xf numFmtId="0" fontId="50" fillId="38" borderId="27" xfId="0" applyFont="1" applyFill="1" applyBorder="1" applyAlignment="1">
      <alignment horizontal="center" vertical="center"/>
    </xf>
    <xf numFmtId="0" fontId="50" fillId="0" borderId="14"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11" xfId="0" applyFont="1" applyBorder="1" applyAlignment="1">
      <alignment horizontal="center" vertical="center" wrapText="1"/>
    </xf>
    <xf numFmtId="0" fontId="50" fillId="9" borderId="30" xfId="0" applyFont="1" applyFill="1" applyBorder="1" applyAlignment="1">
      <alignment horizontal="center" vertical="center"/>
    </xf>
    <xf numFmtId="0" fontId="50" fillId="9" borderId="31" xfId="0" applyFont="1" applyFill="1" applyBorder="1" applyAlignment="1">
      <alignment horizontal="center" vertical="center"/>
    </xf>
    <xf numFmtId="0" fontId="50" fillId="9" borderId="32" xfId="0" applyFont="1" applyFill="1" applyBorder="1" applyAlignment="1">
      <alignment horizontal="center" vertical="center"/>
    </xf>
    <xf numFmtId="0" fontId="50" fillId="15" borderId="25" xfId="0" applyFont="1" applyFill="1" applyBorder="1" applyAlignment="1">
      <alignment horizontal="center" vertical="center"/>
    </xf>
    <xf numFmtId="0" fontId="50" fillId="15" borderId="26" xfId="0" applyFont="1" applyFill="1" applyBorder="1" applyAlignment="1">
      <alignment horizontal="center" vertical="center"/>
    </xf>
    <xf numFmtId="0" fontId="50" fillId="15" borderId="27" xfId="0" applyFont="1" applyFill="1" applyBorder="1" applyAlignment="1">
      <alignment horizontal="center" vertical="center"/>
    </xf>
    <xf numFmtId="0" fontId="54" fillId="16" borderId="30" xfId="0" applyFont="1" applyFill="1" applyBorder="1" applyAlignment="1">
      <alignment horizontal="center" vertical="center"/>
    </xf>
    <xf numFmtId="0" fontId="54" fillId="16" borderId="31" xfId="0" applyFont="1" applyFill="1" applyBorder="1" applyAlignment="1">
      <alignment horizontal="center" vertical="center"/>
    </xf>
    <xf numFmtId="0" fontId="54" fillId="16" borderId="32" xfId="0" applyFont="1" applyFill="1" applyBorder="1" applyAlignment="1">
      <alignment horizontal="center" vertical="center"/>
    </xf>
    <xf numFmtId="14"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xf>
    <xf numFmtId="0" fontId="54" fillId="19" borderId="25" xfId="0" applyFont="1" applyFill="1" applyBorder="1" applyAlignment="1">
      <alignment horizontal="center" wrapText="1"/>
    </xf>
    <xf numFmtId="0" fontId="54" fillId="19" borderId="27" xfId="0" applyFont="1" applyFill="1" applyBorder="1" applyAlignment="1">
      <alignment horizontal="center" wrapText="1"/>
    </xf>
    <xf numFmtId="0" fontId="54" fillId="13" borderId="30" xfId="0" applyFont="1" applyFill="1" applyBorder="1" applyAlignment="1">
      <alignment horizontal="center" vertical="center"/>
    </xf>
    <xf numFmtId="0" fontId="54" fillId="13" borderId="31" xfId="0" applyFont="1" applyFill="1" applyBorder="1" applyAlignment="1">
      <alignment horizontal="center" vertical="center"/>
    </xf>
    <xf numFmtId="0" fontId="54" fillId="13" borderId="32" xfId="0" applyFont="1" applyFill="1" applyBorder="1" applyAlignment="1">
      <alignment horizontal="center" vertical="center"/>
    </xf>
    <xf numFmtId="0" fontId="57" fillId="37" borderId="38" xfId="0" applyFont="1" applyFill="1" applyBorder="1" applyAlignment="1">
      <alignment horizontal="center" vertical="center" wrapText="1" readingOrder="1"/>
    </xf>
    <xf numFmtId="0" fontId="57" fillId="37" borderId="39" xfId="0" applyFont="1" applyFill="1" applyBorder="1" applyAlignment="1">
      <alignment horizontal="center" vertical="center" wrapText="1" readingOrder="1"/>
    </xf>
    <xf numFmtId="0" fontId="57" fillId="37" borderId="40" xfId="0" applyFont="1" applyFill="1" applyBorder="1" applyAlignment="1">
      <alignment horizontal="center" vertical="center" wrapText="1" readingOrder="1"/>
    </xf>
    <xf numFmtId="0" fontId="57" fillId="0" borderId="38" xfId="0" applyFont="1" applyBorder="1" applyAlignment="1">
      <alignment horizontal="center" vertical="center" wrapText="1" readingOrder="1"/>
    </xf>
    <xf numFmtId="0" fontId="57" fillId="0" borderId="40" xfId="0" applyFont="1" applyBorder="1" applyAlignment="1">
      <alignment horizontal="center" vertical="center" wrapText="1" readingOrder="1"/>
    </xf>
    <xf numFmtId="0" fontId="57" fillId="0" borderId="41" xfId="0" applyFont="1" applyBorder="1" applyAlignment="1">
      <alignment horizontal="center" vertical="center" wrapText="1" readingOrder="1"/>
    </xf>
    <xf numFmtId="0" fontId="57" fillId="0" borderId="42" xfId="0" applyFont="1" applyBorder="1" applyAlignment="1">
      <alignment horizontal="center" vertical="center" wrapText="1" readingOrder="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rmal 3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C95"/>
  <sheetViews>
    <sheetView tabSelected="1" zoomScale="90" zoomScaleNormal="90" zoomScalePageLayoutView="0" workbookViewId="0" topLeftCell="A1">
      <pane xSplit="5" ySplit="3" topLeftCell="BR4" activePane="bottomRight" state="frozen"/>
      <selection pane="topLeft" activeCell="A1" sqref="A1"/>
      <selection pane="topRight" activeCell="F1" sqref="F1"/>
      <selection pane="bottomLeft" activeCell="A3" sqref="A3"/>
      <selection pane="bottomRight" activeCell="A1" sqref="A1"/>
    </sheetView>
  </sheetViews>
  <sheetFormatPr defaultColWidth="11.421875" defaultRowHeight="15"/>
  <cols>
    <col min="1" max="4" width="11.421875" style="2" customWidth="1"/>
    <col min="5" max="5" width="30.28125" style="2" customWidth="1"/>
    <col min="6" max="6" width="15.140625" style="2" hidden="1" customWidth="1"/>
    <col min="7" max="7" width="18.00390625" style="2" hidden="1" customWidth="1"/>
    <col min="8" max="8" width="11.421875" style="2" hidden="1" customWidth="1"/>
    <col min="9" max="9" width="15.7109375" style="2" hidden="1" customWidth="1"/>
    <col min="10" max="10" width="11.421875" style="2" hidden="1" customWidth="1"/>
    <col min="11" max="11" width="14.00390625" style="2" hidden="1" customWidth="1"/>
    <col min="12" max="12" width="14.140625" style="2" hidden="1" customWidth="1"/>
    <col min="13" max="13" width="11.421875" style="2" hidden="1" customWidth="1"/>
    <col min="14" max="14" width="14.28125" style="2" hidden="1" customWidth="1"/>
    <col min="15" max="15" width="15.421875" style="2" hidden="1" customWidth="1"/>
    <col min="16" max="16" width="11.421875" style="2" hidden="1" customWidth="1"/>
    <col min="17" max="18" width="15.7109375" style="2" hidden="1" customWidth="1"/>
    <col min="19" max="19" width="48.57421875" style="2" hidden="1" customWidth="1"/>
    <col min="20" max="20" width="20.28125" style="2" hidden="1" customWidth="1"/>
    <col min="21" max="21" width="16.7109375" style="2" hidden="1" customWidth="1"/>
    <col min="22" max="27" width="0" style="2" hidden="1" customWidth="1"/>
    <col min="28" max="28" width="15.421875" style="2" hidden="1" customWidth="1"/>
    <col min="29" max="29" width="15.140625" style="2" hidden="1" customWidth="1"/>
    <col min="30" max="31" width="0" style="2" hidden="1" customWidth="1"/>
    <col min="32" max="32" width="48.57421875" style="2" hidden="1" customWidth="1"/>
    <col min="33" max="33" width="18.140625" style="2" hidden="1" customWidth="1"/>
    <col min="34" max="34" width="16.57421875" style="2" hidden="1" customWidth="1"/>
    <col min="35" max="40" width="0" style="2" hidden="1" customWidth="1"/>
    <col min="41" max="41" width="15.421875" style="2" hidden="1" customWidth="1"/>
    <col min="42" max="42" width="15.140625" style="2" hidden="1" customWidth="1"/>
    <col min="43" max="44" width="0" style="2" hidden="1" customWidth="1"/>
    <col min="45" max="45" width="16.140625" style="97" hidden="1" customWidth="1"/>
    <col min="46" max="47" width="0" style="97" hidden="1" customWidth="1"/>
    <col min="48" max="49" width="11.421875" style="2" customWidth="1"/>
    <col min="50" max="50" width="11.421875" style="98" customWidth="1"/>
    <col min="51" max="59" width="11.421875" style="2" customWidth="1"/>
    <col min="60" max="60" width="11.421875" style="98" customWidth="1"/>
    <col min="61" max="65" width="11.421875" style="2" customWidth="1"/>
    <col min="66" max="66" width="11.421875" style="143" customWidth="1"/>
    <col min="67" max="67" width="13.7109375" style="143" customWidth="1"/>
    <col min="68" max="68" width="14.57421875" style="143" customWidth="1"/>
    <col min="69" max="69" width="16.140625" style="143" customWidth="1"/>
    <col min="70" max="16384" width="11.421875" style="2" customWidth="1"/>
  </cols>
  <sheetData>
    <row r="1" spans="19:79" ht="15" customHeight="1" thickBot="1">
      <c r="S1" s="284" t="s">
        <v>1138</v>
      </c>
      <c r="T1" s="285"/>
      <c r="U1" s="285"/>
      <c r="V1" s="285"/>
      <c r="W1" s="285"/>
      <c r="X1" s="285"/>
      <c r="Y1" s="285"/>
      <c r="Z1" s="285"/>
      <c r="AA1" s="285"/>
      <c r="AB1" s="285"/>
      <c r="AC1" s="285"/>
      <c r="AD1" s="285"/>
      <c r="AE1" s="286"/>
      <c r="AF1" s="284">
        <v>2020</v>
      </c>
      <c r="AG1" s="285"/>
      <c r="AH1" s="285"/>
      <c r="AI1" s="285"/>
      <c r="AJ1" s="285"/>
      <c r="AK1" s="285"/>
      <c r="AL1" s="285"/>
      <c r="AM1" s="285"/>
      <c r="AN1" s="285"/>
      <c r="AO1" s="285"/>
      <c r="AP1" s="285"/>
      <c r="AQ1" s="285"/>
      <c r="AR1" s="286"/>
      <c r="AS1" s="287" t="s">
        <v>1134</v>
      </c>
      <c r="AT1" s="288"/>
      <c r="AU1" s="289"/>
      <c r="AV1" s="290" t="s">
        <v>1304</v>
      </c>
      <c r="AW1" s="291"/>
      <c r="AX1" s="291"/>
      <c r="AY1" s="291"/>
      <c r="AZ1" s="291"/>
      <c r="BA1" s="291"/>
      <c r="BB1" s="291"/>
      <c r="BC1" s="291"/>
      <c r="BD1" s="291"/>
      <c r="BE1" s="292"/>
      <c r="BF1" s="230" t="s">
        <v>1141</v>
      </c>
      <c r="BG1" s="231"/>
      <c r="BH1" s="231"/>
      <c r="BI1" s="231"/>
      <c r="BJ1" s="231"/>
      <c r="BK1" s="231"/>
      <c r="BL1" s="231"/>
      <c r="BM1" s="231"/>
      <c r="BN1" s="231"/>
      <c r="BO1" s="232"/>
      <c r="BP1" s="295" t="s">
        <v>1285</v>
      </c>
      <c r="BQ1" s="296"/>
      <c r="BR1" s="283" t="s">
        <v>1283</v>
      </c>
      <c r="BS1" s="282"/>
      <c r="BT1" s="282"/>
      <c r="BU1" s="282"/>
      <c r="BV1" s="282"/>
      <c r="BW1" s="282"/>
      <c r="BX1" s="282"/>
      <c r="BY1" s="282"/>
      <c r="BZ1" s="282"/>
      <c r="CA1" s="282"/>
    </row>
    <row r="2" spans="1:79" ht="18.75" customHeight="1">
      <c r="A2" s="281" t="s">
        <v>0</v>
      </c>
      <c r="B2" s="281" t="s">
        <v>18</v>
      </c>
      <c r="C2" s="281" t="s">
        <v>327</v>
      </c>
      <c r="D2" s="281" t="s">
        <v>40</v>
      </c>
      <c r="E2" s="281" t="s">
        <v>1</v>
      </c>
      <c r="F2" s="281" t="s">
        <v>2</v>
      </c>
      <c r="G2" s="281" t="s">
        <v>3</v>
      </c>
      <c r="H2" s="281" t="s">
        <v>4</v>
      </c>
      <c r="I2" s="281"/>
      <c r="J2" s="281"/>
      <c r="K2" s="281"/>
      <c r="L2" s="281"/>
      <c r="M2" s="281"/>
      <c r="N2" s="281"/>
      <c r="O2" s="281" t="s">
        <v>41</v>
      </c>
      <c r="P2" s="281" t="s">
        <v>42</v>
      </c>
      <c r="Q2" s="281" t="s">
        <v>43</v>
      </c>
      <c r="R2" s="281"/>
      <c r="S2" s="249" t="s">
        <v>1301</v>
      </c>
      <c r="T2" s="248" t="s">
        <v>1139</v>
      </c>
      <c r="U2" s="248" t="s">
        <v>1140</v>
      </c>
      <c r="V2" s="233" t="s">
        <v>111</v>
      </c>
      <c r="W2" s="233" t="s">
        <v>44</v>
      </c>
      <c r="X2" s="233" t="s">
        <v>45</v>
      </c>
      <c r="Y2" s="233" t="s">
        <v>52</v>
      </c>
      <c r="Z2" s="233" t="s">
        <v>112</v>
      </c>
      <c r="AA2" s="233" t="s">
        <v>46</v>
      </c>
      <c r="AB2" s="237" t="s">
        <v>47</v>
      </c>
      <c r="AC2" s="237" t="s">
        <v>48</v>
      </c>
      <c r="AD2" s="275" t="s">
        <v>113</v>
      </c>
      <c r="AE2" s="275" t="s">
        <v>49</v>
      </c>
      <c r="AF2" s="249" t="s">
        <v>1302</v>
      </c>
      <c r="AG2" s="248" t="s">
        <v>1139</v>
      </c>
      <c r="AH2" s="248" t="s">
        <v>1140</v>
      </c>
      <c r="AI2" s="233" t="s">
        <v>111</v>
      </c>
      <c r="AJ2" s="233" t="s">
        <v>44</v>
      </c>
      <c r="AK2" s="233" t="s">
        <v>45</v>
      </c>
      <c r="AL2" s="233" t="s">
        <v>52</v>
      </c>
      <c r="AM2" s="233" t="s">
        <v>112</v>
      </c>
      <c r="AN2" s="233" t="s">
        <v>46</v>
      </c>
      <c r="AO2" s="237" t="s">
        <v>47</v>
      </c>
      <c r="AP2" s="237" t="s">
        <v>48</v>
      </c>
      <c r="AQ2" s="275" t="s">
        <v>113</v>
      </c>
      <c r="AR2" s="277" t="s">
        <v>49</v>
      </c>
      <c r="AS2" s="279" t="s">
        <v>1135</v>
      </c>
      <c r="AT2" s="233" t="s">
        <v>111</v>
      </c>
      <c r="AU2" s="233" t="s">
        <v>1136</v>
      </c>
      <c r="AV2" s="233" t="s">
        <v>111</v>
      </c>
      <c r="AW2" s="233" t="s">
        <v>44</v>
      </c>
      <c r="AX2" s="235" t="s">
        <v>45</v>
      </c>
      <c r="AY2" s="233" t="s">
        <v>52</v>
      </c>
      <c r="AZ2" s="233" t="s">
        <v>112</v>
      </c>
      <c r="BA2" s="233" t="s">
        <v>46</v>
      </c>
      <c r="BB2" s="237" t="s">
        <v>47</v>
      </c>
      <c r="BC2" s="237" t="s">
        <v>48</v>
      </c>
      <c r="BD2" s="275" t="s">
        <v>113</v>
      </c>
      <c r="BE2" s="275" t="s">
        <v>49</v>
      </c>
      <c r="BF2" s="233" t="s">
        <v>111</v>
      </c>
      <c r="BG2" s="233" t="s">
        <v>44</v>
      </c>
      <c r="BH2" s="235" t="s">
        <v>45</v>
      </c>
      <c r="BI2" s="233" t="s">
        <v>52</v>
      </c>
      <c r="BJ2" s="233" t="s">
        <v>112</v>
      </c>
      <c r="BK2" s="233" t="s">
        <v>46</v>
      </c>
      <c r="BL2" s="237" t="s">
        <v>47</v>
      </c>
      <c r="BM2" s="237" t="s">
        <v>48</v>
      </c>
      <c r="BN2" s="239" t="s">
        <v>113</v>
      </c>
      <c r="BO2" s="241" t="s">
        <v>49</v>
      </c>
      <c r="BP2" s="293" t="s">
        <v>1284</v>
      </c>
      <c r="BQ2" s="293" t="s">
        <v>49</v>
      </c>
      <c r="BR2" s="282">
        <v>2021</v>
      </c>
      <c r="BS2" s="282"/>
      <c r="BT2" s="282">
        <v>2022</v>
      </c>
      <c r="BU2" s="282"/>
      <c r="BV2" s="282">
        <v>2023</v>
      </c>
      <c r="BW2" s="282"/>
      <c r="BX2" s="282">
        <v>2024</v>
      </c>
      <c r="BY2" s="282"/>
      <c r="BZ2" s="282">
        <v>2025</v>
      </c>
      <c r="CA2" s="282"/>
    </row>
    <row r="3" spans="1:79" ht="51.75" customHeight="1">
      <c r="A3" s="281"/>
      <c r="B3" s="281"/>
      <c r="C3" s="281"/>
      <c r="D3" s="281"/>
      <c r="E3" s="281"/>
      <c r="F3" s="281"/>
      <c r="G3" s="281"/>
      <c r="H3" s="72" t="s">
        <v>5</v>
      </c>
      <c r="I3" s="72" t="s">
        <v>6</v>
      </c>
      <c r="J3" s="72" t="s">
        <v>7</v>
      </c>
      <c r="K3" s="72" t="s">
        <v>562</v>
      </c>
      <c r="L3" s="72" t="s">
        <v>563</v>
      </c>
      <c r="M3" s="72" t="s">
        <v>8</v>
      </c>
      <c r="N3" s="72" t="s">
        <v>9</v>
      </c>
      <c r="O3" s="281"/>
      <c r="P3" s="281"/>
      <c r="Q3" s="72" t="s">
        <v>53</v>
      </c>
      <c r="R3" s="72" t="s">
        <v>54</v>
      </c>
      <c r="S3" s="281"/>
      <c r="T3" s="249"/>
      <c r="U3" s="249"/>
      <c r="V3" s="234"/>
      <c r="W3" s="234" t="s">
        <v>44</v>
      </c>
      <c r="X3" s="234" t="s">
        <v>45</v>
      </c>
      <c r="Y3" s="234" t="s">
        <v>45</v>
      </c>
      <c r="Z3" s="234" t="s">
        <v>112</v>
      </c>
      <c r="AA3" s="234" t="s">
        <v>46</v>
      </c>
      <c r="AB3" s="238" t="s">
        <v>47</v>
      </c>
      <c r="AC3" s="238" t="s">
        <v>48</v>
      </c>
      <c r="AD3" s="276" t="s">
        <v>113</v>
      </c>
      <c r="AE3" s="276" t="s">
        <v>49</v>
      </c>
      <c r="AF3" s="281"/>
      <c r="AG3" s="249"/>
      <c r="AH3" s="249"/>
      <c r="AI3" s="234"/>
      <c r="AJ3" s="234" t="s">
        <v>44</v>
      </c>
      <c r="AK3" s="234" t="s">
        <v>45</v>
      </c>
      <c r="AL3" s="234" t="s">
        <v>45</v>
      </c>
      <c r="AM3" s="234" t="s">
        <v>112</v>
      </c>
      <c r="AN3" s="234" t="s">
        <v>46</v>
      </c>
      <c r="AO3" s="238" t="s">
        <v>47</v>
      </c>
      <c r="AP3" s="238" t="s">
        <v>48</v>
      </c>
      <c r="AQ3" s="276" t="s">
        <v>113</v>
      </c>
      <c r="AR3" s="278" t="s">
        <v>49</v>
      </c>
      <c r="AS3" s="280"/>
      <c r="AT3" s="234"/>
      <c r="AU3" s="234" t="s">
        <v>44</v>
      </c>
      <c r="AV3" s="234"/>
      <c r="AW3" s="234" t="s">
        <v>44</v>
      </c>
      <c r="AX3" s="236" t="s">
        <v>45</v>
      </c>
      <c r="AY3" s="234" t="s">
        <v>45</v>
      </c>
      <c r="AZ3" s="234" t="s">
        <v>112</v>
      </c>
      <c r="BA3" s="234" t="s">
        <v>46</v>
      </c>
      <c r="BB3" s="238" t="s">
        <v>47</v>
      </c>
      <c r="BC3" s="238" t="s">
        <v>48</v>
      </c>
      <c r="BD3" s="276" t="s">
        <v>113</v>
      </c>
      <c r="BE3" s="276" t="s">
        <v>49</v>
      </c>
      <c r="BF3" s="234"/>
      <c r="BG3" s="234" t="s">
        <v>44</v>
      </c>
      <c r="BH3" s="236" t="s">
        <v>45</v>
      </c>
      <c r="BI3" s="234" t="s">
        <v>45</v>
      </c>
      <c r="BJ3" s="234" t="s">
        <v>112</v>
      </c>
      <c r="BK3" s="234" t="s">
        <v>46</v>
      </c>
      <c r="BL3" s="238" t="s">
        <v>47</v>
      </c>
      <c r="BM3" s="238" t="s">
        <v>48</v>
      </c>
      <c r="BN3" s="240" t="s">
        <v>113</v>
      </c>
      <c r="BO3" s="242" t="s">
        <v>49</v>
      </c>
      <c r="BP3" s="294"/>
      <c r="BQ3" s="294"/>
      <c r="BR3" s="204" t="s">
        <v>1284</v>
      </c>
      <c r="BS3" s="204" t="s">
        <v>49</v>
      </c>
      <c r="BT3" s="204" t="s">
        <v>1284</v>
      </c>
      <c r="BU3" s="204" t="s">
        <v>49</v>
      </c>
      <c r="BV3" s="204" t="s">
        <v>1284</v>
      </c>
      <c r="BW3" s="204" t="s">
        <v>49</v>
      </c>
      <c r="BX3" s="204" t="s">
        <v>1284</v>
      </c>
      <c r="BY3" s="204" t="s">
        <v>49</v>
      </c>
      <c r="BZ3" s="204" t="s">
        <v>1284</v>
      </c>
      <c r="CA3" s="204" t="s">
        <v>49</v>
      </c>
    </row>
    <row r="4" spans="1:81" ht="49.5" customHeight="1">
      <c r="A4" s="8">
        <v>37</v>
      </c>
      <c r="B4" s="4" t="s">
        <v>20</v>
      </c>
      <c r="C4" s="4" t="s">
        <v>19</v>
      </c>
      <c r="D4" s="4">
        <v>2</v>
      </c>
      <c r="E4" s="4" t="s">
        <v>110</v>
      </c>
      <c r="F4" s="8" t="s">
        <v>117</v>
      </c>
      <c r="G4" s="8" t="s">
        <v>338</v>
      </c>
      <c r="H4" s="4" t="s">
        <v>486</v>
      </c>
      <c r="I4" s="17" t="s">
        <v>337</v>
      </c>
      <c r="J4" s="25">
        <v>43276</v>
      </c>
      <c r="K4" s="25">
        <v>43413</v>
      </c>
      <c r="L4" s="9" t="s">
        <v>10</v>
      </c>
      <c r="M4" s="9" t="s">
        <v>74</v>
      </c>
      <c r="N4" s="9">
        <v>2023</v>
      </c>
      <c r="O4" s="8" t="s">
        <v>51</v>
      </c>
      <c r="P4" s="8" t="s">
        <v>55</v>
      </c>
      <c r="Q4" s="8" t="s">
        <v>726</v>
      </c>
      <c r="R4" s="8" t="s">
        <v>848</v>
      </c>
      <c r="S4" s="4" t="s">
        <v>1148</v>
      </c>
      <c r="T4" s="4">
        <v>4</v>
      </c>
      <c r="U4" s="96">
        <f>X4/T4</f>
        <v>0.0025499999999999997</v>
      </c>
      <c r="V4" s="71">
        <v>7</v>
      </c>
      <c r="W4" s="71">
        <v>40</v>
      </c>
      <c r="X4" s="71">
        <f>(0.011+0.011+0.008+0.011+0.01)/5</f>
        <v>0.010199999999999999</v>
      </c>
      <c r="Y4" s="71">
        <v>18</v>
      </c>
      <c r="Z4" s="7">
        <f>X4*V4*Y4*0.0036</f>
        <v>0.004626719999999999</v>
      </c>
      <c r="AA4" s="7">
        <f>X4*W4*Y4*0.0036</f>
        <v>0.026438399999999997</v>
      </c>
      <c r="AB4" s="8">
        <v>30</v>
      </c>
      <c r="AC4" s="8">
        <v>12</v>
      </c>
      <c r="AD4" s="13">
        <f aca="true" t="shared" si="0" ref="AD4:AD26">Z4*AB4*AC4</f>
        <v>1.6656191999999996</v>
      </c>
      <c r="AE4" s="13">
        <f aca="true" t="shared" si="1" ref="AE4:AE26">AA4*AB4*AC4</f>
        <v>9.517824</v>
      </c>
      <c r="AF4" s="4" t="s">
        <v>1056</v>
      </c>
      <c r="AG4" s="4">
        <v>4</v>
      </c>
      <c r="AH4" s="96">
        <f>AK4/AG4</f>
        <v>0.0025499999999999997</v>
      </c>
      <c r="AI4" s="71">
        <v>7</v>
      </c>
      <c r="AJ4" s="71">
        <v>40</v>
      </c>
      <c r="AK4" s="71">
        <f>(0.011+0.011+0.008+0.011+0.01)/5</f>
        <v>0.010199999999999999</v>
      </c>
      <c r="AL4" s="71">
        <v>18</v>
      </c>
      <c r="AM4" s="7">
        <f>AK4*AI4*AL4*0.0036</f>
        <v>0.004626719999999999</v>
      </c>
      <c r="AN4" s="7">
        <f>AK4*AJ4*AL4*0.0036</f>
        <v>0.026438399999999997</v>
      </c>
      <c r="AO4" s="8">
        <v>30</v>
      </c>
      <c r="AP4" s="8">
        <v>12</v>
      </c>
      <c r="AQ4" s="13">
        <f aca="true" t="shared" si="2" ref="AQ4:AQ28">AM4*AO4*AP4</f>
        <v>1.6656191999999996</v>
      </c>
      <c r="AR4" s="80">
        <f aca="true" t="shared" si="3" ref="AR4:AR27">AN4*AO4*AP4</f>
        <v>9.517824</v>
      </c>
      <c r="AS4" s="134" t="s">
        <v>1142</v>
      </c>
      <c r="AT4" s="134">
        <v>90</v>
      </c>
      <c r="AU4" s="134">
        <v>90</v>
      </c>
      <c r="AV4" s="76">
        <v>7</v>
      </c>
      <c r="AW4" s="76">
        <f>(W4*X4+AJ4*AK4)/(X4+AK4)</f>
        <v>40</v>
      </c>
      <c r="AX4" s="136">
        <f>AVERAGE(X4,AK4)</f>
        <v>0.010199999999999999</v>
      </c>
      <c r="AY4" s="76">
        <v>18</v>
      </c>
      <c r="AZ4" s="49">
        <f>AX4*AV4*AY4*0.0036</f>
        <v>0.004626719999999999</v>
      </c>
      <c r="BA4" s="49">
        <f>AX4*AW4*AY4*0.0036</f>
        <v>0.026438399999999997</v>
      </c>
      <c r="BB4" s="76">
        <v>30</v>
      </c>
      <c r="BC4" s="76">
        <v>12</v>
      </c>
      <c r="BD4" s="49">
        <f>AZ4*BB4*BC4</f>
        <v>1.6656191999999996</v>
      </c>
      <c r="BE4" s="49">
        <f>BA4*BB4*BC4</f>
        <v>9.517824</v>
      </c>
      <c r="BF4" s="130">
        <v>90</v>
      </c>
      <c r="BG4" s="130">
        <v>90</v>
      </c>
      <c r="BH4" s="136">
        <f>AX4</f>
        <v>0.010199999999999999</v>
      </c>
      <c r="BI4" s="130">
        <v>18</v>
      </c>
      <c r="BJ4" s="125">
        <f>BH4*BF4*BI4*0.0036</f>
        <v>0.05948639999999999</v>
      </c>
      <c r="BK4" s="125">
        <f>BH4*BG4*BI4*0.0036</f>
        <v>0.05948639999999999</v>
      </c>
      <c r="BL4" s="130">
        <v>30</v>
      </c>
      <c r="BM4" s="130">
        <v>12</v>
      </c>
      <c r="BN4" s="142">
        <f>BJ4*BL4*BM4</f>
        <v>21.415103999999996</v>
      </c>
      <c r="BO4" s="142">
        <f>BK4*BL4*BM4</f>
        <v>21.415103999999996</v>
      </c>
      <c r="BP4" s="180">
        <f>AVERAGE(BD4,BN4)</f>
        <v>11.540361599999997</v>
      </c>
      <c r="BQ4" s="180">
        <f>AVERAGE(BE4,BO4)</f>
        <v>15.466463999999998</v>
      </c>
      <c r="BR4" s="197">
        <f>ROUNDUP(BN4,-1)</f>
        <v>30</v>
      </c>
      <c r="BS4" s="197">
        <f>ROUNDUP(BO4,-1)</f>
        <v>30</v>
      </c>
      <c r="BT4" s="197">
        <f>ROUNDUP(BP4,-1)</f>
        <v>20</v>
      </c>
      <c r="BU4" s="197">
        <f>ROUNDUP(BQ4,-1)</f>
        <v>20</v>
      </c>
      <c r="BV4" s="197">
        <f aca="true" t="shared" si="4" ref="BV4:CA4">BT4</f>
        <v>20</v>
      </c>
      <c r="BW4" s="197">
        <f t="shared" si="4"/>
        <v>20</v>
      </c>
      <c r="BX4" s="197">
        <f t="shared" si="4"/>
        <v>20</v>
      </c>
      <c r="BY4" s="197">
        <f t="shared" si="4"/>
        <v>20</v>
      </c>
      <c r="BZ4" s="197">
        <f t="shared" si="4"/>
        <v>20</v>
      </c>
      <c r="CA4" s="197">
        <f t="shared" si="4"/>
        <v>20</v>
      </c>
      <c r="CC4" s="214"/>
    </row>
    <row r="5" spans="1:81" ht="49.5" customHeight="1">
      <c r="A5" s="8">
        <v>38</v>
      </c>
      <c r="B5" s="4" t="s">
        <v>20</v>
      </c>
      <c r="C5" s="4" t="s">
        <v>19</v>
      </c>
      <c r="D5" s="4">
        <v>2</v>
      </c>
      <c r="E5" s="4" t="s">
        <v>56</v>
      </c>
      <c r="F5" s="8" t="s">
        <v>66</v>
      </c>
      <c r="G5" s="8" t="s">
        <v>13</v>
      </c>
      <c r="H5" s="8" t="s">
        <v>11</v>
      </c>
      <c r="I5" s="9" t="s">
        <v>67</v>
      </c>
      <c r="J5" s="9" t="s">
        <v>67</v>
      </c>
      <c r="K5" s="9" t="s">
        <v>67</v>
      </c>
      <c r="L5" s="9" t="s">
        <v>67</v>
      </c>
      <c r="M5" s="9" t="s">
        <v>67</v>
      </c>
      <c r="N5" s="9" t="s">
        <v>67</v>
      </c>
      <c r="O5" s="8" t="s">
        <v>51</v>
      </c>
      <c r="P5" s="8" t="s">
        <v>55</v>
      </c>
      <c r="Q5" s="8" t="s">
        <v>727</v>
      </c>
      <c r="R5" s="8" t="s">
        <v>849</v>
      </c>
      <c r="S5" s="4" t="s">
        <v>1149</v>
      </c>
      <c r="T5" s="4">
        <v>4</v>
      </c>
      <c r="U5" s="96"/>
      <c r="V5" s="124">
        <f>'Estandarización parámetros SJB'!$C$62</f>
        <v>32</v>
      </c>
      <c r="W5" s="124">
        <f>'Estandarización parámetros SJB'!$C$113</f>
        <v>21</v>
      </c>
      <c r="X5" s="112">
        <f>T5*'Estandarización parámetros SJB'!$C$3</f>
        <v>0.07288888888888889</v>
      </c>
      <c r="Y5" s="8"/>
      <c r="Z5" s="6">
        <f>((50*4*4)/1000)</f>
        <v>0.8</v>
      </c>
      <c r="AA5" s="6">
        <f>((50*4*4)/1000)</f>
        <v>0.8</v>
      </c>
      <c r="AB5" s="8">
        <v>30</v>
      </c>
      <c r="AC5" s="8">
        <v>12</v>
      </c>
      <c r="AD5" s="13">
        <f t="shared" si="0"/>
        <v>288</v>
      </c>
      <c r="AE5" s="13">
        <f t="shared" si="1"/>
        <v>288</v>
      </c>
      <c r="AF5" s="4" t="s">
        <v>1055</v>
      </c>
      <c r="AG5" s="4">
        <v>4</v>
      </c>
      <c r="AH5" s="107"/>
      <c r="AI5" s="39">
        <f>'Estandarización parámetros SJB'!$F$62</f>
        <v>18</v>
      </c>
      <c r="AJ5" s="39">
        <f>'Estandarización parámetros SJB'!$F$113</f>
        <v>14</v>
      </c>
      <c r="AK5" s="112">
        <f>AG5*'Estandarización parámetros SJB'!$F$3</f>
        <v>0.065</v>
      </c>
      <c r="AL5" s="8"/>
      <c r="AM5" s="6">
        <f>((50*4*4)/1000)</f>
        <v>0.8</v>
      </c>
      <c r="AN5" s="6">
        <f>((50*4*4)/1000)</f>
        <v>0.8</v>
      </c>
      <c r="AO5" s="8">
        <v>30</v>
      </c>
      <c r="AP5" s="8">
        <v>12</v>
      </c>
      <c r="AQ5" s="13">
        <f t="shared" si="2"/>
        <v>288</v>
      </c>
      <c r="AR5" s="80">
        <f t="shared" si="3"/>
        <v>288</v>
      </c>
      <c r="AS5" s="139"/>
      <c r="AT5" s="139"/>
      <c r="AU5" s="139"/>
      <c r="AV5" s="137">
        <f aca="true" t="shared" si="5" ref="AV5:AV67">(V5*X5+AI5*AK5)/(X5+AK5)</f>
        <v>25.400483481063656</v>
      </c>
      <c r="AW5" s="137">
        <f aca="true" t="shared" si="6" ref="AW5:AW67">(W5*X5+AJ5*AK5)/(X5+AK5)</f>
        <v>17.70024174053183</v>
      </c>
      <c r="AX5" s="136">
        <f aca="true" t="shared" si="7" ref="AX5:AX67">AVERAGE(X5,AK5)</f>
        <v>0.06894444444444445</v>
      </c>
      <c r="AY5" s="79">
        <v>18</v>
      </c>
      <c r="AZ5" s="125">
        <f aca="true" t="shared" si="8" ref="AZ5:AZ67">AX5*AV5*AY5*0.0036</f>
        <v>0.11347919999999997</v>
      </c>
      <c r="BA5" s="125">
        <f aca="true" t="shared" si="9" ref="BA5:BA67">AX5*AW5*AY5*0.0036</f>
        <v>0.0790776</v>
      </c>
      <c r="BB5" s="79">
        <v>30</v>
      </c>
      <c r="BC5" s="79">
        <v>12</v>
      </c>
      <c r="BD5" s="125">
        <f aca="true" t="shared" si="10" ref="BD5:BD67">AZ5*BB5*BC5</f>
        <v>40.85251199999999</v>
      </c>
      <c r="BE5" s="125">
        <f aca="true" t="shared" si="11" ref="BE5:BE67">BA5*BB5*BC5</f>
        <v>28.467936</v>
      </c>
      <c r="BF5" s="130">
        <v>90</v>
      </c>
      <c r="BG5" s="130">
        <v>90</v>
      </c>
      <c r="BH5" s="136">
        <f>AX5</f>
        <v>0.06894444444444445</v>
      </c>
      <c r="BI5" s="130">
        <v>18</v>
      </c>
      <c r="BJ5" s="125">
        <f aca="true" t="shared" si="12" ref="BJ5:BJ67">BH5*BF5*BI5*0.0036</f>
        <v>0.402084</v>
      </c>
      <c r="BK5" s="125">
        <f aca="true" t="shared" si="13" ref="BK5:BK67">BH5*BG5*BI5*0.0036</f>
        <v>0.402084</v>
      </c>
      <c r="BL5" s="130">
        <v>30</v>
      </c>
      <c r="BM5" s="130">
        <v>12</v>
      </c>
      <c r="BN5" s="142">
        <f aca="true" t="shared" si="14" ref="BN5:BN67">BJ5*BL5*BM5</f>
        <v>144.75024</v>
      </c>
      <c r="BO5" s="142">
        <f aca="true" t="shared" si="15" ref="BO5:BO67">BK5*BL5*BM5</f>
        <v>144.75024</v>
      </c>
      <c r="BP5" s="180">
        <f aca="true" t="shared" si="16" ref="BP5:BP67">AVERAGE(BD5,BN5)</f>
        <v>92.80137599999999</v>
      </c>
      <c r="BQ5" s="180">
        <f aca="true" t="shared" si="17" ref="BQ5:BQ67">AVERAGE(BE5,BO5)</f>
        <v>86.609088</v>
      </c>
      <c r="BR5" s="197">
        <f aca="true" t="shared" si="18" ref="BR5:BR67">ROUNDUP(BN5,-1)</f>
        <v>150</v>
      </c>
      <c r="BS5" s="197">
        <f aca="true" t="shared" si="19" ref="BS5:BS67">ROUNDUP(BO5,-1)</f>
        <v>150</v>
      </c>
      <c r="BT5" s="197">
        <f aca="true" t="shared" si="20" ref="BT5:BT67">ROUNDUP(BP5,-1)</f>
        <v>100</v>
      </c>
      <c r="BU5" s="197">
        <f aca="true" t="shared" si="21" ref="BU5:BU67">ROUNDUP(BQ5,-1)</f>
        <v>90</v>
      </c>
      <c r="BV5" s="197">
        <f aca="true" t="shared" si="22" ref="BV5:BV67">BT5</f>
        <v>100</v>
      </c>
      <c r="BW5" s="197">
        <f aca="true" t="shared" si="23" ref="BW5:BW67">BU5</f>
        <v>90</v>
      </c>
      <c r="BX5" s="197">
        <f aca="true" t="shared" si="24" ref="BX5:BX67">BV5</f>
        <v>100</v>
      </c>
      <c r="BY5" s="197">
        <f aca="true" t="shared" si="25" ref="BY5:BY67">BW5</f>
        <v>90</v>
      </c>
      <c r="BZ5" s="197">
        <f aca="true" t="shared" si="26" ref="BZ5:BZ67">BX5</f>
        <v>100</v>
      </c>
      <c r="CA5" s="197">
        <f aca="true" t="shared" si="27" ref="CA5:CA67">BY5</f>
        <v>90</v>
      </c>
      <c r="CC5" s="214"/>
    </row>
    <row r="6" spans="1:81" ht="49.5" customHeight="1">
      <c r="A6" s="8">
        <v>39</v>
      </c>
      <c r="B6" s="4" t="s">
        <v>20</v>
      </c>
      <c r="C6" s="4" t="s">
        <v>19</v>
      </c>
      <c r="D6" s="4">
        <v>2</v>
      </c>
      <c r="E6" s="4" t="s">
        <v>69</v>
      </c>
      <c r="F6" s="8" t="s">
        <v>68</v>
      </c>
      <c r="G6" s="4" t="s">
        <v>453</v>
      </c>
      <c r="H6" s="8" t="s">
        <v>11</v>
      </c>
      <c r="I6" s="9" t="s">
        <v>67</v>
      </c>
      <c r="J6" s="9" t="s">
        <v>67</v>
      </c>
      <c r="K6" s="9" t="s">
        <v>67</v>
      </c>
      <c r="L6" s="9" t="s">
        <v>67</v>
      </c>
      <c r="M6" s="9" t="s">
        <v>67</v>
      </c>
      <c r="N6" s="9" t="s">
        <v>67</v>
      </c>
      <c r="O6" s="8" t="s">
        <v>51</v>
      </c>
      <c r="P6" s="8" t="s">
        <v>55</v>
      </c>
      <c r="Q6" s="8" t="s">
        <v>728</v>
      </c>
      <c r="R6" s="8" t="s">
        <v>850</v>
      </c>
      <c r="S6" s="4" t="s">
        <v>1150</v>
      </c>
      <c r="T6" s="4">
        <v>14</v>
      </c>
      <c r="U6" s="96">
        <f>X6/T6</f>
        <v>0.06471428571428571</v>
      </c>
      <c r="V6" s="8">
        <v>4.9</v>
      </c>
      <c r="W6" s="8">
        <v>4</v>
      </c>
      <c r="X6" s="8">
        <v>0.906</v>
      </c>
      <c r="Y6" s="8">
        <v>18</v>
      </c>
      <c r="Z6" s="6">
        <f>X6*V6*Y6*0.0036</f>
        <v>0.28767312000000006</v>
      </c>
      <c r="AA6" s="6">
        <f>X6*W6*Y6*0.0036</f>
        <v>0.2348352</v>
      </c>
      <c r="AB6" s="8">
        <v>30</v>
      </c>
      <c r="AC6" s="8">
        <v>12</v>
      </c>
      <c r="AD6" s="13">
        <f t="shared" si="0"/>
        <v>103.56232320000002</v>
      </c>
      <c r="AE6" s="13">
        <f t="shared" si="1"/>
        <v>84.540672</v>
      </c>
      <c r="AF6" s="4" t="s">
        <v>1057</v>
      </c>
      <c r="AG6" s="4">
        <v>14</v>
      </c>
      <c r="AH6" s="96">
        <f>AK6/AG6</f>
        <v>0.06471428571428571</v>
      </c>
      <c r="AI6" s="8">
        <v>4.9</v>
      </c>
      <c r="AJ6" s="8">
        <v>4</v>
      </c>
      <c r="AK6" s="8">
        <v>0.906</v>
      </c>
      <c r="AL6" s="8">
        <v>18</v>
      </c>
      <c r="AM6" s="6">
        <f>AK6*AI6*AL6*0.0036</f>
        <v>0.28767312000000006</v>
      </c>
      <c r="AN6" s="6">
        <f>AK6*AJ6*AL6*0.0036</f>
        <v>0.2348352</v>
      </c>
      <c r="AO6" s="8">
        <v>30</v>
      </c>
      <c r="AP6" s="8">
        <v>12</v>
      </c>
      <c r="AQ6" s="13">
        <f t="shared" si="2"/>
        <v>103.56232320000002</v>
      </c>
      <c r="AR6" s="80">
        <f t="shared" si="3"/>
        <v>84.540672</v>
      </c>
      <c r="AS6" s="139"/>
      <c r="AT6" s="139"/>
      <c r="AU6" s="139"/>
      <c r="AV6" s="130">
        <f t="shared" si="5"/>
        <v>4.900000000000001</v>
      </c>
      <c r="AW6" s="130">
        <f t="shared" si="6"/>
        <v>4</v>
      </c>
      <c r="AX6" s="136">
        <f t="shared" si="7"/>
        <v>0.906</v>
      </c>
      <c r="AY6" s="79">
        <v>18</v>
      </c>
      <c r="AZ6" s="125">
        <f t="shared" si="8"/>
        <v>0.28767312000000006</v>
      </c>
      <c r="BA6" s="125">
        <f t="shared" si="9"/>
        <v>0.2348352</v>
      </c>
      <c r="BB6" s="79">
        <v>30</v>
      </c>
      <c r="BC6" s="79">
        <v>12</v>
      </c>
      <c r="BD6" s="125">
        <f t="shared" si="10"/>
        <v>103.56232320000002</v>
      </c>
      <c r="BE6" s="125">
        <f t="shared" si="11"/>
        <v>84.540672</v>
      </c>
      <c r="BF6" s="130">
        <v>90</v>
      </c>
      <c r="BG6" s="130">
        <v>90</v>
      </c>
      <c r="BH6" s="136">
        <f aca="true" t="shared" si="28" ref="BH6:BH68">AX6</f>
        <v>0.906</v>
      </c>
      <c r="BI6" s="130">
        <v>18</v>
      </c>
      <c r="BJ6" s="125">
        <f t="shared" si="12"/>
        <v>5.283792</v>
      </c>
      <c r="BK6" s="125">
        <f t="shared" si="13"/>
        <v>5.283792</v>
      </c>
      <c r="BL6" s="130">
        <v>30</v>
      </c>
      <c r="BM6" s="130">
        <v>12</v>
      </c>
      <c r="BN6" s="142">
        <f t="shared" si="14"/>
        <v>1902.16512</v>
      </c>
      <c r="BO6" s="142">
        <f t="shared" si="15"/>
        <v>1902.16512</v>
      </c>
      <c r="BP6" s="180">
        <f t="shared" si="16"/>
        <v>1002.8637216</v>
      </c>
      <c r="BQ6" s="180">
        <f t="shared" si="17"/>
        <v>993.352896</v>
      </c>
      <c r="BR6" s="197">
        <f t="shared" si="18"/>
        <v>1910</v>
      </c>
      <c r="BS6" s="197">
        <f t="shared" si="19"/>
        <v>1910</v>
      </c>
      <c r="BT6" s="197">
        <f t="shared" si="20"/>
        <v>1010</v>
      </c>
      <c r="BU6" s="197">
        <f t="shared" si="21"/>
        <v>1000</v>
      </c>
      <c r="BV6" s="197">
        <f t="shared" si="22"/>
        <v>1010</v>
      </c>
      <c r="BW6" s="197">
        <f t="shared" si="23"/>
        <v>1000</v>
      </c>
      <c r="BX6" s="197">
        <f t="shared" si="24"/>
        <v>1010</v>
      </c>
      <c r="BY6" s="197">
        <f t="shared" si="25"/>
        <v>1000</v>
      </c>
      <c r="BZ6" s="197">
        <f t="shared" si="26"/>
        <v>1010</v>
      </c>
      <c r="CA6" s="197">
        <f t="shared" si="27"/>
        <v>1000</v>
      </c>
      <c r="CC6" s="214"/>
    </row>
    <row r="7" spans="1:81" ht="49.5" customHeight="1">
      <c r="A7" s="8">
        <v>40</v>
      </c>
      <c r="B7" s="4" t="s">
        <v>20</v>
      </c>
      <c r="C7" s="4" t="s">
        <v>19</v>
      </c>
      <c r="D7" s="4">
        <v>2</v>
      </c>
      <c r="E7" s="4" t="s">
        <v>673</v>
      </c>
      <c r="F7" s="8" t="s">
        <v>70</v>
      </c>
      <c r="G7" s="8" t="s">
        <v>14</v>
      </c>
      <c r="H7" s="8" t="s">
        <v>11</v>
      </c>
      <c r="I7" s="9" t="s">
        <v>67</v>
      </c>
      <c r="J7" s="9" t="s">
        <v>67</v>
      </c>
      <c r="K7" s="9" t="s">
        <v>67</v>
      </c>
      <c r="L7" s="9" t="s">
        <v>67</v>
      </c>
      <c r="M7" s="9" t="s">
        <v>67</v>
      </c>
      <c r="N7" s="9" t="s">
        <v>67</v>
      </c>
      <c r="O7" s="8" t="s">
        <v>51</v>
      </c>
      <c r="P7" s="8" t="s">
        <v>55</v>
      </c>
      <c r="Q7" s="8" t="s">
        <v>729</v>
      </c>
      <c r="R7" s="8" t="s">
        <v>851</v>
      </c>
      <c r="S7" s="4" t="s">
        <v>1151</v>
      </c>
      <c r="T7" s="4">
        <v>4</v>
      </c>
      <c r="U7" s="96"/>
      <c r="V7" s="124">
        <f>'Estandarización parámetros SJB'!$C$62</f>
        <v>32</v>
      </c>
      <c r="W7" s="124">
        <f>'Estandarización parámetros SJB'!$C$113</f>
        <v>21</v>
      </c>
      <c r="X7" s="112">
        <f>T7*'Estandarización parámetros SJB'!$C$3</f>
        <v>0.07288888888888889</v>
      </c>
      <c r="Y7" s="39"/>
      <c r="Z7" s="6">
        <f>((50*4*4)/1000)</f>
        <v>0.8</v>
      </c>
      <c r="AA7" s="6">
        <f>((50*4*4)/1000)</f>
        <v>0.8</v>
      </c>
      <c r="AB7" s="8">
        <v>30</v>
      </c>
      <c r="AC7" s="8">
        <v>12</v>
      </c>
      <c r="AD7" s="13">
        <f t="shared" si="0"/>
        <v>288</v>
      </c>
      <c r="AE7" s="13">
        <f t="shared" si="1"/>
        <v>288</v>
      </c>
      <c r="AF7" s="4" t="s">
        <v>1055</v>
      </c>
      <c r="AG7" s="4">
        <v>4</v>
      </c>
      <c r="AH7" s="107"/>
      <c r="AI7" s="39">
        <f>'Estandarización parámetros SJB'!$F$62</f>
        <v>18</v>
      </c>
      <c r="AJ7" s="39">
        <f>'Estandarización parámetros SJB'!$F$113</f>
        <v>14</v>
      </c>
      <c r="AK7" s="112">
        <f>AG7*'Estandarización parámetros SJB'!$F$3</f>
        <v>0.065</v>
      </c>
      <c r="AL7" s="39"/>
      <c r="AM7" s="6">
        <f>((50*4*4)/1000)</f>
        <v>0.8</v>
      </c>
      <c r="AN7" s="6">
        <f>((50*4*4)/1000)</f>
        <v>0.8</v>
      </c>
      <c r="AO7" s="8">
        <v>30</v>
      </c>
      <c r="AP7" s="8">
        <v>12</v>
      </c>
      <c r="AQ7" s="13">
        <f t="shared" si="2"/>
        <v>288</v>
      </c>
      <c r="AR7" s="80">
        <f t="shared" si="3"/>
        <v>288</v>
      </c>
      <c r="AS7" s="139"/>
      <c r="AT7" s="139"/>
      <c r="AU7" s="139"/>
      <c r="AV7" s="137">
        <f t="shared" si="5"/>
        <v>25.400483481063656</v>
      </c>
      <c r="AW7" s="137">
        <f t="shared" si="6"/>
        <v>17.70024174053183</v>
      </c>
      <c r="AX7" s="136">
        <f t="shared" si="7"/>
        <v>0.06894444444444445</v>
      </c>
      <c r="AY7" s="79">
        <v>18</v>
      </c>
      <c r="AZ7" s="125">
        <f t="shared" si="8"/>
        <v>0.11347919999999997</v>
      </c>
      <c r="BA7" s="125">
        <f t="shared" si="9"/>
        <v>0.0790776</v>
      </c>
      <c r="BB7" s="79">
        <v>30</v>
      </c>
      <c r="BC7" s="79">
        <v>12</v>
      </c>
      <c r="BD7" s="125">
        <f t="shared" si="10"/>
        <v>40.85251199999999</v>
      </c>
      <c r="BE7" s="125">
        <f t="shared" si="11"/>
        <v>28.467936</v>
      </c>
      <c r="BF7" s="130">
        <v>90</v>
      </c>
      <c r="BG7" s="130">
        <v>90</v>
      </c>
      <c r="BH7" s="136">
        <f t="shared" si="28"/>
        <v>0.06894444444444445</v>
      </c>
      <c r="BI7" s="130">
        <v>18</v>
      </c>
      <c r="BJ7" s="125">
        <f t="shared" si="12"/>
        <v>0.402084</v>
      </c>
      <c r="BK7" s="125">
        <f t="shared" si="13"/>
        <v>0.402084</v>
      </c>
      <c r="BL7" s="130">
        <v>30</v>
      </c>
      <c r="BM7" s="130">
        <v>12</v>
      </c>
      <c r="BN7" s="142">
        <f t="shared" si="14"/>
        <v>144.75024</v>
      </c>
      <c r="BO7" s="142">
        <f t="shared" si="15"/>
        <v>144.75024</v>
      </c>
      <c r="BP7" s="180">
        <f t="shared" si="16"/>
        <v>92.80137599999999</v>
      </c>
      <c r="BQ7" s="180">
        <f t="shared" si="17"/>
        <v>86.609088</v>
      </c>
      <c r="BR7" s="197">
        <f t="shared" si="18"/>
        <v>150</v>
      </c>
      <c r="BS7" s="197">
        <f t="shared" si="19"/>
        <v>150</v>
      </c>
      <c r="BT7" s="197">
        <f t="shared" si="20"/>
        <v>100</v>
      </c>
      <c r="BU7" s="197">
        <f t="shared" si="21"/>
        <v>90</v>
      </c>
      <c r="BV7" s="197">
        <f t="shared" si="22"/>
        <v>100</v>
      </c>
      <c r="BW7" s="197">
        <f t="shared" si="23"/>
        <v>90</v>
      </c>
      <c r="BX7" s="197">
        <f t="shared" si="24"/>
        <v>100</v>
      </c>
      <c r="BY7" s="197">
        <f t="shared" si="25"/>
        <v>90</v>
      </c>
      <c r="BZ7" s="197">
        <f t="shared" si="26"/>
        <v>100</v>
      </c>
      <c r="CA7" s="197">
        <f t="shared" si="27"/>
        <v>90</v>
      </c>
      <c r="CC7" s="214"/>
    </row>
    <row r="8" spans="1:81" ht="49.5" customHeight="1">
      <c r="A8" s="8">
        <v>41</v>
      </c>
      <c r="B8" s="4" t="s">
        <v>20</v>
      </c>
      <c r="C8" s="4" t="s">
        <v>19</v>
      </c>
      <c r="D8" s="4">
        <v>2</v>
      </c>
      <c r="E8" s="4" t="s">
        <v>71</v>
      </c>
      <c r="F8" s="8" t="s">
        <v>72</v>
      </c>
      <c r="G8" s="8" t="s">
        <v>334</v>
      </c>
      <c r="H8" s="8" t="s">
        <v>11</v>
      </c>
      <c r="I8" s="9" t="s">
        <v>67</v>
      </c>
      <c r="J8" s="9" t="s">
        <v>67</v>
      </c>
      <c r="K8" s="9" t="s">
        <v>67</v>
      </c>
      <c r="L8" s="9" t="s">
        <v>67</v>
      </c>
      <c r="M8" s="9" t="s">
        <v>67</v>
      </c>
      <c r="N8" s="9" t="s">
        <v>67</v>
      </c>
      <c r="O8" s="8" t="s">
        <v>51</v>
      </c>
      <c r="P8" s="8" t="s">
        <v>55</v>
      </c>
      <c r="Q8" s="8" t="s">
        <v>730</v>
      </c>
      <c r="R8" s="8" t="s">
        <v>852</v>
      </c>
      <c r="S8" s="4" t="s">
        <v>1152</v>
      </c>
      <c r="T8" s="4">
        <v>4</v>
      </c>
      <c r="U8" s="96">
        <f>X8/T8</f>
        <v>0.1875</v>
      </c>
      <c r="V8" s="8">
        <v>29</v>
      </c>
      <c r="W8" s="8">
        <v>58</v>
      </c>
      <c r="X8" s="8">
        <f>(0.56+0.11+2.08+0.93+0.07)/5</f>
        <v>0.75</v>
      </c>
      <c r="Y8" s="8">
        <v>18</v>
      </c>
      <c r="Z8" s="6">
        <f>X8*V8*Y8*0.0036</f>
        <v>1.4094</v>
      </c>
      <c r="AA8" s="6">
        <f>X8*W8*Y8*0.0036</f>
        <v>2.8188</v>
      </c>
      <c r="AB8" s="8">
        <v>30</v>
      </c>
      <c r="AC8" s="8">
        <v>12</v>
      </c>
      <c r="AD8" s="13">
        <f t="shared" si="0"/>
        <v>507.38399999999996</v>
      </c>
      <c r="AE8" s="13">
        <f t="shared" si="1"/>
        <v>1014.7679999999999</v>
      </c>
      <c r="AF8" s="4" t="s">
        <v>1058</v>
      </c>
      <c r="AG8" s="4">
        <v>4</v>
      </c>
      <c r="AH8" s="4">
        <f>AK8/AG8</f>
        <v>0.1875</v>
      </c>
      <c r="AI8" s="8">
        <v>29</v>
      </c>
      <c r="AJ8" s="8">
        <v>58</v>
      </c>
      <c r="AK8" s="8">
        <f>(0.56+0.11+2.08+0.93+0.07)/5</f>
        <v>0.75</v>
      </c>
      <c r="AL8" s="8">
        <v>18</v>
      </c>
      <c r="AM8" s="6">
        <f>AK8*AI8*AL8*0.0036</f>
        <v>1.4094</v>
      </c>
      <c r="AN8" s="6">
        <f>AK8*AJ8*AL8*0.0036</f>
        <v>2.8188</v>
      </c>
      <c r="AO8" s="8">
        <v>30</v>
      </c>
      <c r="AP8" s="8">
        <v>12</v>
      </c>
      <c r="AQ8" s="13">
        <f t="shared" si="2"/>
        <v>507.38399999999996</v>
      </c>
      <c r="AR8" s="80">
        <f t="shared" si="3"/>
        <v>1014.7679999999999</v>
      </c>
      <c r="AS8" s="139"/>
      <c r="AT8" s="139"/>
      <c r="AU8" s="139"/>
      <c r="AV8" s="130">
        <f t="shared" si="5"/>
        <v>29</v>
      </c>
      <c r="AW8" s="130">
        <f t="shared" si="6"/>
        <v>58</v>
      </c>
      <c r="AX8" s="136">
        <f t="shared" si="7"/>
        <v>0.75</v>
      </c>
      <c r="AY8" s="79">
        <v>18</v>
      </c>
      <c r="AZ8" s="125">
        <f t="shared" si="8"/>
        <v>1.4094</v>
      </c>
      <c r="BA8" s="125">
        <f t="shared" si="9"/>
        <v>2.8188</v>
      </c>
      <c r="BB8" s="79">
        <v>30</v>
      </c>
      <c r="BC8" s="79">
        <v>12</v>
      </c>
      <c r="BD8" s="125">
        <f t="shared" si="10"/>
        <v>507.38399999999996</v>
      </c>
      <c r="BE8" s="125">
        <f t="shared" si="11"/>
        <v>1014.7679999999999</v>
      </c>
      <c r="BF8" s="130">
        <v>90</v>
      </c>
      <c r="BG8" s="130">
        <v>90</v>
      </c>
      <c r="BH8" s="136">
        <f t="shared" si="28"/>
        <v>0.75</v>
      </c>
      <c r="BI8" s="130">
        <v>18</v>
      </c>
      <c r="BJ8" s="125">
        <f t="shared" si="12"/>
        <v>4.374</v>
      </c>
      <c r="BK8" s="125">
        <f t="shared" si="13"/>
        <v>4.374</v>
      </c>
      <c r="BL8" s="130">
        <v>30</v>
      </c>
      <c r="BM8" s="130">
        <v>12</v>
      </c>
      <c r="BN8" s="142">
        <f t="shared" si="14"/>
        <v>1574.6399999999999</v>
      </c>
      <c r="BO8" s="142">
        <f t="shared" si="15"/>
        <v>1574.6399999999999</v>
      </c>
      <c r="BP8" s="180">
        <f t="shared" si="16"/>
        <v>1041.012</v>
      </c>
      <c r="BQ8" s="180">
        <f t="shared" si="17"/>
        <v>1294.704</v>
      </c>
      <c r="BR8" s="197">
        <f t="shared" si="18"/>
        <v>1580</v>
      </c>
      <c r="BS8" s="197">
        <f t="shared" si="19"/>
        <v>1580</v>
      </c>
      <c r="BT8" s="197">
        <f t="shared" si="20"/>
        <v>1050</v>
      </c>
      <c r="BU8" s="197">
        <f t="shared" si="21"/>
        <v>1300</v>
      </c>
      <c r="BV8" s="197">
        <f t="shared" si="22"/>
        <v>1050</v>
      </c>
      <c r="BW8" s="197">
        <f t="shared" si="23"/>
        <v>1300</v>
      </c>
      <c r="BX8" s="197">
        <f t="shared" si="24"/>
        <v>1050</v>
      </c>
      <c r="BY8" s="197">
        <f t="shared" si="25"/>
        <v>1300</v>
      </c>
      <c r="BZ8" s="197">
        <f t="shared" si="26"/>
        <v>1050</v>
      </c>
      <c r="CA8" s="197">
        <f t="shared" si="27"/>
        <v>1300</v>
      </c>
      <c r="CC8" s="214"/>
    </row>
    <row r="9" spans="1:81" ht="49.5" customHeight="1">
      <c r="A9" s="5">
        <v>42</v>
      </c>
      <c r="B9" s="4" t="s">
        <v>20</v>
      </c>
      <c r="C9" s="4" t="s">
        <v>19</v>
      </c>
      <c r="D9" s="4">
        <v>2</v>
      </c>
      <c r="E9" s="4" t="s">
        <v>32</v>
      </c>
      <c r="F9" s="5" t="s">
        <v>76</v>
      </c>
      <c r="G9" s="5" t="s">
        <v>286</v>
      </c>
      <c r="H9" s="5" t="s">
        <v>11</v>
      </c>
      <c r="I9" s="26" t="s">
        <v>67</v>
      </c>
      <c r="J9" s="26" t="s">
        <v>67</v>
      </c>
      <c r="K9" s="26" t="s">
        <v>67</v>
      </c>
      <c r="L9" s="26" t="s">
        <v>67</v>
      </c>
      <c r="M9" s="26" t="s">
        <v>67</v>
      </c>
      <c r="N9" s="26" t="s">
        <v>67</v>
      </c>
      <c r="O9" s="4" t="s">
        <v>51</v>
      </c>
      <c r="P9" s="5" t="s">
        <v>55</v>
      </c>
      <c r="Q9" s="4" t="s">
        <v>731</v>
      </c>
      <c r="R9" s="4" t="s">
        <v>853</v>
      </c>
      <c r="S9" s="4" t="s">
        <v>1153</v>
      </c>
      <c r="T9" s="11">
        <v>3</v>
      </c>
      <c r="U9" s="40"/>
      <c r="V9" s="124">
        <f>'Estandarización parámetros SJB'!$C$62</f>
        <v>32</v>
      </c>
      <c r="W9" s="124">
        <f>'Estandarización parámetros SJB'!$C$113</f>
        <v>21</v>
      </c>
      <c r="X9" s="112">
        <f>T9*'Estandarización parámetros SJB'!$C$3</f>
        <v>0.05466666666666667</v>
      </c>
      <c r="Y9" s="36"/>
      <c r="Z9" s="6">
        <f>((50*4*3)/1000)</f>
        <v>0.6</v>
      </c>
      <c r="AA9" s="6">
        <f>((50*4*3)/1000)</f>
        <v>0.6</v>
      </c>
      <c r="AB9" s="5">
        <v>30</v>
      </c>
      <c r="AC9" s="5">
        <v>12</v>
      </c>
      <c r="AD9" s="13">
        <f t="shared" si="0"/>
        <v>216</v>
      </c>
      <c r="AE9" s="13">
        <f t="shared" si="1"/>
        <v>216</v>
      </c>
      <c r="AF9" s="11" t="s">
        <v>1002</v>
      </c>
      <c r="AG9" s="11">
        <v>3</v>
      </c>
      <c r="AH9" s="110"/>
      <c r="AI9" s="39">
        <f>'Estandarización parámetros SJB'!$F$62</f>
        <v>18</v>
      </c>
      <c r="AJ9" s="39">
        <f>'Estandarización parámetros SJB'!$F$113</f>
        <v>14</v>
      </c>
      <c r="AK9" s="112">
        <f>AG9*'Estandarización parámetros SJB'!$F$3</f>
        <v>0.04875</v>
      </c>
      <c r="AL9" s="36"/>
      <c r="AM9" s="6">
        <f>((50*4*3)/1000)</f>
        <v>0.6</v>
      </c>
      <c r="AN9" s="6">
        <f>((50*4*3)/1000)</f>
        <v>0.6</v>
      </c>
      <c r="AO9" s="5">
        <v>30</v>
      </c>
      <c r="AP9" s="5">
        <v>12</v>
      </c>
      <c r="AQ9" s="13">
        <f t="shared" si="2"/>
        <v>216</v>
      </c>
      <c r="AR9" s="80">
        <f t="shared" si="3"/>
        <v>216</v>
      </c>
      <c r="AS9" s="139"/>
      <c r="AT9" s="139"/>
      <c r="AU9" s="139"/>
      <c r="AV9" s="137">
        <f t="shared" si="5"/>
        <v>25.400483481063656</v>
      </c>
      <c r="AW9" s="137">
        <f t="shared" si="6"/>
        <v>17.70024174053183</v>
      </c>
      <c r="AX9" s="136">
        <f t="shared" si="7"/>
        <v>0.051708333333333335</v>
      </c>
      <c r="AY9" s="79">
        <v>18</v>
      </c>
      <c r="AZ9" s="125">
        <f t="shared" si="8"/>
        <v>0.0851094</v>
      </c>
      <c r="BA9" s="125">
        <f t="shared" si="9"/>
        <v>0.059308200000000005</v>
      </c>
      <c r="BB9" s="79">
        <v>30</v>
      </c>
      <c r="BC9" s="79">
        <v>12</v>
      </c>
      <c r="BD9" s="125">
        <f t="shared" si="10"/>
        <v>30.639384000000003</v>
      </c>
      <c r="BE9" s="125">
        <f t="shared" si="11"/>
        <v>21.350952</v>
      </c>
      <c r="BF9" s="130">
        <v>90</v>
      </c>
      <c r="BG9" s="130">
        <v>90</v>
      </c>
      <c r="BH9" s="136">
        <f t="shared" si="28"/>
        <v>0.051708333333333335</v>
      </c>
      <c r="BI9" s="130">
        <v>18</v>
      </c>
      <c r="BJ9" s="125">
        <f t="shared" si="12"/>
        <v>0.301563</v>
      </c>
      <c r="BK9" s="125">
        <f t="shared" si="13"/>
        <v>0.301563</v>
      </c>
      <c r="BL9" s="130">
        <v>30</v>
      </c>
      <c r="BM9" s="130">
        <v>12</v>
      </c>
      <c r="BN9" s="142">
        <f t="shared" si="14"/>
        <v>108.56268000000001</v>
      </c>
      <c r="BO9" s="142">
        <f t="shared" si="15"/>
        <v>108.56268000000001</v>
      </c>
      <c r="BP9" s="180">
        <f t="shared" si="16"/>
        <v>69.601032</v>
      </c>
      <c r="BQ9" s="180">
        <f t="shared" si="17"/>
        <v>64.956816</v>
      </c>
      <c r="BR9" s="197">
        <f t="shared" si="18"/>
        <v>110</v>
      </c>
      <c r="BS9" s="197">
        <f t="shared" si="19"/>
        <v>110</v>
      </c>
      <c r="BT9" s="197">
        <f t="shared" si="20"/>
        <v>70</v>
      </c>
      <c r="BU9" s="197">
        <f t="shared" si="21"/>
        <v>70</v>
      </c>
      <c r="BV9" s="197">
        <f t="shared" si="22"/>
        <v>70</v>
      </c>
      <c r="BW9" s="197">
        <f t="shared" si="23"/>
        <v>70</v>
      </c>
      <c r="BX9" s="197">
        <f t="shared" si="24"/>
        <v>70</v>
      </c>
      <c r="BY9" s="197">
        <f t="shared" si="25"/>
        <v>70</v>
      </c>
      <c r="BZ9" s="197">
        <f t="shared" si="26"/>
        <v>70</v>
      </c>
      <c r="CA9" s="197">
        <f t="shared" si="27"/>
        <v>70</v>
      </c>
      <c r="CC9" s="214"/>
    </row>
    <row r="10" spans="1:81" ht="49.5" customHeight="1">
      <c r="A10" s="8">
        <v>43</v>
      </c>
      <c r="B10" s="4" t="s">
        <v>20</v>
      </c>
      <c r="C10" s="4" t="s">
        <v>19</v>
      </c>
      <c r="D10" s="4">
        <v>2</v>
      </c>
      <c r="E10" s="4" t="s">
        <v>33</v>
      </c>
      <c r="F10" s="8" t="s">
        <v>77</v>
      </c>
      <c r="G10" s="4" t="s">
        <v>448</v>
      </c>
      <c r="H10" s="8" t="s">
        <v>11</v>
      </c>
      <c r="I10" s="9" t="s">
        <v>67</v>
      </c>
      <c r="J10" s="9" t="s">
        <v>67</v>
      </c>
      <c r="K10" s="9" t="s">
        <v>67</v>
      </c>
      <c r="L10" s="9" t="s">
        <v>67</v>
      </c>
      <c r="M10" s="9" t="s">
        <v>67</v>
      </c>
      <c r="N10" s="9" t="s">
        <v>67</v>
      </c>
      <c r="O10" s="4" t="s">
        <v>51</v>
      </c>
      <c r="P10" s="8" t="s">
        <v>55</v>
      </c>
      <c r="Q10" s="4" t="s">
        <v>732</v>
      </c>
      <c r="R10" s="4" t="s">
        <v>854</v>
      </c>
      <c r="S10" s="4" t="s">
        <v>1154</v>
      </c>
      <c r="T10" s="4">
        <v>32</v>
      </c>
      <c r="U10" s="96">
        <f>X10/T10</f>
        <v>0.01</v>
      </c>
      <c r="V10" s="8">
        <v>63</v>
      </c>
      <c r="W10" s="8">
        <v>20</v>
      </c>
      <c r="X10" s="7">
        <v>0.32</v>
      </c>
      <c r="Y10" s="8">
        <v>8</v>
      </c>
      <c r="Z10" s="7">
        <f>X10*V10*Y10*0.0036</f>
        <v>0.580608</v>
      </c>
      <c r="AA10" s="7">
        <f>X10*W10*Y10*0.0036</f>
        <v>0.18432</v>
      </c>
      <c r="AB10" s="8">
        <v>30</v>
      </c>
      <c r="AC10" s="8">
        <v>12</v>
      </c>
      <c r="AD10" s="13">
        <f t="shared" si="0"/>
        <v>209.01888000000002</v>
      </c>
      <c r="AE10" s="13">
        <f t="shared" si="1"/>
        <v>66.3552</v>
      </c>
      <c r="AF10" s="4" t="s">
        <v>1059</v>
      </c>
      <c r="AG10" s="4">
        <v>32</v>
      </c>
      <c r="AH10" s="96">
        <f>AK10/AG10</f>
        <v>0.01</v>
      </c>
      <c r="AI10" s="8">
        <v>63</v>
      </c>
      <c r="AJ10" s="8">
        <v>20</v>
      </c>
      <c r="AK10" s="7">
        <v>0.32</v>
      </c>
      <c r="AL10" s="8">
        <v>8</v>
      </c>
      <c r="AM10" s="7">
        <f>AK10*AI10*AL10*0.0036</f>
        <v>0.580608</v>
      </c>
      <c r="AN10" s="7">
        <f>AK10*AJ10*AL10*0.0036</f>
        <v>0.18432</v>
      </c>
      <c r="AO10" s="8">
        <v>30</v>
      </c>
      <c r="AP10" s="8">
        <v>12</v>
      </c>
      <c r="AQ10" s="13">
        <f t="shared" si="2"/>
        <v>209.01888000000002</v>
      </c>
      <c r="AR10" s="80">
        <f t="shared" si="3"/>
        <v>66.3552</v>
      </c>
      <c r="AS10" s="139"/>
      <c r="AT10" s="139"/>
      <c r="AU10" s="139"/>
      <c r="AV10" s="130">
        <f t="shared" si="5"/>
        <v>63</v>
      </c>
      <c r="AW10" s="130">
        <f t="shared" si="6"/>
        <v>20</v>
      </c>
      <c r="AX10" s="136">
        <f t="shared" si="7"/>
        <v>0.32</v>
      </c>
      <c r="AY10" s="79">
        <v>18</v>
      </c>
      <c r="AZ10" s="125">
        <f t="shared" si="8"/>
        <v>1.306368</v>
      </c>
      <c r="BA10" s="125">
        <f t="shared" si="9"/>
        <v>0.41472</v>
      </c>
      <c r="BB10" s="79">
        <v>30</v>
      </c>
      <c r="BC10" s="79">
        <v>12</v>
      </c>
      <c r="BD10" s="125">
        <f t="shared" si="10"/>
        <v>470.29248</v>
      </c>
      <c r="BE10" s="125">
        <f t="shared" si="11"/>
        <v>149.29919999999998</v>
      </c>
      <c r="BF10" s="130">
        <v>90</v>
      </c>
      <c r="BG10" s="130">
        <v>90</v>
      </c>
      <c r="BH10" s="136">
        <f t="shared" si="28"/>
        <v>0.32</v>
      </c>
      <c r="BI10" s="130">
        <v>18</v>
      </c>
      <c r="BJ10" s="125">
        <f t="shared" si="12"/>
        <v>1.86624</v>
      </c>
      <c r="BK10" s="125">
        <f t="shared" si="13"/>
        <v>1.86624</v>
      </c>
      <c r="BL10" s="130">
        <v>30</v>
      </c>
      <c r="BM10" s="130">
        <v>12</v>
      </c>
      <c r="BN10" s="142">
        <f t="shared" si="14"/>
        <v>671.8463999999999</v>
      </c>
      <c r="BO10" s="142">
        <f t="shared" si="15"/>
        <v>671.8463999999999</v>
      </c>
      <c r="BP10" s="180">
        <f t="shared" si="16"/>
        <v>571.06944</v>
      </c>
      <c r="BQ10" s="180">
        <f t="shared" si="17"/>
        <v>410.5727999999999</v>
      </c>
      <c r="BR10" s="197">
        <f t="shared" si="18"/>
        <v>680</v>
      </c>
      <c r="BS10" s="197">
        <f t="shared" si="19"/>
        <v>680</v>
      </c>
      <c r="BT10" s="197">
        <f t="shared" si="20"/>
        <v>580</v>
      </c>
      <c r="BU10" s="197">
        <f t="shared" si="21"/>
        <v>420</v>
      </c>
      <c r="BV10" s="197">
        <f t="shared" si="22"/>
        <v>580</v>
      </c>
      <c r="BW10" s="197">
        <f t="shared" si="23"/>
        <v>420</v>
      </c>
      <c r="BX10" s="197">
        <f t="shared" si="24"/>
        <v>580</v>
      </c>
      <c r="BY10" s="197">
        <f t="shared" si="25"/>
        <v>420</v>
      </c>
      <c r="BZ10" s="197">
        <f t="shared" si="26"/>
        <v>580</v>
      </c>
      <c r="CA10" s="197">
        <f t="shared" si="27"/>
        <v>420</v>
      </c>
      <c r="CC10" s="214"/>
    </row>
    <row r="11" spans="1:81" ht="49.5" customHeight="1">
      <c r="A11" s="8">
        <v>44</v>
      </c>
      <c r="B11" s="4" t="s">
        <v>20</v>
      </c>
      <c r="C11" s="4" t="s">
        <v>19</v>
      </c>
      <c r="D11" s="4">
        <v>2</v>
      </c>
      <c r="E11" s="4" t="s">
        <v>441</v>
      </c>
      <c r="F11" s="8" t="s">
        <v>78</v>
      </c>
      <c r="G11" s="8" t="s">
        <v>57</v>
      </c>
      <c r="H11" s="8" t="s">
        <v>11</v>
      </c>
      <c r="I11" s="9" t="s">
        <v>67</v>
      </c>
      <c r="J11" s="9" t="s">
        <v>67</v>
      </c>
      <c r="K11" s="9" t="s">
        <v>67</v>
      </c>
      <c r="L11" s="9" t="s">
        <v>67</v>
      </c>
      <c r="M11" s="9" t="s">
        <v>67</v>
      </c>
      <c r="N11" s="9" t="s">
        <v>67</v>
      </c>
      <c r="O11" s="4" t="s">
        <v>51</v>
      </c>
      <c r="P11" s="8" t="s">
        <v>55</v>
      </c>
      <c r="Q11" s="4" t="s">
        <v>733</v>
      </c>
      <c r="R11" s="4" t="s">
        <v>855</v>
      </c>
      <c r="S11" s="4" t="s">
        <v>1155</v>
      </c>
      <c r="T11" s="4">
        <v>3</v>
      </c>
      <c r="U11" s="96">
        <f>X11/T11</f>
        <v>0.06365656565656565</v>
      </c>
      <c r="V11" s="186">
        <f>'Estandarización parámetros SJB'!$C$62</f>
        <v>32</v>
      </c>
      <c r="W11" s="71">
        <v>67</v>
      </c>
      <c r="X11" s="41">
        <f>(0.588+0.584+0.573+0.552+0.562+0+0+0+0.582+0.547+0+0+0+0+0+0+0+0+0.585+0+0.58+0.576+0.573+0+0+0+0+0+0+0+0+0+0)/33</f>
        <v>0.19096969696969696</v>
      </c>
      <c r="Y11" s="71">
        <v>18</v>
      </c>
      <c r="Z11" s="7">
        <f>X11*V11*Y11*0.0036</f>
        <v>0.3959947636363636</v>
      </c>
      <c r="AA11" s="7">
        <f>X11*W11*Y11*0.0036</f>
        <v>0.8291140363636363</v>
      </c>
      <c r="AB11" s="8">
        <v>30</v>
      </c>
      <c r="AC11" s="8">
        <v>12</v>
      </c>
      <c r="AD11" s="13">
        <f t="shared" si="0"/>
        <v>142.55811490909088</v>
      </c>
      <c r="AE11" s="13">
        <f t="shared" si="1"/>
        <v>298.4810530909091</v>
      </c>
      <c r="AF11" s="4" t="s">
        <v>1060</v>
      </c>
      <c r="AG11" s="4">
        <v>3</v>
      </c>
      <c r="AH11" s="96">
        <f>AK11/AG11</f>
        <v>0.06365656565656565</v>
      </c>
      <c r="AI11" s="186">
        <f>'Estandarización parámetros SJB'!$F$62</f>
        <v>18</v>
      </c>
      <c r="AJ11" s="71">
        <v>67</v>
      </c>
      <c r="AK11" s="41">
        <f>(0.588+0.584+0.573+0.552+0.562+0+0+0+0.582+0.547+0+0+0+0+0+0+0+0+0.585+0+0.58+0.576+0.573+0+0+0+0+0+0+0+0+0+0)/33</f>
        <v>0.19096969696969696</v>
      </c>
      <c r="AL11" s="71">
        <v>18</v>
      </c>
      <c r="AM11" s="7">
        <f>AK11*AI11*AL11*0.0036</f>
        <v>0.22274705454545454</v>
      </c>
      <c r="AN11" s="7">
        <f>AK11*AJ11*AL11*0.0036</f>
        <v>0.8291140363636363</v>
      </c>
      <c r="AO11" s="8">
        <v>30</v>
      </c>
      <c r="AP11" s="8">
        <v>12</v>
      </c>
      <c r="AQ11" s="13">
        <f t="shared" si="2"/>
        <v>80.18893963636364</v>
      </c>
      <c r="AR11" s="80">
        <f t="shared" si="3"/>
        <v>298.4810530909091</v>
      </c>
      <c r="AS11" s="139"/>
      <c r="AT11" s="139"/>
      <c r="AU11" s="139"/>
      <c r="AV11" s="130">
        <f t="shared" si="5"/>
        <v>24.999999999999996</v>
      </c>
      <c r="AW11" s="130">
        <f t="shared" si="6"/>
        <v>67</v>
      </c>
      <c r="AX11" s="136">
        <f t="shared" si="7"/>
        <v>0.19096969696969696</v>
      </c>
      <c r="AY11" s="79">
        <v>18</v>
      </c>
      <c r="AZ11" s="125">
        <f t="shared" si="8"/>
        <v>0.30937090909090903</v>
      </c>
      <c r="BA11" s="125">
        <f t="shared" si="9"/>
        <v>0.8291140363636363</v>
      </c>
      <c r="BB11" s="79">
        <v>30</v>
      </c>
      <c r="BC11" s="79">
        <v>12</v>
      </c>
      <c r="BD11" s="125">
        <f t="shared" si="10"/>
        <v>111.37352727272726</v>
      </c>
      <c r="BE11" s="125">
        <f t="shared" si="11"/>
        <v>298.4810530909091</v>
      </c>
      <c r="BF11" s="130">
        <v>90</v>
      </c>
      <c r="BG11" s="130">
        <v>90</v>
      </c>
      <c r="BH11" s="136">
        <f t="shared" si="28"/>
        <v>0.19096969696969696</v>
      </c>
      <c r="BI11" s="130">
        <v>18</v>
      </c>
      <c r="BJ11" s="125">
        <f t="shared" si="12"/>
        <v>1.1137352727272727</v>
      </c>
      <c r="BK11" s="125">
        <f t="shared" si="13"/>
        <v>1.1137352727272727</v>
      </c>
      <c r="BL11" s="130">
        <v>30</v>
      </c>
      <c r="BM11" s="130">
        <v>12</v>
      </c>
      <c r="BN11" s="142">
        <f t="shared" si="14"/>
        <v>400.9446981818182</v>
      </c>
      <c r="BO11" s="142">
        <f t="shared" si="15"/>
        <v>400.9446981818182</v>
      </c>
      <c r="BP11" s="180">
        <f t="shared" si="16"/>
        <v>256.1591127272727</v>
      </c>
      <c r="BQ11" s="180">
        <f t="shared" si="17"/>
        <v>349.7128756363636</v>
      </c>
      <c r="BR11" s="197">
        <f t="shared" si="18"/>
        <v>410</v>
      </c>
      <c r="BS11" s="197">
        <f t="shared" si="19"/>
        <v>410</v>
      </c>
      <c r="BT11" s="197">
        <f t="shared" si="20"/>
        <v>260</v>
      </c>
      <c r="BU11" s="197">
        <f t="shared" si="21"/>
        <v>350</v>
      </c>
      <c r="BV11" s="197">
        <f t="shared" si="22"/>
        <v>260</v>
      </c>
      <c r="BW11" s="197">
        <f t="shared" si="23"/>
        <v>350</v>
      </c>
      <c r="BX11" s="197">
        <f t="shared" si="24"/>
        <v>260</v>
      </c>
      <c r="BY11" s="197">
        <f t="shared" si="25"/>
        <v>350</v>
      </c>
      <c r="BZ11" s="197">
        <f t="shared" si="26"/>
        <v>260</v>
      </c>
      <c r="CA11" s="197">
        <f t="shared" si="27"/>
        <v>350</v>
      </c>
      <c r="CC11" s="214"/>
    </row>
    <row r="12" spans="1:81" ht="49.5" customHeight="1">
      <c r="A12" s="8">
        <v>45</v>
      </c>
      <c r="B12" s="4" t="s">
        <v>20</v>
      </c>
      <c r="C12" s="4" t="s">
        <v>19</v>
      </c>
      <c r="D12" s="4">
        <v>2</v>
      </c>
      <c r="E12" s="4" t="s">
        <v>35</v>
      </c>
      <c r="F12" s="8" t="s">
        <v>79</v>
      </c>
      <c r="G12" s="8" t="s">
        <v>34</v>
      </c>
      <c r="H12" s="8" t="s">
        <v>227</v>
      </c>
      <c r="I12" s="17" t="s">
        <v>1281</v>
      </c>
      <c r="J12" s="200">
        <v>44497</v>
      </c>
      <c r="K12" s="17" t="s">
        <v>10</v>
      </c>
      <c r="L12" s="17" t="s">
        <v>10</v>
      </c>
      <c r="M12" s="17" t="s">
        <v>74</v>
      </c>
      <c r="N12" s="17">
        <v>2026</v>
      </c>
      <c r="O12" s="4" t="s">
        <v>51</v>
      </c>
      <c r="P12" s="8" t="s">
        <v>55</v>
      </c>
      <c r="Q12" s="4" t="s">
        <v>734</v>
      </c>
      <c r="R12" s="4" t="s">
        <v>856</v>
      </c>
      <c r="S12" s="4" t="s">
        <v>1156</v>
      </c>
      <c r="T12" s="4">
        <v>4</v>
      </c>
      <c r="U12" s="96"/>
      <c r="V12" s="124">
        <f>'Estandarización parámetros SJB'!$C$62</f>
        <v>32</v>
      </c>
      <c r="W12" s="124">
        <f>'Estandarización parámetros SJB'!$C$113</f>
        <v>21</v>
      </c>
      <c r="X12" s="112">
        <f>T12*'Estandarización parámetros SJB'!$C$3</f>
        <v>0.07288888888888889</v>
      </c>
      <c r="Y12" s="8"/>
      <c r="Z12" s="7">
        <f>(50*4*4)/1000</f>
        <v>0.8</v>
      </c>
      <c r="AA12" s="7">
        <f>(50*4*4)/1000</f>
        <v>0.8</v>
      </c>
      <c r="AB12" s="8">
        <v>30</v>
      </c>
      <c r="AC12" s="8">
        <v>12</v>
      </c>
      <c r="AD12" s="13">
        <f t="shared" si="0"/>
        <v>288</v>
      </c>
      <c r="AE12" s="13">
        <f t="shared" si="1"/>
        <v>288</v>
      </c>
      <c r="AF12" s="4" t="s">
        <v>1061</v>
      </c>
      <c r="AG12" s="4">
        <v>4</v>
      </c>
      <c r="AH12" s="108"/>
      <c r="AI12" s="39">
        <f>'Estandarización parámetros SJB'!$F$62</f>
        <v>18</v>
      </c>
      <c r="AJ12" s="39">
        <f>'Estandarización parámetros SJB'!$F$113</f>
        <v>14</v>
      </c>
      <c r="AK12" s="112">
        <f>AG12*'Estandarización parámetros SJB'!$F$3</f>
        <v>0.065</v>
      </c>
      <c r="AL12" s="8"/>
      <c r="AM12" s="7">
        <f>(50*4*4)/1000</f>
        <v>0.8</v>
      </c>
      <c r="AN12" s="7">
        <f>(50*4*4)/1000</f>
        <v>0.8</v>
      </c>
      <c r="AO12" s="8">
        <v>30</v>
      </c>
      <c r="AP12" s="8">
        <v>12</v>
      </c>
      <c r="AQ12" s="13">
        <f t="shared" si="2"/>
        <v>288</v>
      </c>
      <c r="AR12" s="80">
        <f t="shared" si="3"/>
        <v>288</v>
      </c>
      <c r="AS12" s="195" t="s">
        <v>1142</v>
      </c>
      <c r="AT12" s="195">
        <v>90</v>
      </c>
      <c r="AU12" s="195">
        <v>90</v>
      </c>
      <c r="AV12" s="137">
        <f t="shared" si="5"/>
        <v>25.400483481063656</v>
      </c>
      <c r="AW12" s="137">
        <f t="shared" si="6"/>
        <v>17.70024174053183</v>
      </c>
      <c r="AX12" s="136">
        <f t="shared" si="7"/>
        <v>0.06894444444444445</v>
      </c>
      <c r="AY12" s="79">
        <v>18</v>
      </c>
      <c r="AZ12" s="125">
        <f t="shared" si="8"/>
        <v>0.11347919999999997</v>
      </c>
      <c r="BA12" s="125">
        <f t="shared" si="9"/>
        <v>0.0790776</v>
      </c>
      <c r="BB12" s="79">
        <v>30</v>
      </c>
      <c r="BC12" s="79">
        <v>12</v>
      </c>
      <c r="BD12" s="125">
        <f t="shared" si="10"/>
        <v>40.85251199999999</v>
      </c>
      <c r="BE12" s="125">
        <f t="shared" si="11"/>
        <v>28.467936</v>
      </c>
      <c r="BF12" s="130">
        <v>90</v>
      </c>
      <c r="BG12" s="130">
        <v>90</v>
      </c>
      <c r="BH12" s="136">
        <f t="shared" si="28"/>
        <v>0.06894444444444445</v>
      </c>
      <c r="BI12" s="130">
        <v>18</v>
      </c>
      <c r="BJ12" s="125">
        <f t="shared" si="12"/>
        <v>0.402084</v>
      </c>
      <c r="BK12" s="125">
        <f t="shared" si="13"/>
        <v>0.402084</v>
      </c>
      <c r="BL12" s="130">
        <v>30</v>
      </c>
      <c r="BM12" s="130">
        <v>12</v>
      </c>
      <c r="BN12" s="142">
        <f t="shared" si="14"/>
        <v>144.75024</v>
      </c>
      <c r="BO12" s="142">
        <f t="shared" si="15"/>
        <v>144.75024</v>
      </c>
      <c r="BP12" s="180">
        <f t="shared" si="16"/>
        <v>92.80137599999999</v>
      </c>
      <c r="BQ12" s="180">
        <f t="shared" si="17"/>
        <v>86.609088</v>
      </c>
      <c r="BR12" s="197">
        <f t="shared" si="18"/>
        <v>150</v>
      </c>
      <c r="BS12" s="197">
        <f t="shared" si="19"/>
        <v>150</v>
      </c>
      <c r="BT12" s="197">
        <f t="shared" si="20"/>
        <v>100</v>
      </c>
      <c r="BU12" s="197">
        <f t="shared" si="21"/>
        <v>90</v>
      </c>
      <c r="BV12" s="197">
        <f t="shared" si="22"/>
        <v>100</v>
      </c>
      <c r="BW12" s="197">
        <f t="shared" si="23"/>
        <v>90</v>
      </c>
      <c r="BX12" s="197">
        <f t="shared" si="24"/>
        <v>100</v>
      </c>
      <c r="BY12" s="197">
        <f t="shared" si="25"/>
        <v>90</v>
      </c>
      <c r="BZ12" s="197">
        <f t="shared" si="26"/>
        <v>100</v>
      </c>
      <c r="CA12" s="197">
        <f t="shared" si="27"/>
        <v>90</v>
      </c>
      <c r="CC12" s="214"/>
    </row>
    <row r="13" spans="1:81" ht="49.5" customHeight="1">
      <c r="A13" s="4">
        <v>46</v>
      </c>
      <c r="B13" s="4" t="s">
        <v>202</v>
      </c>
      <c r="C13" s="4" t="s">
        <v>19</v>
      </c>
      <c r="D13" s="4">
        <v>2</v>
      </c>
      <c r="E13" s="4" t="s">
        <v>121</v>
      </c>
      <c r="F13" s="4" t="s">
        <v>170</v>
      </c>
      <c r="G13" s="4" t="s">
        <v>454</v>
      </c>
      <c r="H13" s="4" t="s">
        <v>11</v>
      </c>
      <c r="I13" s="9" t="s">
        <v>67</v>
      </c>
      <c r="J13" s="9" t="s">
        <v>67</v>
      </c>
      <c r="K13" s="9" t="s">
        <v>67</v>
      </c>
      <c r="L13" s="9" t="s">
        <v>67</v>
      </c>
      <c r="M13" s="9" t="s">
        <v>67</v>
      </c>
      <c r="N13" s="9" t="s">
        <v>67</v>
      </c>
      <c r="O13" s="8" t="s">
        <v>51</v>
      </c>
      <c r="P13" s="8" t="s">
        <v>55</v>
      </c>
      <c r="Q13" s="8" t="s">
        <v>735</v>
      </c>
      <c r="R13" s="8" t="s">
        <v>857</v>
      </c>
      <c r="S13" s="4" t="s">
        <v>1157</v>
      </c>
      <c r="T13" s="4">
        <v>4</v>
      </c>
      <c r="U13" s="96">
        <f>X13/T13</f>
        <v>0.037</v>
      </c>
      <c r="V13" s="120">
        <v>51</v>
      </c>
      <c r="W13" s="120">
        <v>28</v>
      </c>
      <c r="X13" s="58">
        <v>0.148</v>
      </c>
      <c r="Y13" s="8">
        <v>18</v>
      </c>
      <c r="Z13" s="7">
        <f>X13*V13*Y13*0.0036</f>
        <v>0.4891104</v>
      </c>
      <c r="AA13" s="7">
        <f>X13*W13*Y13*0.0036</f>
        <v>0.26853119999999997</v>
      </c>
      <c r="AB13" s="8">
        <v>30</v>
      </c>
      <c r="AC13" s="8">
        <v>12</v>
      </c>
      <c r="AD13" s="13">
        <f t="shared" si="0"/>
        <v>176.079744</v>
      </c>
      <c r="AE13" s="13">
        <f t="shared" si="1"/>
        <v>96.67123199999999</v>
      </c>
      <c r="AF13" s="4" t="s">
        <v>1062</v>
      </c>
      <c r="AG13" s="4">
        <v>4</v>
      </c>
      <c r="AH13" s="96">
        <f>AK13/AG13</f>
        <v>0.002125</v>
      </c>
      <c r="AI13" s="8">
        <v>70</v>
      </c>
      <c r="AJ13" s="8">
        <v>23</v>
      </c>
      <c r="AK13" s="8">
        <v>0.0085</v>
      </c>
      <c r="AL13" s="8">
        <v>18</v>
      </c>
      <c r="AM13" s="7">
        <f>AK13*AI13*AL13*0.0036</f>
        <v>0.038556</v>
      </c>
      <c r="AN13" s="7">
        <f>AK13*AJ13*AL13*0.0036</f>
        <v>0.0126684</v>
      </c>
      <c r="AO13" s="8">
        <v>30</v>
      </c>
      <c r="AP13" s="8">
        <v>12</v>
      </c>
      <c r="AQ13" s="13">
        <f t="shared" si="2"/>
        <v>13.88016</v>
      </c>
      <c r="AR13" s="80">
        <f t="shared" si="3"/>
        <v>4.560624</v>
      </c>
      <c r="AS13" s="139"/>
      <c r="AT13" s="139"/>
      <c r="AU13" s="139"/>
      <c r="AV13" s="137">
        <f t="shared" si="5"/>
        <v>52.03194888178914</v>
      </c>
      <c r="AW13" s="137">
        <f t="shared" si="6"/>
        <v>27.728434504792332</v>
      </c>
      <c r="AX13" s="136">
        <f t="shared" si="7"/>
        <v>0.07825</v>
      </c>
      <c r="AY13" s="79">
        <v>18</v>
      </c>
      <c r="AZ13" s="125">
        <f t="shared" si="8"/>
        <v>0.2638332</v>
      </c>
      <c r="BA13" s="125">
        <f t="shared" si="9"/>
        <v>0.1405998</v>
      </c>
      <c r="BB13" s="79">
        <v>30</v>
      </c>
      <c r="BC13" s="79">
        <v>12</v>
      </c>
      <c r="BD13" s="125">
        <f t="shared" si="10"/>
        <v>94.979952</v>
      </c>
      <c r="BE13" s="125">
        <f t="shared" si="11"/>
        <v>50.615928</v>
      </c>
      <c r="BF13" s="130">
        <v>90</v>
      </c>
      <c r="BG13" s="130">
        <v>90</v>
      </c>
      <c r="BH13" s="136">
        <f t="shared" si="28"/>
        <v>0.07825</v>
      </c>
      <c r="BI13" s="130">
        <v>18</v>
      </c>
      <c r="BJ13" s="125">
        <f t="shared" si="12"/>
        <v>0.45635400000000004</v>
      </c>
      <c r="BK13" s="125">
        <f t="shared" si="13"/>
        <v>0.45635400000000004</v>
      </c>
      <c r="BL13" s="130">
        <v>30</v>
      </c>
      <c r="BM13" s="130">
        <v>12</v>
      </c>
      <c r="BN13" s="142">
        <f t="shared" si="14"/>
        <v>164.28744</v>
      </c>
      <c r="BO13" s="142">
        <f t="shared" si="15"/>
        <v>164.28744</v>
      </c>
      <c r="BP13" s="180">
        <f t="shared" si="16"/>
        <v>129.633696</v>
      </c>
      <c r="BQ13" s="180">
        <f t="shared" si="17"/>
        <v>107.451684</v>
      </c>
      <c r="BR13" s="197">
        <f t="shared" si="18"/>
        <v>170</v>
      </c>
      <c r="BS13" s="197">
        <f t="shared" si="19"/>
        <v>170</v>
      </c>
      <c r="BT13" s="197">
        <f t="shared" si="20"/>
        <v>130</v>
      </c>
      <c r="BU13" s="197">
        <f t="shared" si="21"/>
        <v>110</v>
      </c>
      <c r="BV13" s="197">
        <f t="shared" si="22"/>
        <v>130</v>
      </c>
      <c r="BW13" s="197">
        <f t="shared" si="23"/>
        <v>110</v>
      </c>
      <c r="BX13" s="197">
        <f t="shared" si="24"/>
        <v>130</v>
      </c>
      <c r="BY13" s="197">
        <f t="shared" si="25"/>
        <v>110</v>
      </c>
      <c r="BZ13" s="197">
        <f t="shared" si="26"/>
        <v>130</v>
      </c>
      <c r="CA13" s="197">
        <f t="shared" si="27"/>
        <v>110</v>
      </c>
      <c r="CC13" s="214"/>
    </row>
    <row r="14" spans="1:81" ht="49.5" customHeight="1">
      <c r="A14" s="4">
        <v>47</v>
      </c>
      <c r="B14" s="4" t="s">
        <v>203</v>
      </c>
      <c r="C14" s="4" t="s">
        <v>19</v>
      </c>
      <c r="D14" s="4">
        <v>2</v>
      </c>
      <c r="E14" s="4" t="s">
        <v>674</v>
      </c>
      <c r="F14" s="4" t="s">
        <v>190</v>
      </c>
      <c r="G14" s="4" t="s">
        <v>145</v>
      </c>
      <c r="H14" s="4" t="s">
        <v>11</v>
      </c>
      <c r="I14" s="9" t="s">
        <v>67</v>
      </c>
      <c r="J14" s="9" t="s">
        <v>67</v>
      </c>
      <c r="K14" s="9" t="s">
        <v>67</v>
      </c>
      <c r="L14" s="9" t="s">
        <v>67</v>
      </c>
      <c r="M14" s="9" t="s">
        <v>67</v>
      </c>
      <c r="N14" s="9" t="s">
        <v>67</v>
      </c>
      <c r="O14" s="8" t="s">
        <v>51</v>
      </c>
      <c r="P14" s="8" t="s">
        <v>55</v>
      </c>
      <c r="Q14" s="8" t="s">
        <v>191</v>
      </c>
      <c r="R14" s="8" t="s">
        <v>858</v>
      </c>
      <c r="S14" s="4" t="s">
        <v>1149</v>
      </c>
      <c r="T14" s="4">
        <v>4</v>
      </c>
      <c r="U14" s="96"/>
      <c r="V14" s="124">
        <f>'Estandarización parámetros SJB'!$C$62</f>
        <v>32</v>
      </c>
      <c r="W14" s="124">
        <f>'Estandarización parámetros SJB'!$C$113</f>
        <v>21</v>
      </c>
      <c r="X14" s="112">
        <f>T14*'Estandarización parámetros SJB'!$C$3</f>
        <v>0.07288888888888889</v>
      </c>
      <c r="Y14" s="8"/>
      <c r="Z14" s="6">
        <f>((50*4*4)/1000)</f>
        <v>0.8</v>
      </c>
      <c r="AA14" s="6">
        <f>((50*4*4)/1000)</f>
        <v>0.8</v>
      </c>
      <c r="AB14" s="8">
        <v>30</v>
      </c>
      <c r="AC14" s="8">
        <v>12</v>
      </c>
      <c r="AD14" s="13">
        <f t="shared" si="0"/>
        <v>288</v>
      </c>
      <c r="AE14" s="13">
        <f t="shared" si="1"/>
        <v>288</v>
      </c>
      <c r="AF14" s="4" t="s">
        <v>1055</v>
      </c>
      <c r="AG14" s="4">
        <v>4</v>
      </c>
      <c r="AH14" s="108"/>
      <c r="AI14" s="39">
        <f>'Estandarización parámetros SJB'!$F$62</f>
        <v>18</v>
      </c>
      <c r="AJ14" s="39">
        <f>'Estandarización parámetros SJB'!$F$113</f>
        <v>14</v>
      </c>
      <c r="AK14" s="112">
        <f>AG14*'Estandarización parámetros SJB'!$F$3</f>
        <v>0.065</v>
      </c>
      <c r="AL14" s="8"/>
      <c r="AM14" s="6">
        <f>((50*4*4)/1000)</f>
        <v>0.8</v>
      </c>
      <c r="AN14" s="6">
        <f>((50*4*4)/1000)</f>
        <v>0.8</v>
      </c>
      <c r="AO14" s="8">
        <v>30</v>
      </c>
      <c r="AP14" s="8">
        <v>12</v>
      </c>
      <c r="AQ14" s="13">
        <f t="shared" si="2"/>
        <v>288</v>
      </c>
      <c r="AR14" s="80">
        <f t="shared" si="3"/>
        <v>288</v>
      </c>
      <c r="AS14" s="139"/>
      <c r="AT14" s="139"/>
      <c r="AU14" s="139"/>
      <c r="AV14" s="137">
        <f t="shared" si="5"/>
        <v>25.400483481063656</v>
      </c>
      <c r="AW14" s="137">
        <f t="shared" si="6"/>
        <v>17.70024174053183</v>
      </c>
      <c r="AX14" s="136">
        <f t="shared" si="7"/>
        <v>0.06894444444444445</v>
      </c>
      <c r="AY14" s="79">
        <v>18</v>
      </c>
      <c r="AZ14" s="125">
        <f t="shared" si="8"/>
        <v>0.11347919999999997</v>
      </c>
      <c r="BA14" s="125">
        <f t="shared" si="9"/>
        <v>0.0790776</v>
      </c>
      <c r="BB14" s="79">
        <v>30</v>
      </c>
      <c r="BC14" s="79">
        <v>12</v>
      </c>
      <c r="BD14" s="125">
        <f t="shared" si="10"/>
        <v>40.85251199999999</v>
      </c>
      <c r="BE14" s="125">
        <f t="shared" si="11"/>
        <v>28.467936</v>
      </c>
      <c r="BF14" s="130">
        <v>90</v>
      </c>
      <c r="BG14" s="130">
        <v>90</v>
      </c>
      <c r="BH14" s="136">
        <f t="shared" si="28"/>
        <v>0.06894444444444445</v>
      </c>
      <c r="BI14" s="130">
        <v>18</v>
      </c>
      <c r="BJ14" s="125">
        <f t="shared" si="12"/>
        <v>0.402084</v>
      </c>
      <c r="BK14" s="125">
        <f t="shared" si="13"/>
        <v>0.402084</v>
      </c>
      <c r="BL14" s="130">
        <v>30</v>
      </c>
      <c r="BM14" s="130">
        <v>12</v>
      </c>
      <c r="BN14" s="142">
        <f t="shared" si="14"/>
        <v>144.75024</v>
      </c>
      <c r="BO14" s="142">
        <f t="shared" si="15"/>
        <v>144.75024</v>
      </c>
      <c r="BP14" s="180">
        <f t="shared" si="16"/>
        <v>92.80137599999999</v>
      </c>
      <c r="BQ14" s="180">
        <f t="shared" si="17"/>
        <v>86.609088</v>
      </c>
      <c r="BR14" s="197">
        <f t="shared" si="18"/>
        <v>150</v>
      </c>
      <c r="BS14" s="197">
        <f t="shared" si="19"/>
        <v>150</v>
      </c>
      <c r="BT14" s="197">
        <f t="shared" si="20"/>
        <v>100</v>
      </c>
      <c r="BU14" s="197">
        <f t="shared" si="21"/>
        <v>90</v>
      </c>
      <c r="BV14" s="197">
        <f t="shared" si="22"/>
        <v>100</v>
      </c>
      <c r="BW14" s="197">
        <f t="shared" si="23"/>
        <v>90</v>
      </c>
      <c r="BX14" s="197">
        <f t="shared" si="24"/>
        <v>100</v>
      </c>
      <c r="BY14" s="197">
        <f t="shared" si="25"/>
        <v>90</v>
      </c>
      <c r="BZ14" s="197">
        <f t="shared" si="26"/>
        <v>100</v>
      </c>
      <c r="CA14" s="197">
        <f t="shared" si="27"/>
        <v>90</v>
      </c>
      <c r="CC14" s="214"/>
    </row>
    <row r="15" spans="1:81" s="21" customFormat="1" ht="69.75" customHeight="1">
      <c r="A15" s="8">
        <v>48</v>
      </c>
      <c r="B15" s="4" t="s">
        <v>541</v>
      </c>
      <c r="C15" s="4" t="s">
        <v>19</v>
      </c>
      <c r="D15" s="4">
        <v>2</v>
      </c>
      <c r="E15" s="4" t="s">
        <v>80</v>
      </c>
      <c r="F15" s="8" t="s">
        <v>81</v>
      </c>
      <c r="G15" s="8" t="s">
        <v>513</v>
      </c>
      <c r="H15" s="8" t="s">
        <v>227</v>
      </c>
      <c r="I15" s="17" t="s">
        <v>1282</v>
      </c>
      <c r="J15" s="200">
        <v>44470</v>
      </c>
      <c r="K15" s="17" t="s">
        <v>10</v>
      </c>
      <c r="L15" s="17" t="s">
        <v>10</v>
      </c>
      <c r="M15" s="17" t="s">
        <v>74</v>
      </c>
      <c r="N15" s="17">
        <v>2026</v>
      </c>
      <c r="O15" s="8" t="s">
        <v>51</v>
      </c>
      <c r="P15" s="8" t="s">
        <v>55</v>
      </c>
      <c r="Q15" s="8" t="s">
        <v>736</v>
      </c>
      <c r="R15" s="8" t="s">
        <v>859</v>
      </c>
      <c r="S15" s="4" t="s">
        <v>1158</v>
      </c>
      <c r="T15" s="4">
        <v>6</v>
      </c>
      <c r="U15" s="96">
        <f>X15/T15</f>
        <v>0.07200000000000001</v>
      </c>
      <c r="V15" s="8">
        <v>25.8</v>
      </c>
      <c r="W15" s="8">
        <v>82.5</v>
      </c>
      <c r="X15" s="8">
        <f>(0.4+0.46+0.53+0.35+0.42)/5</f>
        <v>0.43200000000000005</v>
      </c>
      <c r="Y15" s="8">
        <v>18</v>
      </c>
      <c r="Z15" s="7">
        <f>X15*V15*Y15*0.0036</f>
        <v>0.7222348800000001</v>
      </c>
      <c r="AA15" s="7">
        <f>X15*W15*Y15*0.0036</f>
        <v>2.3094720000000004</v>
      </c>
      <c r="AB15" s="8">
        <v>30</v>
      </c>
      <c r="AC15" s="8">
        <v>12</v>
      </c>
      <c r="AD15" s="13">
        <f t="shared" si="0"/>
        <v>260.00455680000005</v>
      </c>
      <c r="AE15" s="13">
        <f t="shared" si="1"/>
        <v>831.4099200000002</v>
      </c>
      <c r="AF15" s="4" t="s">
        <v>1063</v>
      </c>
      <c r="AG15" s="4">
        <v>6</v>
      </c>
      <c r="AH15" s="96">
        <f>AK15/AG15</f>
        <v>0.07200000000000001</v>
      </c>
      <c r="AI15" s="8">
        <v>25.8</v>
      </c>
      <c r="AJ15" s="8">
        <v>82.5</v>
      </c>
      <c r="AK15" s="8">
        <f>(0.4+0.46+0.53+0.35+0.42)/5</f>
        <v>0.43200000000000005</v>
      </c>
      <c r="AL15" s="8">
        <v>18</v>
      </c>
      <c r="AM15" s="7">
        <f>AK15*AI15*AL15*0.0036</f>
        <v>0.7222348800000001</v>
      </c>
      <c r="AN15" s="7">
        <f>AK15*AJ15*AL15*0.0036</f>
        <v>2.3094720000000004</v>
      </c>
      <c r="AO15" s="8">
        <v>30</v>
      </c>
      <c r="AP15" s="8">
        <v>12</v>
      </c>
      <c r="AQ15" s="13">
        <f t="shared" si="2"/>
        <v>260.00455680000005</v>
      </c>
      <c r="AR15" s="80">
        <f t="shared" si="3"/>
        <v>831.4099200000002</v>
      </c>
      <c r="AS15" s="195" t="s">
        <v>1142</v>
      </c>
      <c r="AT15" s="195">
        <v>90</v>
      </c>
      <c r="AU15" s="195">
        <v>90</v>
      </c>
      <c r="AV15" s="130">
        <f t="shared" si="5"/>
        <v>25.8</v>
      </c>
      <c r="AW15" s="130">
        <f t="shared" si="6"/>
        <v>82.50000000000001</v>
      </c>
      <c r="AX15" s="136">
        <f t="shared" si="7"/>
        <v>0.43200000000000005</v>
      </c>
      <c r="AY15" s="79">
        <v>18</v>
      </c>
      <c r="AZ15" s="125">
        <f t="shared" si="8"/>
        <v>0.7222348800000001</v>
      </c>
      <c r="BA15" s="125">
        <f t="shared" si="9"/>
        <v>2.3094720000000004</v>
      </c>
      <c r="BB15" s="79">
        <v>30</v>
      </c>
      <c r="BC15" s="79">
        <v>12</v>
      </c>
      <c r="BD15" s="125">
        <f t="shared" si="10"/>
        <v>260.00455680000005</v>
      </c>
      <c r="BE15" s="125">
        <f t="shared" si="11"/>
        <v>831.4099200000002</v>
      </c>
      <c r="BF15" s="130">
        <v>90</v>
      </c>
      <c r="BG15" s="130">
        <v>90</v>
      </c>
      <c r="BH15" s="136">
        <f t="shared" si="28"/>
        <v>0.43200000000000005</v>
      </c>
      <c r="BI15" s="130">
        <v>18</v>
      </c>
      <c r="BJ15" s="125">
        <f t="shared" si="12"/>
        <v>2.519424</v>
      </c>
      <c r="BK15" s="125">
        <f t="shared" si="13"/>
        <v>2.519424</v>
      </c>
      <c r="BL15" s="130">
        <v>30</v>
      </c>
      <c r="BM15" s="130">
        <v>12</v>
      </c>
      <c r="BN15" s="142">
        <f t="shared" si="14"/>
        <v>906.9926399999999</v>
      </c>
      <c r="BO15" s="142">
        <f t="shared" si="15"/>
        <v>906.9926399999999</v>
      </c>
      <c r="BP15" s="180">
        <f t="shared" si="16"/>
        <v>583.4985984</v>
      </c>
      <c r="BQ15" s="180">
        <f t="shared" si="17"/>
        <v>869.20128</v>
      </c>
      <c r="BR15" s="197">
        <f t="shared" si="18"/>
        <v>910</v>
      </c>
      <c r="BS15" s="197">
        <f t="shared" si="19"/>
        <v>910</v>
      </c>
      <c r="BT15" s="197">
        <f t="shared" si="20"/>
        <v>590</v>
      </c>
      <c r="BU15" s="197">
        <f t="shared" si="21"/>
        <v>870</v>
      </c>
      <c r="BV15" s="197">
        <f t="shared" si="22"/>
        <v>590</v>
      </c>
      <c r="BW15" s="197">
        <f t="shared" si="23"/>
        <v>870</v>
      </c>
      <c r="BX15" s="197">
        <f t="shared" si="24"/>
        <v>590</v>
      </c>
      <c r="BY15" s="197">
        <f t="shared" si="25"/>
        <v>870</v>
      </c>
      <c r="BZ15" s="197">
        <f t="shared" si="26"/>
        <v>590</v>
      </c>
      <c r="CA15" s="197">
        <f t="shared" si="27"/>
        <v>870</v>
      </c>
      <c r="CC15" s="214"/>
    </row>
    <row r="16" spans="1:81" s="20" customFormat="1" ht="111" customHeight="1">
      <c r="A16" s="8">
        <v>49</v>
      </c>
      <c r="B16" s="4" t="s">
        <v>541</v>
      </c>
      <c r="C16" s="4" t="s">
        <v>19</v>
      </c>
      <c r="D16" s="4">
        <v>2</v>
      </c>
      <c r="E16" s="4" t="s">
        <v>83</v>
      </c>
      <c r="F16" s="8" t="s">
        <v>82</v>
      </c>
      <c r="G16" s="5" t="s">
        <v>36</v>
      </c>
      <c r="H16" s="8" t="s">
        <v>11</v>
      </c>
      <c r="I16" s="26" t="s">
        <v>67</v>
      </c>
      <c r="J16" s="26" t="s">
        <v>67</v>
      </c>
      <c r="K16" s="26" t="s">
        <v>67</v>
      </c>
      <c r="L16" s="26" t="s">
        <v>67</v>
      </c>
      <c r="M16" s="26" t="s">
        <v>67</v>
      </c>
      <c r="N16" s="26" t="s">
        <v>67</v>
      </c>
      <c r="O16" s="4" t="s">
        <v>51</v>
      </c>
      <c r="P16" s="5" t="s">
        <v>55</v>
      </c>
      <c r="Q16" s="8" t="s">
        <v>737</v>
      </c>
      <c r="R16" s="8" t="s">
        <v>860</v>
      </c>
      <c r="S16" s="4" t="s">
        <v>1149</v>
      </c>
      <c r="T16" s="11">
        <v>6</v>
      </c>
      <c r="U16" s="11"/>
      <c r="V16" s="124">
        <f>'Estandarización parámetros SJB'!$C$62</f>
        <v>32</v>
      </c>
      <c r="W16" s="124">
        <f>'Estandarización parámetros SJB'!$C$113</f>
        <v>21</v>
      </c>
      <c r="X16" s="112">
        <f>T16*'Estandarización parámetros SJB'!$C$3</f>
        <v>0.10933333333333334</v>
      </c>
      <c r="Y16" s="76"/>
      <c r="Z16" s="120">
        <v>1.2</v>
      </c>
      <c r="AA16" s="120">
        <v>1.2</v>
      </c>
      <c r="AB16" s="5">
        <v>30</v>
      </c>
      <c r="AC16" s="5">
        <v>12</v>
      </c>
      <c r="AD16" s="13">
        <f t="shared" si="0"/>
        <v>432</v>
      </c>
      <c r="AE16" s="13">
        <f t="shared" si="1"/>
        <v>432</v>
      </c>
      <c r="AF16" s="11" t="s">
        <v>1064</v>
      </c>
      <c r="AG16" s="11">
        <v>6</v>
      </c>
      <c r="AH16" s="96">
        <f>AK16/AG16</f>
        <v>0.007666666666666666</v>
      </c>
      <c r="AI16" s="76">
        <v>11</v>
      </c>
      <c r="AJ16" s="76">
        <v>5</v>
      </c>
      <c r="AK16" s="76">
        <v>0.046</v>
      </c>
      <c r="AL16" s="76">
        <v>18</v>
      </c>
      <c r="AM16" s="7">
        <f>AK16*AI16*AL16*0.0036</f>
        <v>0.0327888</v>
      </c>
      <c r="AN16" s="7">
        <f>AK16*AJ16*AL16*0.0036</f>
        <v>0.014903999999999999</v>
      </c>
      <c r="AO16" s="5">
        <v>30</v>
      </c>
      <c r="AP16" s="5">
        <v>12</v>
      </c>
      <c r="AQ16" s="13">
        <f t="shared" si="2"/>
        <v>11.803968</v>
      </c>
      <c r="AR16" s="80">
        <f t="shared" si="3"/>
        <v>5.3654399999999995</v>
      </c>
      <c r="AS16" s="140"/>
      <c r="AT16" s="140"/>
      <c r="AU16" s="140"/>
      <c r="AV16" s="137">
        <f t="shared" si="5"/>
        <v>25.78111587982833</v>
      </c>
      <c r="AW16" s="137">
        <f t="shared" si="6"/>
        <v>16.2618025751073</v>
      </c>
      <c r="AX16" s="136">
        <f t="shared" si="7"/>
        <v>0.07766666666666666</v>
      </c>
      <c r="AY16" s="79">
        <v>18</v>
      </c>
      <c r="AZ16" s="125">
        <f t="shared" si="8"/>
        <v>0.1297512</v>
      </c>
      <c r="BA16" s="125">
        <f t="shared" si="9"/>
        <v>0.08184240000000001</v>
      </c>
      <c r="BB16" s="79">
        <v>30</v>
      </c>
      <c r="BC16" s="79">
        <v>12</v>
      </c>
      <c r="BD16" s="125">
        <f t="shared" si="10"/>
        <v>46.710432000000004</v>
      </c>
      <c r="BE16" s="125">
        <f t="shared" si="11"/>
        <v>29.463264000000002</v>
      </c>
      <c r="BF16" s="130">
        <v>90</v>
      </c>
      <c r="BG16" s="130">
        <v>90</v>
      </c>
      <c r="BH16" s="136">
        <f t="shared" si="28"/>
        <v>0.07766666666666666</v>
      </c>
      <c r="BI16" s="130">
        <v>18</v>
      </c>
      <c r="BJ16" s="125">
        <f t="shared" si="12"/>
        <v>0.45295199999999997</v>
      </c>
      <c r="BK16" s="125">
        <f t="shared" si="13"/>
        <v>0.45295199999999997</v>
      </c>
      <c r="BL16" s="130">
        <v>30</v>
      </c>
      <c r="BM16" s="130">
        <v>12</v>
      </c>
      <c r="BN16" s="142">
        <f t="shared" si="14"/>
        <v>163.06271999999998</v>
      </c>
      <c r="BO16" s="142">
        <f t="shared" si="15"/>
        <v>163.06271999999998</v>
      </c>
      <c r="BP16" s="180">
        <f t="shared" si="16"/>
        <v>104.88657599999999</v>
      </c>
      <c r="BQ16" s="180">
        <f t="shared" si="17"/>
        <v>96.262992</v>
      </c>
      <c r="BR16" s="197">
        <f t="shared" si="18"/>
        <v>170</v>
      </c>
      <c r="BS16" s="197">
        <f t="shared" si="19"/>
        <v>170</v>
      </c>
      <c r="BT16" s="197">
        <f t="shared" si="20"/>
        <v>110</v>
      </c>
      <c r="BU16" s="197">
        <f t="shared" si="21"/>
        <v>100</v>
      </c>
      <c r="BV16" s="197">
        <f t="shared" si="22"/>
        <v>110</v>
      </c>
      <c r="BW16" s="197">
        <f t="shared" si="23"/>
        <v>100</v>
      </c>
      <c r="BX16" s="197">
        <f t="shared" si="24"/>
        <v>110</v>
      </c>
      <c r="BY16" s="197">
        <f t="shared" si="25"/>
        <v>100</v>
      </c>
      <c r="BZ16" s="197">
        <f t="shared" si="26"/>
        <v>110</v>
      </c>
      <c r="CA16" s="197">
        <f t="shared" si="27"/>
        <v>100</v>
      </c>
      <c r="CC16" s="214"/>
    </row>
    <row r="17" spans="1:81" s="20" customFormat="1" ht="105" customHeight="1">
      <c r="A17" s="8">
        <v>50</v>
      </c>
      <c r="B17" s="4" t="s">
        <v>541</v>
      </c>
      <c r="C17" s="4" t="s">
        <v>19</v>
      </c>
      <c r="D17" s="4">
        <v>2</v>
      </c>
      <c r="E17" s="11" t="s">
        <v>84</v>
      </c>
      <c r="F17" s="8" t="s">
        <v>85</v>
      </c>
      <c r="G17" s="5" t="s">
        <v>27</v>
      </c>
      <c r="H17" s="8" t="s">
        <v>11</v>
      </c>
      <c r="I17" s="26" t="s">
        <v>67</v>
      </c>
      <c r="J17" s="26" t="s">
        <v>67</v>
      </c>
      <c r="K17" s="26" t="s">
        <v>67</v>
      </c>
      <c r="L17" s="26" t="s">
        <v>67</v>
      </c>
      <c r="M17" s="26" t="s">
        <v>67</v>
      </c>
      <c r="N17" s="26" t="s">
        <v>67</v>
      </c>
      <c r="O17" s="5" t="s">
        <v>51</v>
      </c>
      <c r="P17" s="5" t="s">
        <v>55</v>
      </c>
      <c r="Q17" s="8" t="s">
        <v>738</v>
      </c>
      <c r="R17" s="8" t="s">
        <v>861</v>
      </c>
      <c r="S17" s="4" t="s">
        <v>1149</v>
      </c>
      <c r="T17" s="11">
        <v>4</v>
      </c>
      <c r="U17" s="11"/>
      <c r="V17" s="124">
        <f>'Estandarización parámetros SJB'!$C$62</f>
        <v>32</v>
      </c>
      <c r="W17" s="124">
        <f>'Estandarización parámetros SJB'!$C$113</f>
        <v>21</v>
      </c>
      <c r="X17" s="112">
        <f>T17*'Estandarización parámetros SJB'!$C$3</f>
        <v>0.07288888888888889</v>
      </c>
      <c r="Y17" s="36"/>
      <c r="Z17" s="6">
        <f>((50*4*4)/1000)</f>
        <v>0.8</v>
      </c>
      <c r="AA17" s="6">
        <f>((50*4*4)/1000)</f>
        <v>0.8</v>
      </c>
      <c r="AB17" s="5">
        <v>30</v>
      </c>
      <c r="AC17" s="5">
        <v>12</v>
      </c>
      <c r="AD17" s="13">
        <f t="shared" si="0"/>
        <v>288</v>
      </c>
      <c r="AE17" s="13">
        <f t="shared" si="1"/>
        <v>288</v>
      </c>
      <c r="AF17" s="11" t="s">
        <v>1065</v>
      </c>
      <c r="AG17" s="11">
        <v>4</v>
      </c>
      <c r="AH17" s="109"/>
      <c r="AI17" s="39">
        <f>'Estandarización parámetros SJB'!$F$62</f>
        <v>18</v>
      </c>
      <c r="AJ17" s="39">
        <f>'Estandarización parámetros SJB'!$F$113</f>
        <v>14</v>
      </c>
      <c r="AK17" s="112">
        <f>AG17*'Estandarización parámetros SJB'!$F$3</f>
        <v>0.065</v>
      </c>
      <c r="AL17" s="36"/>
      <c r="AM17" s="6">
        <f>((50*4*4)/1000)</f>
        <v>0.8</v>
      </c>
      <c r="AN17" s="6">
        <f>((50*4*4)/1000)</f>
        <v>0.8</v>
      </c>
      <c r="AO17" s="5">
        <v>30</v>
      </c>
      <c r="AP17" s="5">
        <v>12</v>
      </c>
      <c r="AQ17" s="13">
        <f t="shared" si="2"/>
        <v>288</v>
      </c>
      <c r="AR17" s="80">
        <f t="shared" si="3"/>
        <v>288</v>
      </c>
      <c r="AS17" s="140"/>
      <c r="AT17" s="140"/>
      <c r="AU17" s="140"/>
      <c r="AV17" s="137">
        <f t="shared" si="5"/>
        <v>25.400483481063656</v>
      </c>
      <c r="AW17" s="137">
        <f t="shared" si="6"/>
        <v>17.70024174053183</v>
      </c>
      <c r="AX17" s="136">
        <f t="shared" si="7"/>
        <v>0.06894444444444445</v>
      </c>
      <c r="AY17" s="79">
        <v>18</v>
      </c>
      <c r="AZ17" s="125">
        <f t="shared" si="8"/>
        <v>0.11347919999999997</v>
      </c>
      <c r="BA17" s="125">
        <f t="shared" si="9"/>
        <v>0.0790776</v>
      </c>
      <c r="BB17" s="79">
        <v>30</v>
      </c>
      <c r="BC17" s="79">
        <v>12</v>
      </c>
      <c r="BD17" s="125">
        <f t="shared" si="10"/>
        <v>40.85251199999999</v>
      </c>
      <c r="BE17" s="125">
        <f t="shared" si="11"/>
        <v>28.467936</v>
      </c>
      <c r="BF17" s="130">
        <v>90</v>
      </c>
      <c r="BG17" s="130">
        <v>90</v>
      </c>
      <c r="BH17" s="136">
        <f t="shared" si="28"/>
        <v>0.06894444444444445</v>
      </c>
      <c r="BI17" s="130">
        <v>18</v>
      </c>
      <c r="BJ17" s="125">
        <f t="shared" si="12"/>
        <v>0.402084</v>
      </c>
      <c r="BK17" s="125">
        <f t="shared" si="13"/>
        <v>0.402084</v>
      </c>
      <c r="BL17" s="130">
        <v>30</v>
      </c>
      <c r="BM17" s="130">
        <v>12</v>
      </c>
      <c r="BN17" s="142">
        <f t="shared" si="14"/>
        <v>144.75024</v>
      </c>
      <c r="BO17" s="142">
        <f t="shared" si="15"/>
        <v>144.75024</v>
      </c>
      <c r="BP17" s="180">
        <f t="shared" si="16"/>
        <v>92.80137599999999</v>
      </c>
      <c r="BQ17" s="180">
        <f t="shared" si="17"/>
        <v>86.609088</v>
      </c>
      <c r="BR17" s="197">
        <f t="shared" si="18"/>
        <v>150</v>
      </c>
      <c r="BS17" s="197">
        <f t="shared" si="19"/>
        <v>150</v>
      </c>
      <c r="BT17" s="197">
        <f t="shared" si="20"/>
        <v>100</v>
      </c>
      <c r="BU17" s="197">
        <f t="shared" si="21"/>
        <v>90</v>
      </c>
      <c r="BV17" s="197">
        <f t="shared" si="22"/>
        <v>100</v>
      </c>
      <c r="BW17" s="197">
        <f t="shared" si="23"/>
        <v>90</v>
      </c>
      <c r="BX17" s="197">
        <f t="shared" si="24"/>
        <v>100</v>
      </c>
      <c r="BY17" s="197">
        <f t="shared" si="25"/>
        <v>90</v>
      </c>
      <c r="BZ17" s="197">
        <f t="shared" si="26"/>
        <v>100</v>
      </c>
      <c r="CA17" s="197">
        <f t="shared" si="27"/>
        <v>90</v>
      </c>
      <c r="CC17" s="214"/>
    </row>
    <row r="18" spans="1:81" s="21" customFormat="1" ht="96" customHeight="1">
      <c r="A18" s="8">
        <v>51</v>
      </c>
      <c r="B18" s="4" t="s">
        <v>541</v>
      </c>
      <c r="C18" s="4" t="s">
        <v>19</v>
      </c>
      <c r="D18" s="4">
        <v>2</v>
      </c>
      <c r="E18" s="4" t="s">
        <v>37</v>
      </c>
      <c r="F18" s="8" t="s">
        <v>86</v>
      </c>
      <c r="G18" s="8" t="s">
        <v>514</v>
      </c>
      <c r="H18" s="5" t="s">
        <v>227</v>
      </c>
      <c r="I18" s="24" t="s">
        <v>488</v>
      </c>
      <c r="J18" s="28">
        <v>42977</v>
      </c>
      <c r="K18" s="28">
        <v>43386</v>
      </c>
      <c r="L18" s="28">
        <v>43401</v>
      </c>
      <c r="M18" s="26">
        <v>5</v>
      </c>
      <c r="N18" s="28">
        <v>45226</v>
      </c>
      <c r="O18" s="8" t="s">
        <v>51</v>
      </c>
      <c r="P18" s="8" t="s">
        <v>55</v>
      </c>
      <c r="Q18" s="8" t="s">
        <v>739</v>
      </c>
      <c r="R18" s="8" t="s">
        <v>862</v>
      </c>
      <c r="S18" s="4" t="s">
        <v>1159</v>
      </c>
      <c r="T18" s="4">
        <v>4</v>
      </c>
      <c r="U18" s="96">
        <f>X18/T18</f>
        <v>0.1075</v>
      </c>
      <c r="V18" s="8">
        <v>21.8</v>
      </c>
      <c r="W18" s="8">
        <v>44</v>
      </c>
      <c r="X18" s="7">
        <v>0.43</v>
      </c>
      <c r="Y18" s="8">
        <v>18</v>
      </c>
      <c r="Z18" s="7">
        <f>X18*V18*Y18*0.0036</f>
        <v>0.6074352</v>
      </c>
      <c r="AA18" s="7">
        <f>X18*W18*Y18*0.0036</f>
        <v>1.2260159999999998</v>
      </c>
      <c r="AB18" s="8">
        <v>30</v>
      </c>
      <c r="AC18" s="8">
        <v>12</v>
      </c>
      <c r="AD18" s="13">
        <f t="shared" si="0"/>
        <v>218.676672</v>
      </c>
      <c r="AE18" s="13">
        <f t="shared" si="1"/>
        <v>441.3657599999999</v>
      </c>
      <c r="AF18" s="4" t="s">
        <v>1066</v>
      </c>
      <c r="AG18" s="4">
        <v>4</v>
      </c>
      <c r="AH18" s="96">
        <f>AK18/AG18</f>
        <v>0.1075</v>
      </c>
      <c r="AI18" s="8">
        <v>21.8</v>
      </c>
      <c r="AJ18" s="8">
        <v>44</v>
      </c>
      <c r="AK18" s="7">
        <v>0.43</v>
      </c>
      <c r="AL18" s="8">
        <v>18</v>
      </c>
      <c r="AM18" s="7">
        <f>AK18*AI18*AL18*0.0036</f>
        <v>0.6074352</v>
      </c>
      <c r="AN18" s="7">
        <f>AK18*AJ18*AL18*0.0036</f>
        <v>1.2260159999999998</v>
      </c>
      <c r="AO18" s="8">
        <v>30</v>
      </c>
      <c r="AP18" s="8">
        <v>12</v>
      </c>
      <c r="AQ18" s="13">
        <f t="shared" si="2"/>
        <v>218.676672</v>
      </c>
      <c r="AR18" s="80">
        <f t="shared" si="3"/>
        <v>441.3657599999999</v>
      </c>
      <c r="AS18" s="141" t="s">
        <v>1142</v>
      </c>
      <c r="AT18" s="141">
        <v>90</v>
      </c>
      <c r="AU18" s="141">
        <v>90</v>
      </c>
      <c r="AV18" s="130">
        <f t="shared" si="5"/>
        <v>21.8</v>
      </c>
      <c r="AW18" s="130">
        <f t="shared" si="6"/>
        <v>43.99999999999999</v>
      </c>
      <c r="AX18" s="136">
        <f t="shared" si="7"/>
        <v>0.43</v>
      </c>
      <c r="AY18" s="79">
        <v>18</v>
      </c>
      <c r="AZ18" s="125">
        <f t="shared" si="8"/>
        <v>0.6074352</v>
      </c>
      <c r="BA18" s="125">
        <f t="shared" si="9"/>
        <v>1.2260159999999998</v>
      </c>
      <c r="BB18" s="79">
        <v>30</v>
      </c>
      <c r="BC18" s="79">
        <v>12</v>
      </c>
      <c r="BD18" s="125">
        <f t="shared" si="10"/>
        <v>218.676672</v>
      </c>
      <c r="BE18" s="125">
        <f t="shared" si="11"/>
        <v>441.3657599999999</v>
      </c>
      <c r="BF18" s="130">
        <v>90</v>
      </c>
      <c r="BG18" s="130">
        <v>90</v>
      </c>
      <c r="BH18" s="136">
        <f t="shared" si="28"/>
        <v>0.43</v>
      </c>
      <c r="BI18" s="130">
        <v>18</v>
      </c>
      <c r="BJ18" s="125">
        <f t="shared" si="12"/>
        <v>2.50776</v>
      </c>
      <c r="BK18" s="125">
        <f t="shared" si="13"/>
        <v>2.50776</v>
      </c>
      <c r="BL18" s="130">
        <v>30</v>
      </c>
      <c r="BM18" s="130">
        <v>12</v>
      </c>
      <c r="BN18" s="142">
        <f t="shared" si="14"/>
        <v>902.7936000000002</v>
      </c>
      <c r="BO18" s="142">
        <f t="shared" si="15"/>
        <v>902.7936000000002</v>
      </c>
      <c r="BP18" s="180">
        <f t="shared" si="16"/>
        <v>560.7351360000001</v>
      </c>
      <c r="BQ18" s="180">
        <f t="shared" si="17"/>
        <v>672.07968</v>
      </c>
      <c r="BR18" s="197">
        <f t="shared" si="18"/>
        <v>910</v>
      </c>
      <c r="BS18" s="197">
        <f t="shared" si="19"/>
        <v>910</v>
      </c>
      <c r="BT18" s="197">
        <f t="shared" si="20"/>
        <v>570</v>
      </c>
      <c r="BU18" s="197">
        <f t="shared" si="21"/>
        <v>680</v>
      </c>
      <c r="BV18" s="197">
        <f t="shared" si="22"/>
        <v>570</v>
      </c>
      <c r="BW18" s="197">
        <f t="shared" si="23"/>
        <v>680</v>
      </c>
      <c r="BX18" s="197">
        <f t="shared" si="24"/>
        <v>570</v>
      </c>
      <c r="BY18" s="197">
        <f t="shared" si="25"/>
        <v>680</v>
      </c>
      <c r="BZ18" s="197">
        <f t="shared" si="26"/>
        <v>570</v>
      </c>
      <c r="CA18" s="197">
        <f t="shared" si="27"/>
        <v>680</v>
      </c>
      <c r="CC18" s="214"/>
    </row>
    <row r="19" spans="1:81" s="20" customFormat="1" ht="109.5" customHeight="1">
      <c r="A19" s="8">
        <v>52</v>
      </c>
      <c r="B19" s="4" t="s">
        <v>538</v>
      </c>
      <c r="C19" s="4" t="s">
        <v>19</v>
      </c>
      <c r="D19" s="4">
        <v>2</v>
      </c>
      <c r="E19" s="4" t="s">
        <v>38</v>
      </c>
      <c r="F19" s="8" t="s">
        <v>87</v>
      </c>
      <c r="G19" s="5" t="s">
        <v>28</v>
      </c>
      <c r="H19" s="5" t="s">
        <v>227</v>
      </c>
      <c r="I19" s="24" t="s">
        <v>510</v>
      </c>
      <c r="J19" s="43">
        <v>43815</v>
      </c>
      <c r="K19" s="57">
        <v>43833</v>
      </c>
      <c r="L19" s="57">
        <v>43851</v>
      </c>
      <c r="M19" s="26">
        <v>5</v>
      </c>
      <c r="N19" s="28">
        <v>45677</v>
      </c>
      <c r="O19" s="5" t="s">
        <v>51</v>
      </c>
      <c r="P19" s="5" t="s">
        <v>55</v>
      </c>
      <c r="Q19" s="8" t="s">
        <v>740</v>
      </c>
      <c r="R19" s="8" t="s">
        <v>863</v>
      </c>
      <c r="S19" s="4" t="s">
        <v>1160</v>
      </c>
      <c r="T19" s="4">
        <v>4</v>
      </c>
      <c r="U19" s="96">
        <f>X19/T19</f>
        <v>0.07450000000000001</v>
      </c>
      <c r="V19" s="4">
        <v>32</v>
      </c>
      <c r="W19" s="4">
        <v>35</v>
      </c>
      <c r="X19" s="4">
        <v>0.29800000000000004</v>
      </c>
      <c r="Y19" s="5">
        <v>18</v>
      </c>
      <c r="Z19" s="34">
        <f>X19*V19*Y19*0.0036</f>
        <v>0.6179328000000001</v>
      </c>
      <c r="AA19" s="34">
        <f>X19*W19*Y19*0.0036</f>
        <v>0.6758640000000001</v>
      </c>
      <c r="AB19" s="5">
        <v>30</v>
      </c>
      <c r="AC19" s="5">
        <v>12</v>
      </c>
      <c r="AD19" s="13">
        <f t="shared" si="0"/>
        <v>222.45580800000002</v>
      </c>
      <c r="AE19" s="13">
        <f t="shared" si="1"/>
        <v>243.31104000000005</v>
      </c>
      <c r="AF19" s="4" t="s">
        <v>1067</v>
      </c>
      <c r="AG19" s="4">
        <v>4</v>
      </c>
      <c r="AH19" s="96">
        <f>AK19/AG19</f>
        <v>0.00325</v>
      </c>
      <c r="AI19" s="5">
        <v>15</v>
      </c>
      <c r="AJ19" s="5">
        <v>5</v>
      </c>
      <c r="AK19" s="5">
        <v>0.013</v>
      </c>
      <c r="AL19" s="5">
        <v>18</v>
      </c>
      <c r="AM19" s="34">
        <f>AK19*AI19*AL19*0.0036</f>
        <v>0.012636</v>
      </c>
      <c r="AN19" s="34">
        <f>AK19*AJ19*AL19*0.0036</f>
        <v>0.004212</v>
      </c>
      <c r="AO19" s="5">
        <v>30</v>
      </c>
      <c r="AP19" s="5">
        <v>12</v>
      </c>
      <c r="AQ19" s="13">
        <f t="shared" si="2"/>
        <v>4.548959999999999</v>
      </c>
      <c r="AR19" s="80">
        <f t="shared" si="3"/>
        <v>1.51632</v>
      </c>
      <c r="AS19" s="140"/>
      <c r="AT19" s="140"/>
      <c r="AU19" s="140"/>
      <c r="AV19" s="137">
        <f t="shared" si="5"/>
        <v>31.289389067524116</v>
      </c>
      <c r="AW19" s="137">
        <f t="shared" si="6"/>
        <v>33.745980707395496</v>
      </c>
      <c r="AX19" s="136">
        <f t="shared" si="7"/>
        <v>0.15550000000000003</v>
      </c>
      <c r="AY19" s="79">
        <v>18</v>
      </c>
      <c r="AZ19" s="125">
        <f t="shared" si="8"/>
        <v>0.3152844</v>
      </c>
      <c r="BA19" s="125">
        <f t="shared" si="9"/>
        <v>0.34003800000000006</v>
      </c>
      <c r="BB19" s="79">
        <v>30</v>
      </c>
      <c r="BC19" s="79">
        <v>12</v>
      </c>
      <c r="BD19" s="125">
        <f t="shared" si="10"/>
        <v>113.502384</v>
      </c>
      <c r="BE19" s="125">
        <f t="shared" si="11"/>
        <v>122.41368000000003</v>
      </c>
      <c r="BF19" s="130">
        <v>90</v>
      </c>
      <c r="BG19" s="130">
        <v>90</v>
      </c>
      <c r="BH19" s="136">
        <f t="shared" si="28"/>
        <v>0.15550000000000003</v>
      </c>
      <c r="BI19" s="130">
        <v>18</v>
      </c>
      <c r="BJ19" s="125">
        <f t="shared" si="12"/>
        <v>0.9068760000000001</v>
      </c>
      <c r="BK19" s="125">
        <f t="shared" si="13"/>
        <v>0.9068760000000001</v>
      </c>
      <c r="BL19" s="130">
        <v>30</v>
      </c>
      <c r="BM19" s="130">
        <v>12</v>
      </c>
      <c r="BN19" s="142">
        <f t="shared" si="14"/>
        <v>326.47536</v>
      </c>
      <c r="BO19" s="142">
        <f>BK19*BL19*BM19</f>
        <v>326.47536</v>
      </c>
      <c r="BP19" s="180">
        <f t="shared" si="16"/>
        <v>219.98887200000001</v>
      </c>
      <c r="BQ19" s="180">
        <f t="shared" si="17"/>
        <v>224.44452</v>
      </c>
      <c r="BR19" s="197">
        <f t="shared" si="18"/>
        <v>330</v>
      </c>
      <c r="BS19" s="197">
        <f t="shared" si="19"/>
        <v>330</v>
      </c>
      <c r="BT19" s="197">
        <f t="shared" si="20"/>
        <v>220</v>
      </c>
      <c r="BU19" s="197">
        <f t="shared" si="21"/>
        <v>230</v>
      </c>
      <c r="BV19" s="197">
        <f t="shared" si="22"/>
        <v>220</v>
      </c>
      <c r="BW19" s="197">
        <f t="shared" si="23"/>
        <v>230</v>
      </c>
      <c r="BX19" s="197">
        <f t="shared" si="24"/>
        <v>220</v>
      </c>
      <c r="BY19" s="197">
        <f t="shared" si="25"/>
        <v>230</v>
      </c>
      <c r="BZ19" s="197">
        <f t="shared" si="26"/>
        <v>220</v>
      </c>
      <c r="CA19" s="197">
        <f t="shared" si="27"/>
        <v>230</v>
      </c>
      <c r="CC19" s="214"/>
    </row>
    <row r="20" spans="1:81" s="21" customFormat="1" ht="127.5" customHeight="1">
      <c r="A20" s="8">
        <v>53</v>
      </c>
      <c r="B20" s="4" t="s">
        <v>541</v>
      </c>
      <c r="C20" s="4" t="s">
        <v>19</v>
      </c>
      <c r="D20" s="4">
        <v>2</v>
      </c>
      <c r="E20" s="4" t="s">
        <v>675</v>
      </c>
      <c r="F20" s="8" t="s">
        <v>206</v>
      </c>
      <c r="G20" s="8" t="s">
        <v>29</v>
      </c>
      <c r="H20" s="8" t="s">
        <v>486</v>
      </c>
      <c r="I20" s="24" t="s">
        <v>515</v>
      </c>
      <c r="J20" s="28">
        <v>42950</v>
      </c>
      <c r="K20" s="28">
        <v>42963</v>
      </c>
      <c r="L20" s="26" t="s">
        <v>10</v>
      </c>
      <c r="M20" s="26" t="s">
        <v>74</v>
      </c>
      <c r="N20" s="26">
        <v>2022</v>
      </c>
      <c r="O20" s="8" t="s">
        <v>51</v>
      </c>
      <c r="P20" s="8" t="s">
        <v>55</v>
      </c>
      <c r="Q20" s="8" t="s">
        <v>741</v>
      </c>
      <c r="R20" s="8" t="s">
        <v>864</v>
      </c>
      <c r="S20" s="4" t="s">
        <v>1161</v>
      </c>
      <c r="T20" s="4">
        <v>4</v>
      </c>
      <c r="U20" s="4"/>
      <c r="V20" s="124">
        <f>'Estandarización parámetros SJB'!$C$62</f>
        <v>32</v>
      </c>
      <c r="W20" s="124">
        <f>'Estandarización parámetros SJB'!$C$113</f>
        <v>21</v>
      </c>
      <c r="X20" s="112">
        <f>T20*'Estandarización parámetros SJB'!$C$3</f>
        <v>0.07288888888888889</v>
      </c>
      <c r="Y20" s="39"/>
      <c r="Z20" s="7">
        <f>(50*4*4)/1000</f>
        <v>0.8</v>
      </c>
      <c r="AA20" s="7">
        <f>(50*4*4)/1000</f>
        <v>0.8</v>
      </c>
      <c r="AB20" s="8">
        <v>30</v>
      </c>
      <c r="AC20" s="8">
        <v>12</v>
      </c>
      <c r="AD20" s="13">
        <f t="shared" si="0"/>
        <v>288</v>
      </c>
      <c r="AE20" s="13">
        <f t="shared" si="1"/>
        <v>288</v>
      </c>
      <c r="AF20" s="4" t="s">
        <v>1068</v>
      </c>
      <c r="AG20" s="4">
        <v>4</v>
      </c>
      <c r="AH20" s="4"/>
      <c r="AI20" s="39">
        <f>'Estandarización parámetros SJB'!$F$62</f>
        <v>18</v>
      </c>
      <c r="AJ20" s="39">
        <f>'Estandarización parámetros SJB'!$F$113</f>
        <v>14</v>
      </c>
      <c r="AK20" s="112">
        <f>AG20*'Estandarización parámetros SJB'!$F$3</f>
        <v>0.065</v>
      </c>
      <c r="AL20" s="39"/>
      <c r="AM20" s="7">
        <f>(50*4*4)/1000</f>
        <v>0.8</v>
      </c>
      <c r="AN20" s="7">
        <f>(50*4*4)/1000</f>
        <v>0.8</v>
      </c>
      <c r="AO20" s="8">
        <v>30</v>
      </c>
      <c r="AP20" s="8">
        <v>12</v>
      </c>
      <c r="AQ20" s="13">
        <f t="shared" si="2"/>
        <v>288</v>
      </c>
      <c r="AR20" s="80">
        <f t="shared" si="3"/>
        <v>288</v>
      </c>
      <c r="AS20" s="133" t="s">
        <v>1183</v>
      </c>
      <c r="AT20" s="133" t="s">
        <v>1180</v>
      </c>
      <c r="AU20" s="134">
        <v>100</v>
      </c>
      <c r="AV20" s="137">
        <f t="shared" si="5"/>
        <v>25.400483481063656</v>
      </c>
      <c r="AW20" s="137">
        <f t="shared" si="6"/>
        <v>17.70024174053183</v>
      </c>
      <c r="AX20" s="136">
        <f t="shared" si="7"/>
        <v>0.06894444444444445</v>
      </c>
      <c r="AY20" s="79">
        <v>18</v>
      </c>
      <c r="AZ20" s="125">
        <f t="shared" si="8"/>
        <v>0.11347919999999997</v>
      </c>
      <c r="BA20" s="125">
        <f t="shared" si="9"/>
        <v>0.0790776</v>
      </c>
      <c r="BB20" s="79">
        <v>30</v>
      </c>
      <c r="BC20" s="79">
        <v>12</v>
      </c>
      <c r="BD20" s="125">
        <f t="shared" si="10"/>
        <v>40.85251199999999</v>
      </c>
      <c r="BE20" s="125">
        <f t="shared" si="11"/>
        <v>28.467936</v>
      </c>
      <c r="BF20" s="128">
        <v>90</v>
      </c>
      <c r="BG20" s="128">
        <v>100</v>
      </c>
      <c r="BH20" s="136">
        <f t="shared" si="28"/>
        <v>0.06894444444444445</v>
      </c>
      <c r="BI20" s="130">
        <v>18</v>
      </c>
      <c r="BJ20" s="125">
        <f t="shared" si="12"/>
        <v>0.402084</v>
      </c>
      <c r="BK20" s="125">
        <f t="shared" si="13"/>
        <v>0.44676000000000005</v>
      </c>
      <c r="BL20" s="130">
        <v>30</v>
      </c>
      <c r="BM20" s="130">
        <v>12</v>
      </c>
      <c r="BN20" s="142">
        <f t="shared" si="14"/>
        <v>144.75024</v>
      </c>
      <c r="BO20" s="142">
        <f t="shared" si="15"/>
        <v>160.83360000000002</v>
      </c>
      <c r="BP20" s="180">
        <f t="shared" si="16"/>
        <v>92.80137599999999</v>
      </c>
      <c r="BQ20" s="180">
        <f t="shared" si="17"/>
        <v>94.65076800000001</v>
      </c>
      <c r="BR20" s="197">
        <f t="shared" si="18"/>
        <v>150</v>
      </c>
      <c r="BS20" s="197">
        <f t="shared" si="19"/>
        <v>170</v>
      </c>
      <c r="BT20" s="197">
        <f t="shared" si="20"/>
        <v>100</v>
      </c>
      <c r="BU20" s="197">
        <f t="shared" si="21"/>
        <v>100</v>
      </c>
      <c r="BV20" s="197">
        <f t="shared" si="22"/>
        <v>100</v>
      </c>
      <c r="BW20" s="197">
        <f t="shared" si="23"/>
        <v>100</v>
      </c>
      <c r="BX20" s="197">
        <f t="shared" si="24"/>
        <v>100</v>
      </c>
      <c r="BY20" s="197">
        <f t="shared" si="25"/>
        <v>100</v>
      </c>
      <c r="BZ20" s="197">
        <f t="shared" si="26"/>
        <v>100</v>
      </c>
      <c r="CA20" s="197">
        <f t="shared" si="27"/>
        <v>100</v>
      </c>
      <c r="CC20" s="214"/>
    </row>
    <row r="21" spans="1:81" s="20" customFormat="1" ht="97.5" customHeight="1">
      <c r="A21" s="8">
        <v>54</v>
      </c>
      <c r="B21" s="4" t="s">
        <v>541</v>
      </c>
      <c r="C21" s="4" t="s">
        <v>19</v>
      </c>
      <c r="D21" s="4">
        <v>2</v>
      </c>
      <c r="E21" s="11" t="s">
        <v>23</v>
      </c>
      <c r="F21" s="8" t="s">
        <v>88</v>
      </c>
      <c r="G21" s="5" t="s">
        <v>30</v>
      </c>
      <c r="H21" s="8" t="s">
        <v>11</v>
      </c>
      <c r="I21" s="26" t="s">
        <v>67</v>
      </c>
      <c r="J21" s="26" t="s">
        <v>67</v>
      </c>
      <c r="K21" s="26" t="s">
        <v>67</v>
      </c>
      <c r="L21" s="26" t="s">
        <v>67</v>
      </c>
      <c r="M21" s="26" t="s">
        <v>67</v>
      </c>
      <c r="N21" s="26" t="s">
        <v>67</v>
      </c>
      <c r="O21" s="5" t="s">
        <v>51</v>
      </c>
      <c r="P21" s="5" t="s">
        <v>55</v>
      </c>
      <c r="Q21" s="5" t="s">
        <v>742</v>
      </c>
      <c r="R21" s="5" t="s">
        <v>865</v>
      </c>
      <c r="S21" s="4" t="s">
        <v>1149</v>
      </c>
      <c r="T21" s="11">
        <v>4</v>
      </c>
      <c r="U21" s="11"/>
      <c r="V21" s="124">
        <f>'Estandarización parámetros SJB'!$C$62</f>
        <v>32</v>
      </c>
      <c r="W21" s="124">
        <f>'Estandarización parámetros SJB'!$C$113</f>
        <v>21</v>
      </c>
      <c r="X21" s="112">
        <f>T21*'Estandarización parámetros SJB'!$C$3</f>
        <v>0.07288888888888889</v>
      </c>
      <c r="Y21" s="36"/>
      <c r="Z21" s="6">
        <f>((50*4*4)/1000)</f>
        <v>0.8</v>
      </c>
      <c r="AA21" s="6">
        <f>((50*4*4)/1000)</f>
        <v>0.8</v>
      </c>
      <c r="AB21" s="5">
        <v>30</v>
      </c>
      <c r="AC21" s="5">
        <v>12</v>
      </c>
      <c r="AD21" s="13">
        <f t="shared" si="0"/>
        <v>288</v>
      </c>
      <c r="AE21" s="13">
        <f t="shared" si="1"/>
        <v>288</v>
      </c>
      <c r="AF21" s="11" t="s">
        <v>1055</v>
      </c>
      <c r="AG21" s="11">
        <v>4</v>
      </c>
      <c r="AH21" s="11"/>
      <c r="AI21" s="39">
        <f>'Estandarización parámetros SJB'!$F$62</f>
        <v>18</v>
      </c>
      <c r="AJ21" s="39">
        <f>'Estandarización parámetros SJB'!$F$113</f>
        <v>14</v>
      </c>
      <c r="AK21" s="112">
        <f>AG21*'Estandarización parámetros SJB'!$F$3</f>
        <v>0.065</v>
      </c>
      <c r="AL21" s="36"/>
      <c r="AM21" s="6">
        <f>((50*4*4)/1000)</f>
        <v>0.8</v>
      </c>
      <c r="AN21" s="6">
        <f>((50*4*4)/1000)</f>
        <v>0.8</v>
      </c>
      <c r="AO21" s="5">
        <v>30</v>
      </c>
      <c r="AP21" s="5">
        <v>12</v>
      </c>
      <c r="AQ21" s="13">
        <f t="shared" si="2"/>
        <v>288</v>
      </c>
      <c r="AR21" s="80">
        <f t="shared" si="3"/>
        <v>288</v>
      </c>
      <c r="AS21" s="140"/>
      <c r="AT21" s="140"/>
      <c r="AU21" s="140"/>
      <c r="AV21" s="137">
        <f t="shared" si="5"/>
        <v>25.400483481063656</v>
      </c>
      <c r="AW21" s="137">
        <f t="shared" si="6"/>
        <v>17.70024174053183</v>
      </c>
      <c r="AX21" s="136">
        <f t="shared" si="7"/>
        <v>0.06894444444444445</v>
      </c>
      <c r="AY21" s="79">
        <v>18</v>
      </c>
      <c r="AZ21" s="125">
        <f t="shared" si="8"/>
        <v>0.11347919999999997</v>
      </c>
      <c r="BA21" s="125">
        <f t="shared" si="9"/>
        <v>0.0790776</v>
      </c>
      <c r="BB21" s="79">
        <v>30</v>
      </c>
      <c r="BC21" s="79">
        <v>12</v>
      </c>
      <c r="BD21" s="125">
        <f t="shared" si="10"/>
        <v>40.85251199999999</v>
      </c>
      <c r="BE21" s="125">
        <f t="shared" si="11"/>
        <v>28.467936</v>
      </c>
      <c r="BF21" s="130">
        <v>90</v>
      </c>
      <c r="BG21" s="130">
        <v>90</v>
      </c>
      <c r="BH21" s="136">
        <f t="shared" si="28"/>
        <v>0.06894444444444445</v>
      </c>
      <c r="BI21" s="130">
        <v>18</v>
      </c>
      <c r="BJ21" s="125">
        <f t="shared" si="12"/>
        <v>0.402084</v>
      </c>
      <c r="BK21" s="125">
        <f t="shared" si="13"/>
        <v>0.402084</v>
      </c>
      <c r="BL21" s="130">
        <v>30</v>
      </c>
      <c r="BM21" s="130">
        <v>12</v>
      </c>
      <c r="BN21" s="142">
        <f t="shared" si="14"/>
        <v>144.75024</v>
      </c>
      <c r="BO21" s="142">
        <f t="shared" si="15"/>
        <v>144.75024</v>
      </c>
      <c r="BP21" s="180">
        <f t="shared" si="16"/>
        <v>92.80137599999999</v>
      </c>
      <c r="BQ21" s="180">
        <f t="shared" si="17"/>
        <v>86.609088</v>
      </c>
      <c r="BR21" s="197">
        <f t="shared" si="18"/>
        <v>150</v>
      </c>
      <c r="BS21" s="197">
        <f t="shared" si="19"/>
        <v>150</v>
      </c>
      <c r="BT21" s="197">
        <f t="shared" si="20"/>
        <v>100</v>
      </c>
      <c r="BU21" s="197">
        <f t="shared" si="21"/>
        <v>90</v>
      </c>
      <c r="BV21" s="197">
        <f t="shared" si="22"/>
        <v>100</v>
      </c>
      <c r="BW21" s="197">
        <f t="shared" si="23"/>
        <v>90</v>
      </c>
      <c r="BX21" s="197">
        <f t="shared" si="24"/>
        <v>100</v>
      </c>
      <c r="BY21" s="197">
        <f t="shared" si="25"/>
        <v>90</v>
      </c>
      <c r="BZ21" s="197">
        <f t="shared" si="26"/>
        <v>100</v>
      </c>
      <c r="CA21" s="197">
        <f t="shared" si="27"/>
        <v>90</v>
      </c>
      <c r="CC21" s="214"/>
    </row>
    <row r="22" spans="1:81" s="20" customFormat="1" ht="93" customHeight="1">
      <c r="A22" s="8">
        <v>55</v>
      </c>
      <c r="B22" s="4" t="s">
        <v>541</v>
      </c>
      <c r="C22" s="4" t="s">
        <v>19</v>
      </c>
      <c r="D22" s="4">
        <v>2</v>
      </c>
      <c r="E22" s="11" t="s">
        <v>24</v>
      </c>
      <c r="F22" s="8" t="s">
        <v>89</v>
      </c>
      <c r="G22" s="5" t="s">
        <v>31</v>
      </c>
      <c r="H22" s="8" t="s">
        <v>11</v>
      </c>
      <c r="I22" s="26" t="s">
        <v>67</v>
      </c>
      <c r="J22" s="26" t="s">
        <v>67</v>
      </c>
      <c r="K22" s="26" t="s">
        <v>67</v>
      </c>
      <c r="L22" s="26" t="s">
        <v>67</v>
      </c>
      <c r="M22" s="26" t="s">
        <v>67</v>
      </c>
      <c r="N22" s="26" t="s">
        <v>67</v>
      </c>
      <c r="O22" s="5" t="s">
        <v>51</v>
      </c>
      <c r="P22" s="5" t="s">
        <v>55</v>
      </c>
      <c r="Q22" s="5" t="s">
        <v>743</v>
      </c>
      <c r="R22" s="5" t="s">
        <v>866</v>
      </c>
      <c r="S22" s="4" t="s">
        <v>1162</v>
      </c>
      <c r="T22" s="11">
        <v>4</v>
      </c>
      <c r="U22" s="11"/>
      <c r="V22" s="124">
        <f>'Estandarización parámetros SJB'!$C$62</f>
        <v>32</v>
      </c>
      <c r="W22" s="124">
        <f>'Estandarización parámetros SJB'!$C$113</f>
        <v>21</v>
      </c>
      <c r="X22" s="112">
        <f>T22*'Estandarización parámetros SJB'!$C$3</f>
        <v>0.07288888888888889</v>
      </c>
      <c r="Y22" s="5"/>
      <c r="Z22" s="6">
        <f>((50*4*4)/1000)</f>
        <v>0.8</v>
      </c>
      <c r="AA22" s="6">
        <f>((50*4*4)/1000)</f>
        <v>0.8</v>
      </c>
      <c r="AB22" s="5">
        <v>30</v>
      </c>
      <c r="AC22" s="5">
        <v>12</v>
      </c>
      <c r="AD22" s="13">
        <f t="shared" si="0"/>
        <v>288</v>
      </c>
      <c r="AE22" s="13">
        <f t="shared" si="1"/>
        <v>288</v>
      </c>
      <c r="AF22" s="11" t="s">
        <v>1069</v>
      </c>
      <c r="AG22" s="11">
        <v>4</v>
      </c>
      <c r="AH22" s="11"/>
      <c r="AI22" s="39">
        <f>'Estandarización parámetros SJB'!$F$62</f>
        <v>18</v>
      </c>
      <c r="AJ22" s="39">
        <f>'Estandarización parámetros SJB'!$F$113</f>
        <v>14</v>
      </c>
      <c r="AK22" s="112">
        <f>AG22*'Estandarización parámetros SJB'!$F$3</f>
        <v>0.065</v>
      </c>
      <c r="AL22" s="5"/>
      <c r="AM22" s="6">
        <f>((50*4*4)/1000)</f>
        <v>0.8</v>
      </c>
      <c r="AN22" s="6">
        <f>((50*4*4)/1000)</f>
        <v>0.8</v>
      </c>
      <c r="AO22" s="5">
        <v>30</v>
      </c>
      <c r="AP22" s="5">
        <v>12</v>
      </c>
      <c r="AQ22" s="13">
        <f t="shared" si="2"/>
        <v>288</v>
      </c>
      <c r="AR22" s="80">
        <f t="shared" si="3"/>
        <v>288</v>
      </c>
      <c r="AS22" s="140"/>
      <c r="AT22" s="140"/>
      <c r="AU22" s="140"/>
      <c r="AV22" s="137">
        <f t="shared" si="5"/>
        <v>25.400483481063656</v>
      </c>
      <c r="AW22" s="137">
        <f t="shared" si="6"/>
        <v>17.70024174053183</v>
      </c>
      <c r="AX22" s="136">
        <f t="shared" si="7"/>
        <v>0.06894444444444445</v>
      </c>
      <c r="AY22" s="79">
        <v>18</v>
      </c>
      <c r="AZ22" s="125">
        <f t="shared" si="8"/>
        <v>0.11347919999999997</v>
      </c>
      <c r="BA22" s="125">
        <f t="shared" si="9"/>
        <v>0.0790776</v>
      </c>
      <c r="BB22" s="79">
        <v>30</v>
      </c>
      <c r="BC22" s="79">
        <v>12</v>
      </c>
      <c r="BD22" s="125">
        <f t="shared" si="10"/>
        <v>40.85251199999999</v>
      </c>
      <c r="BE22" s="125">
        <f t="shared" si="11"/>
        <v>28.467936</v>
      </c>
      <c r="BF22" s="130">
        <v>90</v>
      </c>
      <c r="BG22" s="130">
        <v>90</v>
      </c>
      <c r="BH22" s="136">
        <f t="shared" si="28"/>
        <v>0.06894444444444445</v>
      </c>
      <c r="BI22" s="130">
        <v>18</v>
      </c>
      <c r="BJ22" s="125">
        <f t="shared" si="12"/>
        <v>0.402084</v>
      </c>
      <c r="BK22" s="125">
        <f t="shared" si="13"/>
        <v>0.402084</v>
      </c>
      <c r="BL22" s="130">
        <v>30</v>
      </c>
      <c r="BM22" s="130">
        <v>12</v>
      </c>
      <c r="BN22" s="142">
        <f t="shared" si="14"/>
        <v>144.75024</v>
      </c>
      <c r="BO22" s="142">
        <f t="shared" si="15"/>
        <v>144.75024</v>
      </c>
      <c r="BP22" s="180">
        <f t="shared" si="16"/>
        <v>92.80137599999999</v>
      </c>
      <c r="BQ22" s="180">
        <f t="shared" si="17"/>
        <v>86.609088</v>
      </c>
      <c r="BR22" s="197">
        <f t="shared" si="18"/>
        <v>150</v>
      </c>
      <c r="BS22" s="197">
        <f t="shared" si="19"/>
        <v>150</v>
      </c>
      <c r="BT22" s="197">
        <f t="shared" si="20"/>
        <v>100</v>
      </c>
      <c r="BU22" s="197">
        <f t="shared" si="21"/>
        <v>90</v>
      </c>
      <c r="BV22" s="197">
        <f t="shared" si="22"/>
        <v>100</v>
      </c>
      <c r="BW22" s="197">
        <f t="shared" si="23"/>
        <v>90</v>
      </c>
      <c r="BX22" s="197">
        <f t="shared" si="24"/>
        <v>100</v>
      </c>
      <c r="BY22" s="197">
        <f t="shared" si="25"/>
        <v>90</v>
      </c>
      <c r="BZ22" s="197">
        <f t="shared" si="26"/>
        <v>100</v>
      </c>
      <c r="CA22" s="197">
        <f t="shared" si="27"/>
        <v>90</v>
      </c>
      <c r="CC22" s="214"/>
    </row>
    <row r="23" spans="1:81" s="20" customFormat="1" ht="75" customHeight="1">
      <c r="A23" s="244">
        <v>56</v>
      </c>
      <c r="B23" s="246" t="s">
        <v>50</v>
      </c>
      <c r="C23" s="246" t="s">
        <v>19</v>
      </c>
      <c r="D23" s="246">
        <v>2</v>
      </c>
      <c r="E23" s="246" t="s">
        <v>516</v>
      </c>
      <c r="F23" s="262" t="s">
        <v>90</v>
      </c>
      <c r="G23" s="262" t="s">
        <v>39</v>
      </c>
      <c r="H23" s="262" t="s">
        <v>486</v>
      </c>
      <c r="I23" s="258" t="s">
        <v>532</v>
      </c>
      <c r="J23" s="263">
        <v>41723</v>
      </c>
      <c r="K23" s="263">
        <v>41725</v>
      </c>
      <c r="L23" s="263">
        <v>41740</v>
      </c>
      <c r="M23" s="262" t="s">
        <v>17</v>
      </c>
      <c r="N23" s="263">
        <v>45392</v>
      </c>
      <c r="O23" s="262" t="s">
        <v>51</v>
      </c>
      <c r="P23" s="262" t="s">
        <v>55</v>
      </c>
      <c r="Q23" s="5" t="s">
        <v>91</v>
      </c>
      <c r="R23" s="5" t="s">
        <v>867</v>
      </c>
      <c r="S23" s="4" t="s">
        <v>1163</v>
      </c>
      <c r="T23" s="11">
        <v>2</v>
      </c>
      <c r="U23" s="96">
        <f>X23/T23</f>
        <v>0.021555555555555553</v>
      </c>
      <c r="V23" s="4">
        <v>54</v>
      </c>
      <c r="W23" s="4">
        <v>18</v>
      </c>
      <c r="X23" s="58">
        <v>0.04311111111111111</v>
      </c>
      <c r="Y23" s="11">
        <v>18</v>
      </c>
      <c r="Z23" s="34">
        <f>X23*V23*Y23*0.0036</f>
        <v>0.15085439999999997</v>
      </c>
      <c r="AA23" s="34">
        <f>X23*W23*Y23*0.0036</f>
        <v>0.05028479999999999</v>
      </c>
      <c r="AB23" s="11">
        <v>30</v>
      </c>
      <c r="AC23" s="11">
        <v>12</v>
      </c>
      <c r="AD23" s="29">
        <f t="shared" si="0"/>
        <v>54.30758399999999</v>
      </c>
      <c r="AE23" s="29">
        <f t="shared" si="1"/>
        <v>18.102527999999996</v>
      </c>
      <c r="AF23" s="11" t="s">
        <v>1070</v>
      </c>
      <c r="AG23" s="11">
        <v>2</v>
      </c>
      <c r="AH23" s="11">
        <f>AK23/AG23</f>
        <v>0.0035</v>
      </c>
      <c r="AI23" s="11">
        <v>89</v>
      </c>
      <c r="AJ23" s="11">
        <v>56</v>
      </c>
      <c r="AK23" s="40">
        <v>0.007</v>
      </c>
      <c r="AL23" s="11">
        <v>18</v>
      </c>
      <c r="AM23" s="34">
        <f>AK23*AI23*AL23*0.0036</f>
        <v>0.0403704</v>
      </c>
      <c r="AN23" s="34">
        <f>AK23*AJ23*AL23*0.0036</f>
        <v>0.0254016</v>
      </c>
      <c r="AO23" s="11">
        <v>30</v>
      </c>
      <c r="AP23" s="11">
        <v>12</v>
      </c>
      <c r="AQ23" s="29">
        <f t="shared" si="2"/>
        <v>14.533344</v>
      </c>
      <c r="AR23" s="81">
        <f t="shared" si="3"/>
        <v>9.144575999999999</v>
      </c>
      <c r="AS23" s="133" t="s">
        <v>1181</v>
      </c>
      <c r="AT23" s="133" t="s">
        <v>1182</v>
      </c>
      <c r="AU23" s="133" t="s">
        <v>1182</v>
      </c>
      <c r="AV23" s="137">
        <f t="shared" si="5"/>
        <v>58.889135254988915</v>
      </c>
      <c r="AW23" s="137">
        <f t="shared" si="6"/>
        <v>23.30820399113082</v>
      </c>
      <c r="AX23" s="136">
        <f t="shared" si="7"/>
        <v>0.025055555555555553</v>
      </c>
      <c r="AY23" s="79">
        <v>18</v>
      </c>
      <c r="AZ23" s="125">
        <f t="shared" si="8"/>
        <v>0.09561239999999999</v>
      </c>
      <c r="BA23" s="125">
        <f t="shared" si="9"/>
        <v>0.037843199999999994</v>
      </c>
      <c r="BB23" s="79">
        <v>30</v>
      </c>
      <c r="BC23" s="79">
        <v>12</v>
      </c>
      <c r="BD23" s="125">
        <f t="shared" si="10"/>
        <v>34.420463999999996</v>
      </c>
      <c r="BE23" s="125">
        <f t="shared" si="11"/>
        <v>13.623551999999998</v>
      </c>
      <c r="BF23" s="130">
        <v>90</v>
      </c>
      <c r="BG23" s="130">
        <v>90</v>
      </c>
      <c r="BH23" s="136">
        <f t="shared" si="28"/>
        <v>0.025055555555555553</v>
      </c>
      <c r="BI23" s="130">
        <v>18</v>
      </c>
      <c r="BJ23" s="125">
        <f t="shared" si="12"/>
        <v>0.14612399999999998</v>
      </c>
      <c r="BK23" s="125">
        <f t="shared" si="13"/>
        <v>0.14612399999999998</v>
      </c>
      <c r="BL23" s="130">
        <v>30</v>
      </c>
      <c r="BM23" s="130">
        <v>12</v>
      </c>
      <c r="BN23" s="142">
        <f t="shared" si="14"/>
        <v>52.60463999999999</v>
      </c>
      <c r="BO23" s="142">
        <f t="shared" si="15"/>
        <v>52.60463999999999</v>
      </c>
      <c r="BP23" s="180">
        <f t="shared" si="16"/>
        <v>43.51255199999999</v>
      </c>
      <c r="BQ23" s="180">
        <f t="shared" si="17"/>
        <v>33.114095999999996</v>
      </c>
      <c r="BR23" s="197">
        <f t="shared" si="18"/>
        <v>60</v>
      </c>
      <c r="BS23" s="197">
        <f t="shared" si="19"/>
        <v>60</v>
      </c>
      <c r="BT23" s="197">
        <f t="shared" si="20"/>
        <v>50</v>
      </c>
      <c r="BU23" s="197">
        <f t="shared" si="21"/>
        <v>40</v>
      </c>
      <c r="BV23" s="197">
        <f t="shared" si="22"/>
        <v>50</v>
      </c>
      <c r="BW23" s="197">
        <f t="shared" si="23"/>
        <v>40</v>
      </c>
      <c r="BX23" s="197">
        <f t="shared" si="24"/>
        <v>50</v>
      </c>
      <c r="BY23" s="197">
        <f t="shared" si="25"/>
        <v>40</v>
      </c>
      <c r="BZ23" s="197">
        <f t="shared" si="26"/>
        <v>50</v>
      </c>
      <c r="CA23" s="197">
        <f t="shared" si="27"/>
        <v>40</v>
      </c>
      <c r="CC23" s="214"/>
    </row>
    <row r="24" spans="1:81" s="20" customFormat="1" ht="69" customHeight="1">
      <c r="A24" s="244"/>
      <c r="B24" s="246"/>
      <c r="C24" s="246"/>
      <c r="D24" s="246"/>
      <c r="E24" s="246"/>
      <c r="F24" s="262"/>
      <c r="G24" s="262"/>
      <c r="H24" s="262"/>
      <c r="I24" s="262"/>
      <c r="J24" s="263"/>
      <c r="K24" s="263"/>
      <c r="L24" s="263"/>
      <c r="M24" s="262"/>
      <c r="N24" s="263"/>
      <c r="O24" s="262"/>
      <c r="P24" s="262"/>
      <c r="Q24" s="5" t="s">
        <v>92</v>
      </c>
      <c r="R24" s="5" t="s">
        <v>868</v>
      </c>
      <c r="S24" s="11" t="s">
        <v>1164</v>
      </c>
      <c r="T24" s="11">
        <v>2</v>
      </c>
      <c r="U24" s="96">
        <f>X24/T24</f>
        <v>0.018222222222222223</v>
      </c>
      <c r="V24" s="11">
        <v>50</v>
      </c>
      <c r="W24" s="11">
        <v>10</v>
      </c>
      <c r="X24" s="69">
        <v>0.036444444444444446</v>
      </c>
      <c r="Y24" s="11">
        <v>18</v>
      </c>
      <c r="Z24" s="34">
        <f>X24*V24*Y24*0.0036</f>
        <v>0.11808000000000002</v>
      </c>
      <c r="AA24" s="34">
        <f>X24*W24*Y24*0.0036</f>
        <v>0.023616</v>
      </c>
      <c r="AB24" s="11">
        <v>30</v>
      </c>
      <c r="AC24" s="11">
        <v>12</v>
      </c>
      <c r="AD24" s="29">
        <f t="shared" si="0"/>
        <v>42.50880000000001</v>
      </c>
      <c r="AE24" s="29">
        <f t="shared" si="1"/>
        <v>8.50176</v>
      </c>
      <c r="AF24" s="11" t="s">
        <v>1071</v>
      </c>
      <c r="AG24" s="11">
        <v>2</v>
      </c>
      <c r="AH24" s="11">
        <f>AK24/AG24</f>
        <v>0.008</v>
      </c>
      <c r="AI24" s="11">
        <v>59</v>
      </c>
      <c r="AJ24" s="11">
        <v>15</v>
      </c>
      <c r="AK24" s="40">
        <v>0.016</v>
      </c>
      <c r="AL24" s="11">
        <v>18</v>
      </c>
      <c r="AM24" s="34">
        <f>AK24*AI24*AL24*0.0036</f>
        <v>0.0611712</v>
      </c>
      <c r="AN24" s="34">
        <f>AK24*AJ24*AL24*0.0036</f>
        <v>0.015552</v>
      </c>
      <c r="AO24" s="11">
        <v>30</v>
      </c>
      <c r="AP24" s="11">
        <v>12</v>
      </c>
      <c r="AQ24" s="29">
        <f t="shared" si="2"/>
        <v>22.021632</v>
      </c>
      <c r="AR24" s="81">
        <f t="shared" si="3"/>
        <v>5.59872</v>
      </c>
      <c r="AS24" s="133" t="s">
        <v>1181</v>
      </c>
      <c r="AT24" s="133" t="s">
        <v>1182</v>
      </c>
      <c r="AU24" s="133" t="s">
        <v>1182</v>
      </c>
      <c r="AV24" s="137">
        <f t="shared" si="5"/>
        <v>52.74576271186441</v>
      </c>
      <c r="AW24" s="137">
        <f t="shared" si="6"/>
        <v>11.525423728813559</v>
      </c>
      <c r="AX24" s="136">
        <f t="shared" si="7"/>
        <v>0.026222222222222223</v>
      </c>
      <c r="AY24" s="79">
        <v>18</v>
      </c>
      <c r="AZ24" s="125">
        <f t="shared" si="8"/>
        <v>0.0896256</v>
      </c>
      <c r="BA24" s="125">
        <f t="shared" si="9"/>
        <v>0.019584</v>
      </c>
      <c r="BB24" s="79">
        <v>30</v>
      </c>
      <c r="BC24" s="79">
        <v>12</v>
      </c>
      <c r="BD24" s="125">
        <f t="shared" si="10"/>
        <v>32.265216</v>
      </c>
      <c r="BE24" s="125">
        <f t="shared" si="11"/>
        <v>7.0502400000000005</v>
      </c>
      <c r="BF24" s="130">
        <v>90</v>
      </c>
      <c r="BG24" s="130">
        <v>90</v>
      </c>
      <c r="BH24" s="136">
        <f t="shared" si="28"/>
        <v>0.026222222222222223</v>
      </c>
      <c r="BI24" s="130">
        <v>18</v>
      </c>
      <c r="BJ24" s="125">
        <f t="shared" si="12"/>
        <v>0.15292799999999998</v>
      </c>
      <c r="BK24" s="125">
        <f t="shared" si="13"/>
        <v>0.15292799999999998</v>
      </c>
      <c r="BL24" s="130">
        <v>30</v>
      </c>
      <c r="BM24" s="130">
        <v>12</v>
      </c>
      <c r="BN24" s="142">
        <f t="shared" si="14"/>
        <v>55.054079999999985</v>
      </c>
      <c r="BO24" s="142">
        <f t="shared" si="15"/>
        <v>55.054079999999985</v>
      </c>
      <c r="BP24" s="180">
        <f t="shared" si="16"/>
        <v>43.65964799999999</v>
      </c>
      <c r="BQ24" s="180">
        <f t="shared" si="17"/>
        <v>31.052159999999994</v>
      </c>
      <c r="BR24" s="197">
        <f t="shared" si="18"/>
        <v>60</v>
      </c>
      <c r="BS24" s="197">
        <f t="shared" si="19"/>
        <v>60</v>
      </c>
      <c r="BT24" s="197">
        <f t="shared" si="20"/>
        <v>50</v>
      </c>
      <c r="BU24" s="197">
        <f t="shared" si="21"/>
        <v>40</v>
      </c>
      <c r="BV24" s="197">
        <f t="shared" si="22"/>
        <v>50</v>
      </c>
      <c r="BW24" s="197">
        <f t="shared" si="23"/>
        <v>40</v>
      </c>
      <c r="BX24" s="197">
        <f t="shared" si="24"/>
        <v>50</v>
      </c>
      <c r="BY24" s="197">
        <f t="shared" si="25"/>
        <v>40</v>
      </c>
      <c r="BZ24" s="197">
        <f t="shared" si="26"/>
        <v>50</v>
      </c>
      <c r="CA24" s="197">
        <f t="shared" si="27"/>
        <v>40</v>
      </c>
      <c r="CC24" s="214"/>
    </row>
    <row r="25" spans="1:81" s="20" customFormat="1" ht="112.5" customHeight="1">
      <c r="A25" s="8">
        <v>57</v>
      </c>
      <c r="B25" s="4" t="s">
        <v>50</v>
      </c>
      <c r="C25" s="4" t="s">
        <v>19</v>
      </c>
      <c r="D25" s="4">
        <v>2</v>
      </c>
      <c r="E25" s="4" t="s">
        <v>425</v>
      </c>
      <c r="F25" s="5" t="s">
        <v>93</v>
      </c>
      <c r="G25" s="11" t="s">
        <v>456</v>
      </c>
      <c r="H25" s="11" t="s">
        <v>486</v>
      </c>
      <c r="I25" s="24" t="s">
        <v>533</v>
      </c>
      <c r="J25" s="28">
        <v>43340</v>
      </c>
      <c r="K25" s="26" t="s">
        <v>10</v>
      </c>
      <c r="L25" s="26" t="s">
        <v>10</v>
      </c>
      <c r="M25" s="26" t="s">
        <v>74</v>
      </c>
      <c r="N25" s="26">
        <v>2023</v>
      </c>
      <c r="O25" s="5" t="s">
        <v>51</v>
      </c>
      <c r="P25" s="5" t="s">
        <v>55</v>
      </c>
      <c r="Q25" s="5" t="s">
        <v>744</v>
      </c>
      <c r="R25" s="5" t="s">
        <v>869</v>
      </c>
      <c r="S25" s="4" t="s">
        <v>1165</v>
      </c>
      <c r="T25" s="11">
        <v>8</v>
      </c>
      <c r="U25" s="11"/>
      <c r="V25" s="124">
        <f>'Estandarización parámetros SJB'!$C$62</f>
        <v>32</v>
      </c>
      <c r="W25" s="124">
        <f>'Estandarización parámetros SJB'!$C$113</f>
        <v>21</v>
      </c>
      <c r="X25" s="112">
        <f>T25*'Estandarización parámetros SJB'!$C$3</f>
        <v>0.14577777777777778</v>
      </c>
      <c r="Y25" s="5"/>
      <c r="Z25" s="34">
        <f>50*4*8/1000</f>
        <v>1.6</v>
      </c>
      <c r="AA25" s="34">
        <f>50*4*8/1000</f>
        <v>1.6</v>
      </c>
      <c r="AB25" s="5">
        <v>30</v>
      </c>
      <c r="AC25" s="5">
        <v>12</v>
      </c>
      <c r="AD25" s="13">
        <f t="shared" si="0"/>
        <v>576</v>
      </c>
      <c r="AE25" s="13">
        <f t="shared" si="1"/>
        <v>576</v>
      </c>
      <c r="AF25" s="11" t="s">
        <v>1055</v>
      </c>
      <c r="AG25" s="11">
        <v>8</v>
      </c>
      <c r="AH25" s="11"/>
      <c r="AI25" s="39">
        <f>'Estandarización parámetros SJB'!$F$62</f>
        <v>18</v>
      </c>
      <c r="AJ25" s="39">
        <f>'Estandarización parámetros SJB'!$F$113</f>
        <v>14</v>
      </c>
      <c r="AK25" s="34">
        <f>AG25*'Estandarización parámetros SJB'!F3</f>
        <v>0.13</v>
      </c>
      <c r="AL25" s="5"/>
      <c r="AM25" s="34">
        <f>50*4*8/1000</f>
        <v>1.6</v>
      </c>
      <c r="AN25" s="34">
        <f>50*4*8/1000</f>
        <v>1.6</v>
      </c>
      <c r="AO25" s="5">
        <v>30</v>
      </c>
      <c r="AP25" s="5">
        <v>12</v>
      </c>
      <c r="AQ25" s="13">
        <f t="shared" si="2"/>
        <v>576</v>
      </c>
      <c r="AR25" s="80">
        <f t="shared" si="3"/>
        <v>576</v>
      </c>
      <c r="AS25" s="133" t="s">
        <v>1183</v>
      </c>
      <c r="AT25" s="133" t="s">
        <v>1180</v>
      </c>
      <c r="AU25" s="134">
        <v>100</v>
      </c>
      <c r="AV25" s="137">
        <f t="shared" si="5"/>
        <v>25.400483481063656</v>
      </c>
      <c r="AW25" s="137">
        <f t="shared" si="6"/>
        <v>17.70024174053183</v>
      </c>
      <c r="AX25" s="136">
        <f t="shared" si="7"/>
        <v>0.1378888888888889</v>
      </c>
      <c r="AY25" s="79">
        <v>18</v>
      </c>
      <c r="AZ25" s="125">
        <f t="shared" si="8"/>
        <v>0.22695839999999995</v>
      </c>
      <c r="BA25" s="125">
        <f t="shared" si="9"/>
        <v>0.1581552</v>
      </c>
      <c r="BB25" s="79">
        <v>30</v>
      </c>
      <c r="BC25" s="79">
        <v>12</v>
      </c>
      <c r="BD25" s="125">
        <f t="shared" si="10"/>
        <v>81.70502399999998</v>
      </c>
      <c r="BE25" s="125">
        <f t="shared" si="11"/>
        <v>56.935872</v>
      </c>
      <c r="BF25" s="130">
        <v>90</v>
      </c>
      <c r="BG25" s="130">
        <v>100</v>
      </c>
      <c r="BH25" s="136">
        <f t="shared" si="28"/>
        <v>0.1378888888888889</v>
      </c>
      <c r="BI25" s="130">
        <v>18</v>
      </c>
      <c r="BJ25" s="125">
        <f t="shared" si="12"/>
        <v>0.804168</v>
      </c>
      <c r="BK25" s="125">
        <f t="shared" si="13"/>
        <v>0.8935200000000001</v>
      </c>
      <c r="BL25" s="130">
        <v>30</v>
      </c>
      <c r="BM25" s="130">
        <v>12</v>
      </c>
      <c r="BN25" s="142">
        <f t="shared" si="14"/>
        <v>289.50048</v>
      </c>
      <c r="BO25" s="142">
        <f t="shared" si="15"/>
        <v>321.66720000000004</v>
      </c>
      <c r="BP25" s="180">
        <f t="shared" si="16"/>
        <v>185.60275199999998</v>
      </c>
      <c r="BQ25" s="180">
        <f t="shared" si="17"/>
        <v>189.30153600000003</v>
      </c>
      <c r="BR25" s="197">
        <f t="shared" si="18"/>
        <v>290</v>
      </c>
      <c r="BS25" s="197">
        <f t="shared" si="19"/>
        <v>330</v>
      </c>
      <c r="BT25" s="197">
        <f t="shared" si="20"/>
        <v>190</v>
      </c>
      <c r="BU25" s="197">
        <f t="shared" si="21"/>
        <v>190</v>
      </c>
      <c r="BV25" s="197">
        <f t="shared" si="22"/>
        <v>190</v>
      </c>
      <c r="BW25" s="197">
        <f t="shared" si="23"/>
        <v>190</v>
      </c>
      <c r="BX25" s="197">
        <f t="shared" si="24"/>
        <v>190</v>
      </c>
      <c r="BY25" s="197">
        <f t="shared" si="25"/>
        <v>190</v>
      </c>
      <c r="BZ25" s="197">
        <f t="shared" si="26"/>
        <v>190</v>
      </c>
      <c r="CA25" s="197">
        <f t="shared" si="27"/>
        <v>190</v>
      </c>
      <c r="CC25" s="214"/>
    </row>
    <row r="26" spans="1:81" s="20" customFormat="1" ht="38.25" customHeight="1">
      <c r="A26" s="246">
        <v>58</v>
      </c>
      <c r="B26" s="246" t="s">
        <v>50</v>
      </c>
      <c r="C26" s="246" t="s">
        <v>19</v>
      </c>
      <c r="D26" s="246">
        <v>2</v>
      </c>
      <c r="E26" s="246" t="s">
        <v>58</v>
      </c>
      <c r="F26" s="246" t="s">
        <v>94</v>
      </c>
      <c r="G26" s="246" t="s">
        <v>424</v>
      </c>
      <c r="H26" s="246" t="s">
        <v>11</v>
      </c>
      <c r="I26" s="246" t="s">
        <v>67</v>
      </c>
      <c r="J26" s="246" t="s">
        <v>67</v>
      </c>
      <c r="K26" s="246" t="s">
        <v>67</v>
      </c>
      <c r="L26" s="246" t="s">
        <v>67</v>
      </c>
      <c r="M26" s="246" t="s">
        <v>67</v>
      </c>
      <c r="N26" s="246" t="s">
        <v>67</v>
      </c>
      <c r="O26" s="246" t="s">
        <v>51</v>
      </c>
      <c r="P26" s="246" t="s">
        <v>55</v>
      </c>
      <c r="Q26" s="11" t="s">
        <v>95</v>
      </c>
      <c r="R26" s="11" t="s">
        <v>870</v>
      </c>
      <c r="S26" s="268" t="s">
        <v>1166</v>
      </c>
      <c r="T26" s="4">
        <v>4</v>
      </c>
      <c r="U26" s="4"/>
      <c r="V26" s="124">
        <f>'Estandarización parámetros SJB'!$C$62</f>
        <v>32</v>
      </c>
      <c r="W26" s="124">
        <f>'Estandarización parámetros SJB'!$C$113</f>
        <v>21</v>
      </c>
      <c r="X26" s="112">
        <f>T26*'Estandarización parámetros SJB'!$C$3</f>
        <v>0.07288888888888889</v>
      </c>
      <c r="Y26" s="5">
        <v>18</v>
      </c>
      <c r="Z26" s="7">
        <v>0.8</v>
      </c>
      <c r="AA26" s="7">
        <v>0.8</v>
      </c>
      <c r="AB26" s="5">
        <v>30</v>
      </c>
      <c r="AC26" s="5">
        <v>12</v>
      </c>
      <c r="AD26" s="13">
        <f t="shared" si="0"/>
        <v>288</v>
      </c>
      <c r="AE26" s="13">
        <f t="shared" si="1"/>
        <v>288</v>
      </c>
      <c r="AF26" s="246" t="s">
        <v>1072</v>
      </c>
      <c r="AG26" s="4">
        <v>1</v>
      </c>
      <c r="AH26" s="4">
        <f>AK26/AG26</f>
        <v>0.087</v>
      </c>
      <c r="AI26" s="5">
        <v>2</v>
      </c>
      <c r="AJ26" s="5">
        <v>5</v>
      </c>
      <c r="AK26" s="5">
        <v>0.087</v>
      </c>
      <c r="AL26" s="5">
        <v>18</v>
      </c>
      <c r="AM26" s="7">
        <f>AK26*AI26*AL26*0.0036</f>
        <v>0.011275199999999999</v>
      </c>
      <c r="AN26" s="7">
        <f>AK26*AJ26*AL26*0.0036</f>
        <v>0.028187999999999998</v>
      </c>
      <c r="AO26" s="5">
        <v>30</v>
      </c>
      <c r="AP26" s="5">
        <v>12</v>
      </c>
      <c r="AQ26" s="13">
        <f t="shared" si="2"/>
        <v>4.0590720000000005</v>
      </c>
      <c r="AR26" s="80">
        <f t="shared" si="3"/>
        <v>10.14768</v>
      </c>
      <c r="AS26" s="140"/>
      <c r="AT26" s="140"/>
      <c r="AU26" s="140"/>
      <c r="AV26" s="137">
        <f t="shared" si="5"/>
        <v>15.676164002779709</v>
      </c>
      <c r="AW26" s="137">
        <f t="shared" si="6"/>
        <v>12.293954134815847</v>
      </c>
      <c r="AX26" s="136">
        <f t="shared" si="7"/>
        <v>0.07994444444444444</v>
      </c>
      <c r="AY26" s="79">
        <v>18</v>
      </c>
      <c r="AZ26" s="125">
        <f t="shared" si="8"/>
        <v>0.0812088</v>
      </c>
      <c r="BA26" s="125">
        <f t="shared" si="9"/>
        <v>0.06368760000000001</v>
      </c>
      <c r="BB26" s="79">
        <v>30</v>
      </c>
      <c r="BC26" s="79">
        <v>12</v>
      </c>
      <c r="BD26" s="125">
        <f t="shared" si="10"/>
        <v>29.235168</v>
      </c>
      <c r="BE26" s="125">
        <f t="shared" si="11"/>
        <v>22.927536000000003</v>
      </c>
      <c r="BF26" s="130">
        <v>90</v>
      </c>
      <c r="BG26" s="130">
        <v>90</v>
      </c>
      <c r="BH26" s="136">
        <f t="shared" si="28"/>
        <v>0.07994444444444444</v>
      </c>
      <c r="BI26" s="130">
        <v>18</v>
      </c>
      <c r="BJ26" s="125">
        <f t="shared" si="12"/>
        <v>0.46623599999999993</v>
      </c>
      <c r="BK26" s="125">
        <f t="shared" si="13"/>
        <v>0.46623599999999993</v>
      </c>
      <c r="BL26" s="130">
        <v>30</v>
      </c>
      <c r="BM26" s="130">
        <v>12</v>
      </c>
      <c r="BN26" s="142">
        <f t="shared" si="14"/>
        <v>167.84495999999996</v>
      </c>
      <c r="BO26" s="142">
        <f t="shared" si="15"/>
        <v>167.84495999999996</v>
      </c>
      <c r="BP26" s="180">
        <f t="shared" si="16"/>
        <v>98.54006399999997</v>
      </c>
      <c r="BQ26" s="180">
        <f t="shared" si="17"/>
        <v>95.38624799999998</v>
      </c>
      <c r="BR26" s="197">
        <f t="shared" si="18"/>
        <v>170</v>
      </c>
      <c r="BS26" s="197">
        <f t="shared" si="19"/>
        <v>170</v>
      </c>
      <c r="BT26" s="197">
        <f t="shared" si="20"/>
        <v>100</v>
      </c>
      <c r="BU26" s="197">
        <f t="shared" si="21"/>
        <v>100</v>
      </c>
      <c r="BV26" s="197">
        <f t="shared" si="22"/>
        <v>100</v>
      </c>
      <c r="BW26" s="197">
        <f t="shared" si="23"/>
        <v>100</v>
      </c>
      <c r="BX26" s="197">
        <f t="shared" si="24"/>
        <v>100</v>
      </c>
      <c r="BY26" s="197">
        <f t="shared" si="25"/>
        <v>100</v>
      </c>
      <c r="BZ26" s="197">
        <f t="shared" si="26"/>
        <v>100</v>
      </c>
      <c r="CA26" s="197">
        <f t="shared" si="27"/>
        <v>100</v>
      </c>
      <c r="CC26" s="214"/>
    </row>
    <row r="27" spans="1:81" s="20" customFormat="1" ht="26.25" customHeight="1">
      <c r="A27" s="246"/>
      <c r="B27" s="246"/>
      <c r="C27" s="246"/>
      <c r="D27" s="246"/>
      <c r="E27" s="246"/>
      <c r="F27" s="246"/>
      <c r="G27" s="246"/>
      <c r="H27" s="246"/>
      <c r="I27" s="246"/>
      <c r="J27" s="246"/>
      <c r="K27" s="246"/>
      <c r="L27" s="246"/>
      <c r="M27" s="246"/>
      <c r="N27" s="246"/>
      <c r="O27" s="246"/>
      <c r="P27" s="246"/>
      <c r="Q27" s="11"/>
      <c r="R27" s="11"/>
      <c r="S27" s="269"/>
      <c r="T27" s="4"/>
      <c r="U27" s="4"/>
      <c r="V27" s="5"/>
      <c r="W27" s="5"/>
      <c r="X27" s="5"/>
      <c r="Y27" s="5"/>
      <c r="Z27" s="7"/>
      <c r="AA27" s="7"/>
      <c r="AB27" s="5"/>
      <c r="AC27" s="5"/>
      <c r="AD27" s="13"/>
      <c r="AE27" s="13"/>
      <c r="AF27" s="246"/>
      <c r="AG27" s="4">
        <v>1</v>
      </c>
      <c r="AH27" s="4">
        <f>AK27/AG27</f>
        <v>0.068</v>
      </c>
      <c r="AI27" s="5">
        <v>2</v>
      </c>
      <c r="AJ27" s="5">
        <v>5</v>
      </c>
      <c r="AK27" s="5">
        <v>0.068</v>
      </c>
      <c r="AL27" s="5">
        <v>18</v>
      </c>
      <c r="AM27" s="7">
        <f>AK27*AI27*AL27*0.0036</f>
        <v>0.0088128</v>
      </c>
      <c r="AN27" s="7">
        <f>AK27*AJ27*AL27*0.0036</f>
        <v>0.022032</v>
      </c>
      <c r="AO27" s="5">
        <v>30</v>
      </c>
      <c r="AP27" s="5">
        <v>12</v>
      </c>
      <c r="AQ27" s="13">
        <f t="shared" si="2"/>
        <v>3.1726080000000003</v>
      </c>
      <c r="AR27" s="80">
        <f t="shared" si="3"/>
        <v>7.93152</v>
      </c>
      <c r="AS27" s="140"/>
      <c r="AT27" s="140"/>
      <c r="AU27" s="140"/>
      <c r="AV27" s="137">
        <f t="shared" si="5"/>
        <v>2</v>
      </c>
      <c r="AW27" s="137">
        <f t="shared" si="6"/>
        <v>5</v>
      </c>
      <c r="AX27" s="136">
        <f t="shared" si="7"/>
        <v>0.068</v>
      </c>
      <c r="AY27" s="79">
        <v>18</v>
      </c>
      <c r="AZ27" s="125">
        <f t="shared" si="8"/>
        <v>0.0088128</v>
      </c>
      <c r="BA27" s="125">
        <f t="shared" si="9"/>
        <v>0.022032</v>
      </c>
      <c r="BB27" s="79">
        <v>30</v>
      </c>
      <c r="BC27" s="79">
        <v>12</v>
      </c>
      <c r="BD27" s="125">
        <f t="shared" si="10"/>
        <v>3.1726080000000003</v>
      </c>
      <c r="BE27" s="125">
        <f t="shared" si="11"/>
        <v>7.93152</v>
      </c>
      <c r="BF27" s="130">
        <v>90</v>
      </c>
      <c r="BG27" s="130">
        <v>90</v>
      </c>
      <c r="BH27" s="136">
        <f t="shared" si="28"/>
        <v>0.068</v>
      </c>
      <c r="BI27" s="130">
        <v>18</v>
      </c>
      <c r="BJ27" s="125">
        <f t="shared" si="12"/>
        <v>0.396576</v>
      </c>
      <c r="BK27" s="125">
        <f t="shared" si="13"/>
        <v>0.396576</v>
      </c>
      <c r="BL27" s="130">
        <v>30</v>
      </c>
      <c r="BM27" s="130">
        <v>12</v>
      </c>
      <c r="BN27" s="142">
        <f t="shared" si="14"/>
        <v>142.76736</v>
      </c>
      <c r="BO27" s="142">
        <f t="shared" si="15"/>
        <v>142.76736</v>
      </c>
      <c r="BP27" s="180">
        <f t="shared" si="16"/>
        <v>72.969984</v>
      </c>
      <c r="BQ27" s="180">
        <f t="shared" si="17"/>
        <v>75.34944</v>
      </c>
      <c r="BR27" s="197">
        <f t="shared" si="18"/>
        <v>150</v>
      </c>
      <c r="BS27" s="197">
        <f t="shared" si="19"/>
        <v>150</v>
      </c>
      <c r="BT27" s="197">
        <f t="shared" si="20"/>
        <v>80</v>
      </c>
      <c r="BU27" s="197">
        <f t="shared" si="21"/>
        <v>80</v>
      </c>
      <c r="BV27" s="197">
        <f t="shared" si="22"/>
        <v>80</v>
      </c>
      <c r="BW27" s="197">
        <f t="shared" si="23"/>
        <v>80</v>
      </c>
      <c r="BX27" s="197">
        <f t="shared" si="24"/>
        <v>80</v>
      </c>
      <c r="BY27" s="197">
        <f t="shared" si="25"/>
        <v>80</v>
      </c>
      <c r="BZ27" s="197">
        <f t="shared" si="26"/>
        <v>80</v>
      </c>
      <c r="CA27" s="197">
        <f t="shared" si="27"/>
        <v>80</v>
      </c>
      <c r="CC27" s="214"/>
    </row>
    <row r="28" spans="1:81" s="20" customFormat="1" ht="22.5" customHeight="1">
      <c r="A28" s="246"/>
      <c r="B28" s="246"/>
      <c r="C28" s="246"/>
      <c r="D28" s="246"/>
      <c r="E28" s="246"/>
      <c r="F28" s="246"/>
      <c r="G28" s="246"/>
      <c r="H28" s="246"/>
      <c r="I28" s="246"/>
      <c r="J28" s="246"/>
      <c r="K28" s="246"/>
      <c r="L28" s="246"/>
      <c r="M28" s="246"/>
      <c r="N28" s="246"/>
      <c r="O28" s="246"/>
      <c r="P28" s="246"/>
      <c r="Q28" s="11"/>
      <c r="R28" s="11"/>
      <c r="S28" s="270"/>
      <c r="T28" s="4"/>
      <c r="U28" s="4"/>
      <c r="V28" s="5"/>
      <c r="W28" s="5"/>
      <c r="X28" s="5"/>
      <c r="Y28" s="5"/>
      <c r="Z28" s="7"/>
      <c r="AA28" s="7"/>
      <c r="AB28" s="5"/>
      <c r="AC28" s="5"/>
      <c r="AD28" s="13"/>
      <c r="AE28" s="13"/>
      <c r="AF28" s="246"/>
      <c r="AG28" s="4">
        <v>2</v>
      </c>
      <c r="AH28" s="4">
        <f>AK28/AG28</f>
        <v>0.043</v>
      </c>
      <c r="AI28" s="5">
        <v>2</v>
      </c>
      <c r="AJ28" s="5">
        <v>5</v>
      </c>
      <c r="AK28" s="5">
        <v>0.086</v>
      </c>
      <c r="AL28" s="5">
        <v>18</v>
      </c>
      <c r="AM28" s="7">
        <f>AK28*AI28*AL28*0.0036</f>
        <v>0.011145599999999999</v>
      </c>
      <c r="AN28" s="7">
        <f>AK28*AJ28*AL28*0.0036</f>
        <v>0.027863999999999993</v>
      </c>
      <c r="AO28" s="5">
        <v>30</v>
      </c>
      <c r="AP28" s="5">
        <v>12</v>
      </c>
      <c r="AQ28" s="13">
        <f t="shared" si="2"/>
        <v>4.012415999999999</v>
      </c>
      <c r="AR28" s="80">
        <f>AN28*AO28*AP28</f>
        <v>10.031039999999997</v>
      </c>
      <c r="AS28" s="140"/>
      <c r="AT28" s="140"/>
      <c r="AU28" s="140"/>
      <c r="AV28" s="137">
        <f t="shared" si="5"/>
        <v>2</v>
      </c>
      <c r="AW28" s="137">
        <f t="shared" si="6"/>
        <v>5</v>
      </c>
      <c r="AX28" s="136">
        <f t="shared" si="7"/>
        <v>0.086</v>
      </c>
      <c r="AY28" s="79">
        <v>18</v>
      </c>
      <c r="AZ28" s="125">
        <f t="shared" si="8"/>
        <v>0.011145599999999999</v>
      </c>
      <c r="BA28" s="125">
        <f t="shared" si="9"/>
        <v>0.027863999999999993</v>
      </c>
      <c r="BB28" s="79">
        <v>30</v>
      </c>
      <c r="BC28" s="79">
        <v>12</v>
      </c>
      <c r="BD28" s="125">
        <f t="shared" si="10"/>
        <v>4.012415999999999</v>
      </c>
      <c r="BE28" s="125">
        <f t="shared" si="11"/>
        <v>10.031039999999997</v>
      </c>
      <c r="BF28" s="130">
        <v>90</v>
      </c>
      <c r="BG28" s="130">
        <v>90</v>
      </c>
      <c r="BH28" s="136">
        <f t="shared" si="28"/>
        <v>0.086</v>
      </c>
      <c r="BI28" s="130">
        <v>18</v>
      </c>
      <c r="BJ28" s="125">
        <f t="shared" si="12"/>
        <v>0.501552</v>
      </c>
      <c r="BK28" s="125">
        <f t="shared" si="13"/>
        <v>0.501552</v>
      </c>
      <c r="BL28" s="130">
        <v>30</v>
      </c>
      <c r="BM28" s="130">
        <v>12</v>
      </c>
      <c r="BN28" s="142">
        <f t="shared" si="14"/>
        <v>180.55872</v>
      </c>
      <c r="BO28" s="142">
        <f t="shared" si="15"/>
        <v>180.55872</v>
      </c>
      <c r="BP28" s="180">
        <f t="shared" si="16"/>
        <v>92.285568</v>
      </c>
      <c r="BQ28" s="180">
        <f t="shared" si="17"/>
        <v>95.29487999999999</v>
      </c>
      <c r="BR28" s="197">
        <f t="shared" si="18"/>
        <v>190</v>
      </c>
      <c r="BS28" s="197">
        <f t="shared" si="19"/>
        <v>190</v>
      </c>
      <c r="BT28" s="197">
        <f t="shared" si="20"/>
        <v>100</v>
      </c>
      <c r="BU28" s="197">
        <f t="shared" si="21"/>
        <v>100</v>
      </c>
      <c r="BV28" s="197">
        <f t="shared" si="22"/>
        <v>100</v>
      </c>
      <c r="BW28" s="197">
        <f t="shared" si="23"/>
        <v>100</v>
      </c>
      <c r="BX28" s="197">
        <f t="shared" si="24"/>
        <v>100</v>
      </c>
      <c r="BY28" s="197">
        <f t="shared" si="25"/>
        <v>100</v>
      </c>
      <c r="BZ28" s="197">
        <f t="shared" si="26"/>
        <v>100</v>
      </c>
      <c r="CA28" s="197">
        <f t="shared" si="27"/>
        <v>100</v>
      </c>
      <c r="CC28" s="214"/>
    </row>
    <row r="29" spans="1:81" s="20" customFormat="1" ht="66" customHeight="1">
      <c r="A29" s="244">
        <v>59</v>
      </c>
      <c r="B29" s="246" t="s">
        <v>50</v>
      </c>
      <c r="C29" s="246" t="s">
        <v>19</v>
      </c>
      <c r="D29" s="246">
        <v>2</v>
      </c>
      <c r="E29" s="246" t="s">
        <v>517</v>
      </c>
      <c r="F29" s="246" t="s">
        <v>96</v>
      </c>
      <c r="G29" s="258" t="s">
        <v>378</v>
      </c>
      <c r="H29" s="258" t="s">
        <v>11</v>
      </c>
      <c r="I29" s="243" t="s">
        <v>67</v>
      </c>
      <c r="J29" s="243" t="s">
        <v>67</v>
      </c>
      <c r="K29" s="243" t="s">
        <v>67</v>
      </c>
      <c r="L29" s="243" t="s">
        <v>67</v>
      </c>
      <c r="M29" s="243" t="s">
        <v>67</v>
      </c>
      <c r="N29" s="243" t="s">
        <v>67</v>
      </c>
      <c r="O29" s="262" t="s">
        <v>51</v>
      </c>
      <c r="P29" s="262" t="s">
        <v>55</v>
      </c>
      <c r="Q29" s="11" t="s">
        <v>97</v>
      </c>
      <c r="R29" s="11" t="s">
        <v>871</v>
      </c>
      <c r="S29" s="250" t="s">
        <v>1167</v>
      </c>
      <c r="T29" s="11">
        <v>4</v>
      </c>
      <c r="U29" s="11"/>
      <c r="V29" s="124">
        <f>'Estandarización parámetros SJB'!$C$62</f>
        <v>32</v>
      </c>
      <c r="W29" s="124">
        <f>'Estandarización parámetros SJB'!$C$113</f>
        <v>21</v>
      </c>
      <c r="X29" s="112">
        <f>T29*'Estandarización parámetros SJB'!$C$3</f>
        <v>0.07288888888888889</v>
      </c>
      <c r="Y29" s="113"/>
      <c r="Z29" s="34">
        <f>50*8*4/1000</f>
        <v>1.6</v>
      </c>
      <c r="AA29" s="34">
        <f>50*8*4/1000</f>
        <v>1.6</v>
      </c>
      <c r="AB29" s="5">
        <v>30</v>
      </c>
      <c r="AC29" s="5">
        <v>12</v>
      </c>
      <c r="AD29" s="13">
        <f>Z29*AB29*AC29</f>
        <v>576</v>
      </c>
      <c r="AE29" s="13">
        <f>AA29*AB29*AC29</f>
        <v>576</v>
      </c>
      <c r="AF29" s="258" t="s">
        <v>1073</v>
      </c>
      <c r="AG29" s="11">
        <v>4</v>
      </c>
      <c r="AH29" s="11"/>
      <c r="AI29" s="39">
        <f>'Estandarización parámetros SJB'!$F$62</f>
        <v>18</v>
      </c>
      <c r="AJ29" s="39">
        <f>'Estandarización parámetros SJB'!$F$113</f>
        <v>14</v>
      </c>
      <c r="AK29" s="112">
        <f>AG29*'Estandarización parámetros SJB'!$F$3</f>
        <v>0.065</v>
      </c>
      <c r="AL29" s="113"/>
      <c r="AM29" s="34">
        <f>50*8*4/1000</f>
        <v>1.6</v>
      </c>
      <c r="AN29" s="34">
        <f>50*8*4/1000</f>
        <v>1.6</v>
      </c>
      <c r="AO29" s="5">
        <v>30</v>
      </c>
      <c r="AP29" s="5">
        <v>12</v>
      </c>
      <c r="AQ29" s="13">
        <f>AM29*AO29*AP29</f>
        <v>576</v>
      </c>
      <c r="AR29" s="80">
        <f>AN29*AO29*AP29</f>
        <v>576</v>
      </c>
      <c r="AS29" s="140"/>
      <c r="AT29" s="140"/>
      <c r="AU29" s="140"/>
      <c r="AV29" s="137">
        <f>(V29*X29+AI29*AK29)/(X29+AK29)</f>
        <v>25.400483481063656</v>
      </c>
      <c r="AW29" s="137">
        <f>(W29*X29+AJ29*AK29)/(X29+AK29)</f>
        <v>17.70024174053183</v>
      </c>
      <c r="AX29" s="136">
        <f t="shared" si="7"/>
        <v>0.06894444444444445</v>
      </c>
      <c r="AY29" s="79">
        <v>18</v>
      </c>
      <c r="AZ29" s="125">
        <f t="shared" si="8"/>
        <v>0.11347919999999997</v>
      </c>
      <c r="BA29" s="125">
        <f t="shared" si="9"/>
        <v>0.0790776</v>
      </c>
      <c r="BB29" s="79">
        <v>30</v>
      </c>
      <c r="BC29" s="79">
        <v>12</v>
      </c>
      <c r="BD29" s="125">
        <f t="shared" si="10"/>
        <v>40.85251199999999</v>
      </c>
      <c r="BE29" s="125">
        <f t="shared" si="11"/>
        <v>28.467936</v>
      </c>
      <c r="BF29" s="130">
        <v>90</v>
      </c>
      <c r="BG29" s="130">
        <v>90</v>
      </c>
      <c r="BH29" s="136">
        <f t="shared" si="28"/>
        <v>0.06894444444444445</v>
      </c>
      <c r="BI29" s="130">
        <v>18</v>
      </c>
      <c r="BJ29" s="125">
        <f t="shared" si="12"/>
        <v>0.402084</v>
      </c>
      <c r="BK29" s="125">
        <f t="shared" si="13"/>
        <v>0.402084</v>
      </c>
      <c r="BL29" s="130">
        <v>30</v>
      </c>
      <c r="BM29" s="130">
        <v>12</v>
      </c>
      <c r="BN29" s="142">
        <f t="shared" si="14"/>
        <v>144.75024</v>
      </c>
      <c r="BO29" s="142">
        <f t="shared" si="15"/>
        <v>144.75024</v>
      </c>
      <c r="BP29" s="180">
        <f t="shared" si="16"/>
        <v>92.80137599999999</v>
      </c>
      <c r="BQ29" s="180">
        <f t="shared" si="17"/>
        <v>86.609088</v>
      </c>
      <c r="BR29" s="197">
        <f t="shared" si="18"/>
        <v>150</v>
      </c>
      <c r="BS29" s="197">
        <f t="shared" si="19"/>
        <v>150</v>
      </c>
      <c r="BT29" s="197">
        <f t="shared" si="20"/>
        <v>100</v>
      </c>
      <c r="BU29" s="197">
        <f t="shared" si="21"/>
        <v>90</v>
      </c>
      <c r="BV29" s="197">
        <f t="shared" si="22"/>
        <v>100</v>
      </c>
      <c r="BW29" s="197">
        <f t="shared" si="23"/>
        <v>90</v>
      </c>
      <c r="BX29" s="197">
        <f t="shared" si="24"/>
        <v>100</v>
      </c>
      <c r="BY29" s="197">
        <f t="shared" si="25"/>
        <v>90</v>
      </c>
      <c r="BZ29" s="197">
        <f t="shared" si="26"/>
        <v>100</v>
      </c>
      <c r="CA29" s="197">
        <f t="shared" si="27"/>
        <v>90</v>
      </c>
      <c r="CC29" s="214"/>
    </row>
    <row r="30" spans="1:81" s="20" customFormat="1" ht="48.75" customHeight="1">
      <c r="A30" s="244"/>
      <c r="B30" s="246"/>
      <c r="C30" s="246"/>
      <c r="D30" s="246"/>
      <c r="E30" s="246"/>
      <c r="F30" s="246"/>
      <c r="G30" s="258"/>
      <c r="H30" s="258"/>
      <c r="I30" s="243"/>
      <c r="J30" s="243"/>
      <c r="K30" s="243"/>
      <c r="L30" s="243"/>
      <c r="M30" s="243"/>
      <c r="N30" s="243"/>
      <c r="O30" s="262"/>
      <c r="P30" s="262"/>
      <c r="Q30" s="11" t="s">
        <v>98</v>
      </c>
      <c r="R30" s="11" t="s">
        <v>872</v>
      </c>
      <c r="S30" s="252"/>
      <c r="T30" s="11">
        <v>4</v>
      </c>
      <c r="U30" s="11"/>
      <c r="V30" s="186">
        <f>'Estandarización parámetros SJB'!$C$62</f>
        <v>32</v>
      </c>
      <c r="W30" s="186">
        <f>'Estandarización parámetros SJB'!$C$113</f>
        <v>21</v>
      </c>
      <c r="X30" s="112">
        <f>T30*'Estandarización parámetros SJB'!$C$3</f>
        <v>0.07288888888888889</v>
      </c>
      <c r="Y30" s="113"/>
      <c r="Z30" s="114"/>
      <c r="AA30" s="114"/>
      <c r="AB30" s="113"/>
      <c r="AC30" s="113"/>
      <c r="AD30" s="115"/>
      <c r="AE30" s="115"/>
      <c r="AF30" s="258"/>
      <c r="AG30" s="11">
        <v>4</v>
      </c>
      <c r="AH30" s="11"/>
      <c r="AI30" s="186">
        <f>'Estandarización parámetros SJB'!$F$62</f>
        <v>18</v>
      </c>
      <c r="AJ30" s="186">
        <f>'Estandarización parámetros SJB'!$F$113</f>
        <v>14</v>
      </c>
      <c r="AK30" s="112">
        <f>AG30*'Estandarización parámetros SJB'!$F$3</f>
        <v>0.065</v>
      </c>
      <c r="AL30" s="113"/>
      <c r="AM30" s="114"/>
      <c r="AN30" s="114"/>
      <c r="AO30" s="113"/>
      <c r="AP30" s="113"/>
      <c r="AQ30" s="115"/>
      <c r="AR30" s="116"/>
      <c r="AS30" s="140"/>
      <c r="AT30" s="140"/>
      <c r="AU30" s="140"/>
      <c r="AV30" s="137">
        <f>(V30*X30+AI30*AK30)/(X30+AK30)</f>
        <v>25.400483481063656</v>
      </c>
      <c r="AW30" s="137">
        <f>(W30*X30+AJ30*AK30)/(X30+AK30)</f>
        <v>17.70024174053183</v>
      </c>
      <c r="AX30" s="136">
        <f>AVERAGE(X30,AK30)</f>
        <v>0.06894444444444445</v>
      </c>
      <c r="AY30" s="198">
        <v>18</v>
      </c>
      <c r="AZ30" s="180">
        <f>AX30*AV30*AY30*0.0036</f>
        <v>0.11347919999999997</v>
      </c>
      <c r="BA30" s="180">
        <f>AX30*AW30*AY30*0.0036</f>
        <v>0.0790776</v>
      </c>
      <c r="BB30" s="198">
        <v>30</v>
      </c>
      <c r="BC30" s="198">
        <v>12</v>
      </c>
      <c r="BD30" s="180">
        <f>AZ30*BB30*BC30</f>
        <v>40.85251199999999</v>
      </c>
      <c r="BE30" s="180">
        <f>BA30*BB30*BC30</f>
        <v>28.467936</v>
      </c>
      <c r="BF30" s="198">
        <v>90</v>
      </c>
      <c r="BG30" s="198">
        <v>90</v>
      </c>
      <c r="BH30" s="136">
        <f>AX30</f>
        <v>0.06894444444444445</v>
      </c>
      <c r="BI30" s="198">
        <v>18</v>
      </c>
      <c r="BJ30" s="180">
        <f>BH30*BF30*BI30*0.0036</f>
        <v>0.402084</v>
      </c>
      <c r="BK30" s="180">
        <f>BH30*BG30*BI30*0.0036</f>
        <v>0.402084</v>
      </c>
      <c r="BL30" s="198">
        <v>30</v>
      </c>
      <c r="BM30" s="198">
        <v>12</v>
      </c>
      <c r="BN30" s="142">
        <f>BJ30*BL30*BM30</f>
        <v>144.75024</v>
      </c>
      <c r="BO30" s="142">
        <f>BK30*BL30*BM30</f>
        <v>144.75024</v>
      </c>
      <c r="BP30" s="180">
        <f>AVERAGE(BD30,BN30)</f>
        <v>92.80137599999999</v>
      </c>
      <c r="BQ30" s="180">
        <f>AVERAGE(BE30,BO30)</f>
        <v>86.609088</v>
      </c>
      <c r="BR30" s="197">
        <f t="shared" si="18"/>
        <v>150</v>
      </c>
      <c r="BS30" s="197">
        <f t="shared" si="19"/>
        <v>150</v>
      </c>
      <c r="BT30" s="197">
        <f t="shared" si="20"/>
        <v>100</v>
      </c>
      <c r="BU30" s="197">
        <f t="shared" si="21"/>
        <v>90</v>
      </c>
      <c r="BV30" s="197">
        <f t="shared" si="22"/>
        <v>100</v>
      </c>
      <c r="BW30" s="197">
        <f t="shared" si="23"/>
        <v>90</v>
      </c>
      <c r="BX30" s="197">
        <f t="shared" si="24"/>
        <v>100</v>
      </c>
      <c r="BY30" s="197">
        <f t="shared" si="25"/>
        <v>90</v>
      </c>
      <c r="BZ30" s="197">
        <f t="shared" si="26"/>
        <v>100</v>
      </c>
      <c r="CA30" s="197">
        <f t="shared" si="27"/>
        <v>90</v>
      </c>
      <c r="CC30" s="214"/>
    </row>
    <row r="31" spans="1:81" s="20" customFormat="1" ht="99" customHeight="1">
      <c r="A31" s="8">
        <v>60</v>
      </c>
      <c r="B31" s="4" t="s">
        <v>50</v>
      </c>
      <c r="C31" s="4" t="s">
        <v>19</v>
      </c>
      <c r="D31" s="4">
        <v>2</v>
      </c>
      <c r="E31" s="4" t="s">
        <v>59</v>
      </c>
      <c r="F31" s="4" t="s">
        <v>99</v>
      </c>
      <c r="G31" s="11" t="s">
        <v>385</v>
      </c>
      <c r="H31" s="11" t="s">
        <v>11</v>
      </c>
      <c r="I31" s="26" t="s">
        <v>67</v>
      </c>
      <c r="J31" s="26" t="s">
        <v>67</v>
      </c>
      <c r="K31" s="26" t="s">
        <v>67</v>
      </c>
      <c r="L31" s="26" t="s">
        <v>67</v>
      </c>
      <c r="M31" s="26" t="s">
        <v>67</v>
      </c>
      <c r="N31" s="26" t="s">
        <v>67</v>
      </c>
      <c r="O31" s="5" t="s">
        <v>51</v>
      </c>
      <c r="P31" s="5" t="s">
        <v>55</v>
      </c>
      <c r="Q31" s="11" t="s">
        <v>745</v>
      </c>
      <c r="R31" s="11" t="s">
        <v>873</v>
      </c>
      <c r="S31" s="4" t="s">
        <v>1149</v>
      </c>
      <c r="T31" s="11">
        <v>10</v>
      </c>
      <c r="U31" s="11"/>
      <c r="V31" s="124">
        <f>'Estandarización parámetros SJB'!$C$62</f>
        <v>32</v>
      </c>
      <c r="W31" s="124">
        <f>'Estandarización parámetros SJB'!$C$113</f>
        <v>21</v>
      </c>
      <c r="X31" s="112">
        <f>T31*'Estandarización parámetros SJB'!$C$3</f>
        <v>0.18222222222222223</v>
      </c>
      <c r="Y31" s="36"/>
      <c r="Z31" s="6">
        <f>((50*4*10)/1000)</f>
        <v>2</v>
      </c>
      <c r="AA31" s="6">
        <f>((50*4*10)/1000)</f>
        <v>2</v>
      </c>
      <c r="AB31" s="5">
        <v>30</v>
      </c>
      <c r="AC31" s="5">
        <v>12</v>
      </c>
      <c r="AD31" s="13">
        <f aca="true" t="shared" si="29" ref="AD31:AD38">Z31*AB31*AC31</f>
        <v>720</v>
      </c>
      <c r="AE31" s="13">
        <f>AA31*AB31*AC31</f>
        <v>720</v>
      </c>
      <c r="AF31" s="11" t="s">
        <v>1055</v>
      </c>
      <c r="AG31" s="11">
        <v>10</v>
      </c>
      <c r="AH31" s="11"/>
      <c r="AI31" s="39">
        <f>'Estandarización parámetros SJB'!$F$62</f>
        <v>18</v>
      </c>
      <c r="AJ31" s="39">
        <f>'Estandarización parámetros SJB'!$F$113</f>
        <v>14</v>
      </c>
      <c r="AK31" s="112">
        <f>AG31*'Estandarización parámetros SJB'!$F$3</f>
        <v>0.1625</v>
      </c>
      <c r="AL31" s="36"/>
      <c r="AM31" s="6">
        <f>((50*4*10)/1000)</f>
        <v>2</v>
      </c>
      <c r="AN31" s="6">
        <f>((50*4*10)/1000)</f>
        <v>2</v>
      </c>
      <c r="AO31" s="5">
        <v>30</v>
      </c>
      <c r="AP31" s="5">
        <v>12</v>
      </c>
      <c r="AQ31" s="13">
        <f aca="true" t="shared" si="30" ref="AQ31:AQ39">AM31*AO31*AP31</f>
        <v>720</v>
      </c>
      <c r="AR31" s="80">
        <f>AN31*AO31*AP31</f>
        <v>720</v>
      </c>
      <c r="AS31" s="140"/>
      <c r="AT31" s="140"/>
      <c r="AU31" s="140"/>
      <c r="AV31" s="137">
        <f t="shared" si="5"/>
        <v>25.40048348106366</v>
      </c>
      <c r="AW31" s="137">
        <f t="shared" si="6"/>
        <v>17.700241740531826</v>
      </c>
      <c r="AX31" s="136">
        <f t="shared" si="7"/>
        <v>0.17236111111111113</v>
      </c>
      <c r="AY31" s="79">
        <v>18</v>
      </c>
      <c r="AZ31" s="125">
        <f t="shared" si="8"/>
        <v>0.283698</v>
      </c>
      <c r="BA31" s="125">
        <f t="shared" si="9"/>
        <v>0.19769399999999998</v>
      </c>
      <c r="BB31" s="79">
        <v>30</v>
      </c>
      <c r="BC31" s="79">
        <v>12</v>
      </c>
      <c r="BD31" s="125">
        <f t="shared" si="10"/>
        <v>102.13128</v>
      </c>
      <c r="BE31" s="125">
        <f t="shared" si="11"/>
        <v>71.16984</v>
      </c>
      <c r="BF31" s="130">
        <v>90</v>
      </c>
      <c r="BG31" s="130">
        <v>90</v>
      </c>
      <c r="BH31" s="136">
        <f t="shared" si="28"/>
        <v>0.17236111111111113</v>
      </c>
      <c r="BI31" s="130">
        <v>18</v>
      </c>
      <c r="BJ31" s="125">
        <f t="shared" si="12"/>
        <v>1.0052100000000002</v>
      </c>
      <c r="BK31" s="125">
        <f t="shared" si="13"/>
        <v>1.0052100000000002</v>
      </c>
      <c r="BL31" s="130">
        <v>30</v>
      </c>
      <c r="BM31" s="130">
        <v>12</v>
      </c>
      <c r="BN31" s="142">
        <f t="shared" si="14"/>
        <v>361.8756000000001</v>
      </c>
      <c r="BO31" s="142">
        <f t="shared" si="15"/>
        <v>361.8756000000001</v>
      </c>
      <c r="BP31" s="180">
        <f t="shared" si="16"/>
        <v>232.00344000000004</v>
      </c>
      <c r="BQ31" s="180">
        <f t="shared" si="17"/>
        <v>216.52272000000005</v>
      </c>
      <c r="BR31" s="197">
        <f t="shared" si="18"/>
        <v>370</v>
      </c>
      <c r="BS31" s="197">
        <f t="shared" si="19"/>
        <v>370</v>
      </c>
      <c r="BT31" s="197">
        <f t="shared" si="20"/>
        <v>240</v>
      </c>
      <c r="BU31" s="197">
        <f t="shared" si="21"/>
        <v>220</v>
      </c>
      <c r="BV31" s="197">
        <f t="shared" si="22"/>
        <v>240</v>
      </c>
      <c r="BW31" s="197">
        <f t="shared" si="23"/>
        <v>220</v>
      </c>
      <c r="BX31" s="197">
        <f t="shared" si="24"/>
        <v>240</v>
      </c>
      <c r="BY31" s="197">
        <f t="shared" si="25"/>
        <v>220</v>
      </c>
      <c r="BZ31" s="197">
        <f t="shared" si="26"/>
        <v>240</v>
      </c>
      <c r="CA31" s="197">
        <f t="shared" si="27"/>
        <v>220</v>
      </c>
      <c r="CC31" s="214"/>
    </row>
    <row r="32" spans="1:81" s="20" customFormat="1" ht="96" customHeight="1">
      <c r="A32" s="8">
        <v>61</v>
      </c>
      <c r="B32" s="4" t="s">
        <v>50</v>
      </c>
      <c r="C32" s="4" t="s">
        <v>19</v>
      </c>
      <c r="D32" s="4">
        <v>2</v>
      </c>
      <c r="E32" s="4" t="s">
        <v>64</v>
      </c>
      <c r="F32" s="4" t="s">
        <v>102</v>
      </c>
      <c r="G32" s="11" t="s">
        <v>518</v>
      </c>
      <c r="H32" s="11" t="s">
        <v>11</v>
      </c>
      <c r="I32" s="26" t="s">
        <v>67</v>
      </c>
      <c r="J32" s="26" t="s">
        <v>67</v>
      </c>
      <c r="K32" s="26" t="s">
        <v>67</v>
      </c>
      <c r="L32" s="26" t="s">
        <v>67</v>
      </c>
      <c r="M32" s="26" t="s">
        <v>67</v>
      </c>
      <c r="N32" s="26" t="s">
        <v>67</v>
      </c>
      <c r="O32" s="5" t="s">
        <v>51</v>
      </c>
      <c r="P32" s="5" t="s">
        <v>55</v>
      </c>
      <c r="Q32" s="11" t="s">
        <v>103</v>
      </c>
      <c r="R32" s="11" t="s">
        <v>874</v>
      </c>
      <c r="S32" s="4" t="s">
        <v>1149</v>
      </c>
      <c r="T32" s="11">
        <v>1</v>
      </c>
      <c r="U32" s="11"/>
      <c r="V32" s="124">
        <f>'Estandarización parámetros SJB'!$C$62</f>
        <v>32</v>
      </c>
      <c r="W32" s="124">
        <f>'Estandarización parámetros SJB'!$C$113</f>
        <v>21</v>
      </c>
      <c r="X32" s="112">
        <f>T32*'Estandarización parámetros SJB'!$C$3</f>
        <v>0.018222222222222223</v>
      </c>
      <c r="Y32" s="36"/>
      <c r="Z32" s="6">
        <f>((50*6*1)/1000)</f>
        <v>0.3</v>
      </c>
      <c r="AA32" s="6">
        <f>((50*6*1)/1000)</f>
        <v>0.3</v>
      </c>
      <c r="AB32" s="5">
        <v>30</v>
      </c>
      <c r="AC32" s="5">
        <v>12</v>
      </c>
      <c r="AD32" s="13">
        <f t="shared" si="29"/>
        <v>108</v>
      </c>
      <c r="AE32" s="13">
        <f>AA32*AB32*AC32</f>
        <v>108</v>
      </c>
      <c r="AF32" s="11" t="s">
        <v>1055</v>
      </c>
      <c r="AG32" s="11">
        <v>1</v>
      </c>
      <c r="AH32" s="11"/>
      <c r="AI32" s="39">
        <f>'Estandarización parámetros SJB'!$F$62</f>
        <v>18</v>
      </c>
      <c r="AJ32" s="39">
        <f>'Estandarización parámetros SJB'!$F$113</f>
        <v>14</v>
      </c>
      <c r="AK32" s="112">
        <f>AG32*'Estandarización parámetros SJB'!$F$3</f>
        <v>0.01625</v>
      </c>
      <c r="AL32" s="36"/>
      <c r="AM32" s="6">
        <f>((50*6*1)/1000)</f>
        <v>0.3</v>
      </c>
      <c r="AN32" s="6">
        <f>((50*6*1)/1000)</f>
        <v>0.3</v>
      </c>
      <c r="AO32" s="5">
        <v>30</v>
      </c>
      <c r="AP32" s="5">
        <v>12</v>
      </c>
      <c r="AQ32" s="13">
        <f t="shared" si="30"/>
        <v>108</v>
      </c>
      <c r="AR32" s="80">
        <f>AN32*AO32*AP32</f>
        <v>108</v>
      </c>
      <c r="AS32" s="140"/>
      <c r="AT32" s="140"/>
      <c r="AU32" s="140"/>
      <c r="AV32" s="137">
        <f t="shared" si="5"/>
        <v>25.400483481063656</v>
      </c>
      <c r="AW32" s="137">
        <f t="shared" si="6"/>
        <v>17.70024174053183</v>
      </c>
      <c r="AX32" s="136">
        <f t="shared" si="7"/>
        <v>0.017236111111111112</v>
      </c>
      <c r="AY32" s="79">
        <v>18</v>
      </c>
      <c r="AZ32" s="125">
        <f t="shared" si="8"/>
        <v>0.028369799999999994</v>
      </c>
      <c r="BA32" s="125">
        <f t="shared" si="9"/>
        <v>0.0197694</v>
      </c>
      <c r="BB32" s="79">
        <v>30</v>
      </c>
      <c r="BC32" s="79">
        <v>12</v>
      </c>
      <c r="BD32" s="125">
        <f t="shared" si="10"/>
        <v>10.213127999999998</v>
      </c>
      <c r="BE32" s="125">
        <f t="shared" si="11"/>
        <v>7.116984</v>
      </c>
      <c r="BF32" s="130">
        <v>90</v>
      </c>
      <c r="BG32" s="130">
        <v>90</v>
      </c>
      <c r="BH32" s="136">
        <f t="shared" si="28"/>
        <v>0.017236111111111112</v>
      </c>
      <c r="BI32" s="130">
        <v>18</v>
      </c>
      <c r="BJ32" s="125">
        <f t="shared" si="12"/>
        <v>0.100521</v>
      </c>
      <c r="BK32" s="125">
        <f t="shared" si="13"/>
        <v>0.100521</v>
      </c>
      <c r="BL32" s="130">
        <v>30</v>
      </c>
      <c r="BM32" s="130">
        <v>12</v>
      </c>
      <c r="BN32" s="142">
        <f t="shared" si="14"/>
        <v>36.18756</v>
      </c>
      <c r="BO32" s="142">
        <f t="shared" si="15"/>
        <v>36.18756</v>
      </c>
      <c r="BP32" s="180">
        <f t="shared" si="16"/>
        <v>23.200343999999998</v>
      </c>
      <c r="BQ32" s="180">
        <f t="shared" si="17"/>
        <v>21.652272</v>
      </c>
      <c r="BR32" s="197">
        <f t="shared" si="18"/>
        <v>40</v>
      </c>
      <c r="BS32" s="197">
        <f t="shared" si="19"/>
        <v>40</v>
      </c>
      <c r="BT32" s="197">
        <f t="shared" si="20"/>
        <v>30</v>
      </c>
      <c r="BU32" s="197">
        <f t="shared" si="21"/>
        <v>30</v>
      </c>
      <c r="BV32" s="197">
        <f t="shared" si="22"/>
        <v>30</v>
      </c>
      <c r="BW32" s="197">
        <f t="shared" si="23"/>
        <v>30</v>
      </c>
      <c r="BX32" s="197">
        <f t="shared" si="24"/>
        <v>30</v>
      </c>
      <c r="BY32" s="197">
        <f t="shared" si="25"/>
        <v>30</v>
      </c>
      <c r="BZ32" s="197">
        <f t="shared" si="26"/>
        <v>30</v>
      </c>
      <c r="CA32" s="197">
        <f t="shared" si="27"/>
        <v>30</v>
      </c>
      <c r="CC32" s="214"/>
    </row>
    <row r="33" spans="1:81" s="20" customFormat="1" ht="48" customHeight="1">
      <c r="A33" s="244">
        <v>62</v>
      </c>
      <c r="B33" s="246" t="s">
        <v>50</v>
      </c>
      <c r="C33" s="246" t="s">
        <v>19</v>
      </c>
      <c r="D33" s="246">
        <v>2</v>
      </c>
      <c r="E33" s="246" t="s">
        <v>61</v>
      </c>
      <c r="F33" s="246" t="s">
        <v>201</v>
      </c>
      <c r="G33" s="258" t="s">
        <v>62</v>
      </c>
      <c r="H33" s="258" t="s">
        <v>11</v>
      </c>
      <c r="I33" s="243" t="s">
        <v>67</v>
      </c>
      <c r="J33" s="243" t="s">
        <v>67</v>
      </c>
      <c r="K33" s="243" t="s">
        <v>67</v>
      </c>
      <c r="L33" s="243" t="s">
        <v>67</v>
      </c>
      <c r="M33" s="243" t="s">
        <v>67</v>
      </c>
      <c r="N33" s="243" t="s">
        <v>67</v>
      </c>
      <c r="O33" s="262" t="s">
        <v>51</v>
      </c>
      <c r="P33" s="262" t="s">
        <v>55</v>
      </c>
      <c r="Q33" s="8" t="s">
        <v>686</v>
      </c>
      <c r="R33" s="8" t="s">
        <v>875</v>
      </c>
      <c r="S33" s="268" t="s">
        <v>1149</v>
      </c>
      <c r="T33" s="11">
        <v>8</v>
      </c>
      <c r="U33" s="11"/>
      <c r="V33" s="124">
        <f>'Estandarización parámetros SJB'!$C$62</f>
        <v>32</v>
      </c>
      <c r="W33" s="124">
        <f>'Estandarización parámetros SJB'!$C$113</f>
        <v>21</v>
      </c>
      <c r="X33" s="112">
        <f>T33*'Estandarización parámetros SJB'!$C$3</f>
        <v>0.14577777777777778</v>
      </c>
      <c r="Y33" s="76"/>
      <c r="Z33" s="34">
        <f>50*8*4/1000</f>
        <v>1.6</v>
      </c>
      <c r="AA33" s="34">
        <f>50*8*4/1000</f>
        <v>1.6</v>
      </c>
      <c r="AB33" s="76">
        <v>30</v>
      </c>
      <c r="AC33" s="76">
        <v>12</v>
      </c>
      <c r="AD33" s="13">
        <f t="shared" si="29"/>
        <v>576</v>
      </c>
      <c r="AE33" s="13">
        <f>AA33*AC33*AB33</f>
        <v>576.0000000000001</v>
      </c>
      <c r="AF33" s="258" t="s">
        <v>1074</v>
      </c>
      <c r="AG33" s="11">
        <v>4</v>
      </c>
      <c r="AH33" s="40">
        <f>AK33/AG33</f>
        <v>0.00475</v>
      </c>
      <c r="AI33" s="76">
        <v>18</v>
      </c>
      <c r="AJ33" s="76">
        <v>8</v>
      </c>
      <c r="AK33" s="76">
        <v>0.019</v>
      </c>
      <c r="AL33" s="76">
        <v>18</v>
      </c>
      <c r="AM33" s="7">
        <f>AL33*AK33*AI33*0.0036</f>
        <v>0.022161599999999997</v>
      </c>
      <c r="AN33" s="7">
        <f>AL33*AK33*AJ33*0.0036</f>
        <v>0.009849599999999998</v>
      </c>
      <c r="AO33" s="76">
        <v>30</v>
      </c>
      <c r="AP33" s="76">
        <v>12</v>
      </c>
      <c r="AQ33" s="13">
        <f t="shared" si="30"/>
        <v>7.978175999999999</v>
      </c>
      <c r="AR33" s="80">
        <f>AN33*AP33*AO33</f>
        <v>3.5458559999999992</v>
      </c>
      <c r="AS33" s="140"/>
      <c r="AT33" s="140"/>
      <c r="AU33" s="140"/>
      <c r="AV33" s="137">
        <f t="shared" si="5"/>
        <v>30.38570465273095</v>
      </c>
      <c r="AW33" s="137">
        <f t="shared" si="6"/>
        <v>19.501011463250173</v>
      </c>
      <c r="AX33" s="136">
        <f t="shared" si="7"/>
        <v>0.08238888888888889</v>
      </c>
      <c r="AY33" s="79">
        <v>18</v>
      </c>
      <c r="AZ33" s="125">
        <f t="shared" si="8"/>
        <v>0.16222319999999998</v>
      </c>
      <c r="BA33" s="125">
        <f t="shared" si="9"/>
        <v>0.10411200000000001</v>
      </c>
      <c r="BB33" s="79">
        <v>30</v>
      </c>
      <c r="BC33" s="79">
        <v>12</v>
      </c>
      <c r="BD33" s="125">
        <f t="shared" si="10"/>
        <v>58.40035199999999</v>
      </c>
      <c r="BE33" s="125">
        <f t="shared" si="11"/>
        <v>37.480320000000006</v>
      </c>
      <c r="BF33" s="130">
        <v>90</v>
      </c>
      <c r="BG33" s="130">
        <v>90</v>
      </c>
      <c r="BH33" s="136">
        <f t="shared" si="28"/>
        <v>0.08238888888888889</v>
      </c>
      <c r="BI33" s="130">
        <v>18</v>
      </c>
      <c r="BJ33" s="125">
        <f t="shared" si="12"/>
        <v>0.480492</v>
      </c>
      <c r="BK33" s="125">
        <f t="shared" si="13"/>
        <v>0.480492</v>
      </c>
      <c r="BL33" s="130">
        <v>30</v>
      </c>
      <c r="BM33" s="130">
        <v>12</v>
      </c>
      <c r="BN33" s="142">
        <f t="shared" si="14"/>
        <v>172.97711999999999</v>
      </c>
      <c r="BO33" s="142">
        <f t="shared" si="15"/>
        <v>172.97711999999999</v>
      </c>
      <c r="BP33" s="180">
        <f t="shared" si="16"/>
        <v>115.68873599999999</v>
      </c>
      <c r="BQ33" s="180">
        <f t="shared" si="17"/>
        <v>105.22872</v>
      </c>
      <c r="BR33" s="197">
        <f t="shared" si="18"/>
        <v>180</v>
      </c>
      <c r="BS33" s="197">
        <f t="shared" si="19"/>
        <v>180</v>
      </c>
      <c r="BT33" s="197">
        <f t="shared" si="20"/>
        <v>120</v>
      </c>
      <c r="BU33" s="197">
        <f t="shared" si="21"/>
        <v>110</v>
      </c>
      <c r="BV33" s="197">
        <f t="shared" si="22"/>
        <v>120</v>
      </c>
      <c r="BW33" s="197">
        <f t="shared" si="23"/>
        <v>110</v>
      </c>
      <c r="BX33" s="197">
        <f t="shared" si="24"/>
        <v>120</v>
      </c>
      <c r="BY33" s="197">
        <f t="shared" si="25"/>
        <v>110</v>
      </c>
      <c r="BZ33" s="197">
        <f t="shared" si="26"/>
        <v>120</v>
      </c>
      <c r="CA33" s="197">
        <f t="shared" si="27"/>
        <v>110</v>
      </c>
      <c r="CC33" s="214"/>
    </row>
    <row r="34" spans="1:81" s="20" customFormat="1" ht="49.5" customHeight="1">
      <c r="A34" s="244"/>
      <c r="B34" s="246"/>
      <c r="C34" s="246"/>
      <c r="D34" s="246"/>
      <c r="E34" s="246"/>
      <c r="F34" s="246"/>
      <c r="G34" s="258"/>
      <c r="H34" s="258"/>
      <c r="I34" s="243"/>
      <c r="J34" s="243"/>
      <c r="K34" s="243"/>
      <c r="L34" s="243"/>
      <c r="M34" s="243"/>
      <c r="N34" s="243"/>
      <c r="O34" s="262"/>
      <c r="P34" s="262"/>
      <c r="Q34" s="8" t="s">
        <v>686</v>
      </c>
      <c r="R34" s="8" t="s">
        <v>875</v>
      </c>
      <c r="S34" s="270"/>
      <c r="T34" s="11"/>
      <c r="U34" s="11"/>
      <c r="V34" s="76"/>
      <c r="W34" s="76"/>
      <c r="X34" s="76"/>
      <c r="Y34" s="76"/>
      <c r="Z34" s="7"/>
      <c r="AA34" s="7"/>
      <c r="AB34" s="76"/>
      <c r="AC34" s="76"/>
      <c r="AD34" s="13"/>
      <c r="AE34" s="13"/>
      <c r="AF34" s="258"/>
      <c r="AG34" s="11">
        <v>4</v>
      </c>
      <c r="AH34" s="40">
        <f>AK34/AG34</f>
        <v>0.02575</v>
      </c>
      <c r="AI34" s="76">
        <v>14</v>
      </c>
      <c r="AJ34" s="76">
        <v>12</v>
      </c>
      <c r="AK34" s="76">
        <v>0.103</v>
      </c>
      <c r="AL34" s="76">
        <v>18</v>
      </c>
      <c r="AM34" s="7">
        <f>AL34*AK34*AI34*0.0036</f>
        <v>0.0934416</v>
      </c>
      <c r="AN34" s="7">
        <f>AL34*AK34*AJ34*0.0036</f>
        <v>0.08009279999999999</v>
      </c>
      <c r="AO34" s="76">
        <v>30</v>
      </c>
      <c r="AP34" s="76">
        <v>12</v>
      </c>
      <c r="AQ34" s="13">
        <f t="shared" si="30"/>
        <v>33.638976</v>
      </c>
      <c r="AR34" s="80">
        <f>AN34*AP34*AO34</f>
        <v>28.833408</v>
      </c>
      <c r="AS34" s="140"/>
      <c r="AT34" s="140"/>
      <c r="AU34" s="140"/>
      <c r="AV34" s="137">
        <f t="shared" si="5"/>
        <v>14</v>
      </c>
      <c r="AW34" s="137">
        <f t="shared" si="6"/>
        <v>12</v>
      </c>
      <c r="AX34" s="136">
        <f t="shared" si="7"/>
        <v>0.103</v>
      </c>
      <c r="AY34" s="79">
        <v>18</v>
      </c>
      <c r="AZ34" s="125">
        <f t="shared" si="8"/>
        <v>0.0934416</v>
      </c>
      <c r="BA34" s="125">
        <f t="shared" si="9"/>
        <v>0.0800928</v>
      </c>
      <c r="BB34" s="79">
        <v>30</v>
      </c>
      <c r="BC34" s="79">
        <v>12</v>
      </c>
      <c r="BD34" s="125">
        <f t="shared" si="10"/>
        <v>33.638976</v>
      </c>
      <c r="BE34" s="125">
        <f t="shared" si="11"/>
        <v>28.833408</v>
      </c>
      <c r="BF34" s="130">
        <v>90</v>
      </c>
      <c r="BG34" s="130">
        <v>90</v>
      </c>
      <c r="BH34" s="136">
        <f t="shared" si="28"/>
        <v>0.103</v>
      </c>
      <c r="BI34" s="130">
        <v>18</v>
      </c>
      <c r="BJ34" s="125">
        <f t="shared" si="12"/>
        <v>0.6006959999999999</v>
      </c>
      <c r="BK34" s="125">
        <f t="shared" si="13"/>
        <v>0.6006959999999999</v>
      </c>
      <c r="BL34" s="130">
        <v>30</v>
      </c>
      <c r="BM34" s="130">
        <v>12</v>
      </c>
      <c r="BN34" s="142">
        <f t="shared" si="14"/>
        <v>216.25055999999998</v>
      </c>
      <c r="BO34" s="142">
        <f t="shared" si="15"/>
        <v>216.25055999999998</v>
      </c>
      <c r="BP34" s="180">
        <f t="shared" si="16"/>
        <v>124.94476799999998</v>
      </c>
      <c r="BQ34" s="180">
        <f t="shared" si="17"/>
        <v>122.54198399999999</v>
      </c>
      <c r="BR34" s="197">
        <f t="shared" si="18"/>
        <v>220</v>
      </c>
      <c r="BS34" s="197">
        <f t="shared" si="19"/>
        <v>220</v>
      </c>
      <c r="BT34" s="197">
        <f t="shared" si="20"/>
        <v>130</v>
      </c>
      <c r="BU34" s="197">
        <f t="shared" si="21"/>
        <v>130</v>
      </c>
      <c r="BV34" s="197">
        <f t="shared" si="22"/>
        <v>130</v>
      </c>
      <c r="BW34" s="197">
        <f t="shared" si="23"/>
        <v>130</v>
      </c>
      <c r="BX34" s="197">
        <f t="shared" si="24"/>
        <v>130</v>
      </c>
      <c r="BY34" s="197">
        <f t="shared" si="25"/>
        <v>130</v>
      </c>
      <c r="BZ34" s="197">
        <f t="shared" si="26"/>
        <v>130</v>
      </c>
      <c r="CA34" s="197">
        <f t="shared" si="27"/>
        <v>130</v>
      </c>
      <c r="CC34" s="214"/>
    </row>
    <row r="35" spans="1:81" s="20" customFormat="1" ht="101.25" customHeight="1">
      <c r="A35" s="8">
        <v>63</v>
      </c>
      <c r="B35" s="4" t="s">
        <v>50</v>
      </c>
      <c r="C35" s="4" t="s">
        <v>19</v>
      </c>
      <c r="D35" s="4">
        <v>2</v>
      </c>
      <c r="E35" s="4" t="s">
        <v>65</v>
      </c>
      <c r="F35" s="4" t="s">
        <v>104</v>
      </c>
      <c r="G35" s="5" t="s">
        <v>63</v>
      </c>
      <c r="H35" s="11" t="s">
        <v>11</v>
      </c>
      <c r="I35" s="26" t="s">
        <v>67</v>
      </c>
      <c r="J35" s="26" t="s">
        <v>67</v>
      </c>
      <c r="K35" s="26" t="s">
        <v>67</v>
      </c>
      <c r="L35" s="26" t="s">
        <v>67</v>
      </c>
      <c r="M35" s="26" t="s">
        <v>67</v>
      </c>
      <c r="N35" s="26" t="s">
        <v>67</v>
      </c>
      <c r="O35" s="5" t="s">
        <v>51</v>
      </c>
      <c r="P35" s="5" t="s">
        <v>55</v>
      </c>
      <c r="Q35" s="5" t="s">
        <v>746</v>
      </c>
      <c r="R35" s="5" t="s">
        <v>876</v>
      </c>
      <c r="S35" s="4" t="s">
        <v>1149</v>
      </c>
      <c r="T35" s="11">
        <v>1</v>
      </c>
      <c r="U35" s="11"/>
      <c r="V35" s="124">
        <f>'Estandarización parámetros SJB'!$C$62</f>
        <v>32</v>
      </c>
      <c r="W35" s="124">
        <f>'Estandarización parámetros SJB'!$C$113</f>
        <v>21</v>
      </c>
      <c r="X35" s="112">
        <f>T35*'Estandarización parámetros SJB'!$C$3</f>
        <v>0.018222222222222223</v>
      </c>
      <c r="Y35" s="36"/>
      <c r="Z35" s="6">
        <f>((50*6*1)/1000)</f>
        <v>0.3</v>
      </c>
      <c r="AA35" s="6">
        <f>((50*6*1)/1000)</f>
        <v>0.3</v>
      </c>
      <c r="AB35" s="5">
        <v>30</v>
      </c>
      <c r="AC35" s="5">
        <v>12</v>
      </c>
      <c r="AD35" s="13">
        <f t="shared" si="29"/>
        <v>108</v>
      </c>
      <c r="AE35" s="13">
        <f aca="true" t="shared" si="31" ref="AE35:AE44">AA35*AB35*AC35</f>
        <v>108</v>
      </c>
      <c r="AF35" s="11" t="s">
        <v>1055</v>
      </c>
      <c r="AG35" s="11">
        <v>1</v>
      </c>
      <c r="AH35" s="11"/>
      <c r="AI35" s="39">
        <f>'Estandarización parámetros SJB'!$F$62</f>
        <v>18</v>
      </c>
      <c r="AJ35" s="39">
        <f>'Estandarización parámetros SJB'!$F$113</f>
        <v>14</v>
      </c>
      <c r="AK35" s="112">
        <f>AG35*'Estandarización parámetros SJB'!$F$3</f>
        <v>0.01625</v>
      </c>
      <c r="AL35" s="36"/>
      <c r="AM35" s="6">
        <f>((50*6*1)/1000)</f>
        <v>0.3</v>
      </c>
      <c r="AN35" s="6">
        <f>((50*6*1)/1000)</f>
        <v>0.3</v>
      </c>
      <c r="AO35" s="5">
        <v>30</v>
      </c>
      <c r="AP35" s="5">
        <v>12</v>
      </c>
      <c r="AQ35" s="13">
        <f t="shared" si="30"/>
        <v>108</v>
      </c>
      <c r="AR35" s="80">
        <f aca="true" t="shared" si="32" ref="AR35:AR44">AN35*AO35*AP35</f>
        <v>108</v>
      </c>
      <c r="AS35" s="140"/>
      <c r="AT35" s="140"/>
      <c r="AU35" s="140"/>
      <c r="AV35" s="137">
        <f t="shared" si="5"/>
        <v>25.400483481063656</v>
      </c>
      <c r="AW35" s="137">
        <f t="shared" si="6"/>
        <v>17.70024174053183</v>
      </c>
      <c r="AX35" s="136">
        <f t="shared" si="7"/>
        <v>0.017236111111111112</v>
      </c>
      <c r="AY35" s="79">
        <v>18</v>
      </c>
      <c r="AZ35" s="125">
        <f t="shared" si="8"/>
        <v>0.028369799999999994</v>
      </c>
      <c r="BA35" s="125">
        <f t="shared" si="9"/>
        <v>0.0197694</v>
      </c>
      <c r="BB35" s="79">
        <v>30</v>
      </c>
      <c r="BC35" s="79">
        <v>12</v>
      </c>
      <c r="BD35" s="125">
        <f t="shared" si="10"/>
        <v>10.213127999999998</v>
      </c>
      <c r="BE35" s="125">
        <f t="shared" si="11"/>
        <v>7.116984</v>
      </c>
      <c r="BF35" s="130">
        <v>90</v>
      </c>
      <c r="BG35" s="130">
        <v>90</v>
      </c>
      <c r="BH35" s="136">
        <f t="shared" si="28"/>
        <v>0.017236111111111112</v>
      </c>
      <c r="BI35" s="130">
        <v>18</v>
      </c>
      <c r="BJ35" s="125">
        <f t="shared" si="12"/>
        <v>0.100521</v>
      </c>
      <c r="BK35" s="125">
        <f t="shared" si="13"/>
        <v>0.100521</v>
      </c>
      <c r="BL35" s="130">
        <v>30</v>
      </c>
      <c r="BM35" s="130">
        <v>12</v>
      </c>
      <c r="BN35" s="142">
        <f t="shared" si="14"/>
        <v>36.18756</v>
      </c>
      <c r="BO35" s="142">
        <f t="shared" si="15"/>
        <v>36.18756</v>
      </c>
      <c r="BP35" s="180">
        <f t="shared" si="16"/>
        <v>23.200343999999998</v>
      </c>
      <c r="BQ35" s="180">
        <f t="shared" si="17"/>
        <v>21.652272</v>
      </c>
      <c r="BR35" s="197">
        <f t="shared" si="18"/>
        <v>40</v>
      </c>
      <c r="BS35" s="197">
        <f t="shared" si="19"/>
        <v>40</v>
      </c>
      <c r="BT35" s="197">
        <f t="shared" si="20"/>
        <v>30</v>
      </c>
      <c r="BU35" s="197">
        <f t="shared" si="21"/>
        <v>30</v>
      </c>
      <c r="BV35" s="197">
        <f t="shared" si="22"/>
        <v>30</v>
      </c>
      <c r="BW35" s="197">
        <f t="shared" si="23"/>
        <v>30</v>
      </c>
      <c r="BX35" s="197">
        <f t="shared" si="24"/>
        <v>30</v>
      </c>
      <c r="BY35" s="197">
        <f t="shared" si="25"/>
        <v>30</v>
      </c>
      <c r="BZ35" s="197">
        <f t="shared" si="26"/>
        <v>30</v>
      </c>
      <c r="CA35" s="197">
        <f t="shared" si="27"/>
        <v>30</v>
      </c>
      <c r="CC35" s="214"/>
    </row>
    <row r="36" spans="1:81" s="20" customFormat="1" ht="65.25" customHeight="1">
      <c r="A36" s="8">
        <v>64</v>
      </c>
      <c r="B36" s="4" t="s">
        <v>50</v>
      </c>
      <c r="C36" s="4" t="s">
        <v>19</v>
      </c>
      <c r="D36" s="4">
        <v>2</v>
      </c>
      <c r="E36" s="4" t="s">
        <v>676</v>
      </c>
      <c r="F36" s="4" t="s">
        <v>272</v>
      </c>
      <c r="G36" s="11" t="s">
        <v>224</v>
      </c>
      <c r="H36" s="11" t="s">
        <v>486</v>
      </c>
      <c r="I36" s="11" t="s">
        <v>493</v>
      </c>
      <c r="J36" s="27">
        <v>43000</v>
      </c>
      <c r="K36" s="28" t="s">
        <v>10</v>
      </c>
      <c r="L36" s="28" t="s">
        <v>10</v>
      </c>
      <c r="M36" s="5" t="s">
        <v>74</v>
      </c>
      <c r="N36" s="24">
        <v>2022</v>
      </c>
      <c r="O36" s="5" t="s">
        <v>223</v>
      </c>
      <c r="P36" s="5" t="s">
        <v>55</v>
      </c>
      <c r="Q36" s="5" t="s">
        <v>352</v>
      </c>
      <c r="R36" s="5" t="s">
        <v>877</v>
      </c>
      <c r="S36" s="11" t="s">
        <v>1168</v>
      </c>
      <c r="T36" s="11">
        <v>2</v>
      </c>
      <c r="U36" s="96">
        <f>X36/T36</f>
        <v>0.007530303030303034</v>
      </c>
      <c r="V36" s="186">
        <f>'Estandarización parámetros SJB'!$C$62</f>
        <v>32</v>
      </c>
      <c r="W36" s="118">
        <v>55</v>
      </c>
      <c r="X36" s="119">
        <f>((0+0+0.017+0.019+0.015+0.017+0.036+0.043+0.015+0.012+0.018+0+0+0+0.033+0.03+0.033+0+0+0.027+0.03+0.029+0.021+0.026+0+0+0.02+0.019+0.019+0.018+0+0+0)/33)</f>
        <v>0.015060606060606068</v>
      </c>
      <c r="Y36" s="5">
        <v>18</v>
      </c>
      <c r="Z36" s="34">
        <f>X36*V36*Y36*0.0036</f>
        <v>0.031229672727272742</v>
      </c>
      <c r="AA36" s="34">
        <f>X36*W36*Y36*0.0036</f>
        <v>0.05367600000000002</v>
      </c>
      <c r="AB36" s="5">
        <v>30</v>
      </c>
      <c r="AC36" s="5">
        <v>12</v>
      </c>
      <c r="AD36" s="29">
        <f t="shared" si="29"/>
        <v>11.242682181818187</v>
      </c>
      <c r="AE36" s="29">
        <f t="shared" si="31"/>
        <v>19.323360000000008</v>
      </c>
      <c r="AF36" s="11" t="s">
        <v>1075</v>
      </c>
      <c r="AG36" s="11">
        <v>2</v>
      </c>
      <c r="AH36" s="40">
        <f>AK36/AG36</f>
        <v>0.034</v>
      </c>
      <c r="AI36" s="186">
        <f>'Estandarización parámetros SJB'!$F$62</f>
        <v>18</v>
      </c>
      <c r="AJ36" s="186">
        <f>'Estandarización parámetros SJB'!$F$113</f>
        <v>14</v>
      </c>
      <c r="AK36" s="49">
        <v>0.068</v>
      </c>
      <c r="AL36" s="5">
        <v>18</v>
      </c>
      <c r="AM36" s="34">
        <f>AK36*AI36*AL36*0.0036</f>
        <v>0.07931520000000002</v>
      </c>
      <c r="AN36" s="34">
        <f>AK36*AJ36*AL36*0.0036</f>
        <v>0.06168960000000001</v>
      </c>
      <c r="AO36" s="5">
        <v>30</v>
      </c>
      <c r="AP36" s="5">
        <v>12</v>
      </c>
      <c r="AQ36" s="29">
        <f t="shared" si="30"/>
        <v>28.553472000000006</v>
      </c>
      <c r="AR36" s="81">
        <f t="shared" si="32"/>
        <v>22.208256000000006</v>
      </c>
      <c r="AS36" s="133" t="s">
        <v>1183</v>
      </c>
      <c r="AT36" s="133" t="s">
        <v>1180</v>
      </c>
      <c r="AU36" s="134">
        <v>100</v>
      </c>
      <c r="AV36" s="137">
        <f t="shared" si="5"/>
        <v>20.538489602334916</v>
      </c>
      <c r="AW36" s="137">
        <f t="shared" si="6"/>
        <v>21.43414812112368</v>
      </c>
      <c r="AX36" s="136">
        <f t="shared" si="7"/>
        <v>0.041530303030303035</v>
      </c>
      <c r="AY36" s="79">
        <v>18</v>
      </c>
      <c r="AZ36" s="125">
        <f t="shared" si="8"/>
        <v>0.05527243636363637</v>
      </c>
      <c r="BA36" s="125">
        <f t="shared" si="9"/>
        <v>0.05768280000000001</v>
      </c>
      <c r="BB36" s="79">
        <v>30</v>
      </c>
      <c r="BC36" s="79">
        <v>12</v>
      </c>
      <c r="BD36" s="125">
        <f t="shared" si="10"/>
        <v>19.898077090909094</v>
      </c>
      <c r="BE36" s="125">
        <f t="shared" si="11"/>
        <v>20.765808000000003</v>
      </c>
      <c r="BF36" s="130">
        <v>90</v>
      </c>
      <c r="BG36" s="130">
        <v>100</v>
      </c>
      <c r="BH36" s="136">
        <f t="shared" si="28"/>
        <v>0.041530303030303035</v>
      </c>
      <c r="BI36" s="130">
        <v>18</v>
      </c>
      <c r="BJ36" s="125">
        <f t="shared" si="12"/>
        <v>0.24220472727272727</v>
      </c>
      <c r="BK36" s="125">
        <f t="shared" si="13"/>
        <v>0.26911636363636365</v>
      </c>
      <c r="BL36" s="130">
        <v>30</v>
      </c>
      <c r="BM36" s="130">
        <v>12</v>
      </c>
      <c r="BN36" s="142">
        <f t="shared" si="14"/>
        <v>87.19370181818181</v>
      </c>
      <c r="BO36" s="142">
        <f t="shared" si="15"/>
        <v>96.88189090909091</v>
      </c>
      <c r="BP36" s="180">
        <f t="shared" si="16"/>
        <v>53.54588945454545</v>
      </c>
      <c r="BQ36" s="180">
        <f t="shared" si="17"/>
        <v>58.82384945454546</v>
      </c>
      <c r="BR36" s="197">
        <f t="shared" si="18"/>
        <v>90</v>
      </c>
      <c r="BS36" s="197">
        <f t="shared" si="19"/>
        <v>100</v>
      </c>
      <c r="BT36" s="197">
        <f t="shared" si="20"/>
        <v>60</v>
      </c>
      <c r="BU36" s="197">
        <f t="shared" si="21"/>
        <v>60</v>
      </c>
      <c r="BV36" s="197">
        <f t="shared" si="22"/>
        <v>60</v>
      </c>
      <c r="BW36" s="197">
        <f t="shared" si="23"/>
        <v>60</v>
      </c>
      <c r="BX36" s="197">
        <f t="shared" si="24"/>
        <v>60</v>
      </c>
      <c r="BY36" s="197">
        <f t="shared" si="25"/>
        <v>60</v>
      </c>
      <c r="BZ36" s="197">
        <f t="shared" si="26"/>
        <v>60</v>
      </c>
      <c r="CA36" s="197">
        <f t="shared" si="27"/>
        <v>60</v>
      </c>
      <c r="CC36" s="214"/>
    </row>
    <row r="37" spans="1:81" s="20" customFormat="1" ht="94.5" customHeight="1">
      <c r="A37" s="8">
        <v>65</v>
      </c>
      <c r="B37" s="4" t="s">
        <v>50</v>
      </c>
      <c r="C37" s="4" t="s">
        <v>19</v>
      </c>
      <c r="D37" s="4">
        <v>2</v>
      </c>
      <c r="E37" s="37" t="s">
        <v>226</v>
      </c>
      <c r="F37" s="4" t="s">
        <v>274</v>
      </c>
      <c r="G37" s="11" t="s">
        <v>457</v>
      </c>
      <c r="H37" s="11" t="s">
        <v>227</v>
      </c>
      <c r="I37" s="11" t="s">
        <v>228</v>
      </c>
      <c r="J37" s="27">
        <v>43095</v>
      </c>
      <c r="K37" s="28">
        <v>43213</v>
      </c>
      <c r="L37" s="28">
        <v>43229</v>
      </c>
      <c r="M37" s="5" t="s">
        <v>74</v>
      </c>
      <c r="N37" s="28">
        <v>45054</v>
      </c>
      <c r="O37" s="5" t="s">
        <v>223</v>
      </c>
      <c r="P37" s="5" t="s">
        <v>55</v>
      </c>
      <c r="Q37" s="5" t="s">
        <v>747</v>
      </c>
      <c r="R37" s="5" t="s">
        <v>878</v>
      </c>
      <c r="S37" s="11" t="s">
        <v>1169</v>
      </c>
      <c r="T37" s="11">
        <v>3</v>
      </c>
      <c r="U37" s="11"/>
      <c r="V37" s="124">
        <f>'Estandarización parámetros SJB'!$C$62</f>
        <v>32</v>
      </c>
      <c r="W37" s="124">
        <f>'Estandarización parámetros SJB'!$C$113</f>
        <v>21</v>
      </c>
      <c r="X37" s="112">
        <f>T37*'Estandarización parámetros SJB'!$C$3</f>
        <v>0.05466666666666667</v>
      </c>
      <c r="Y37" s="5"/>
      <c r="Z37" s="34">
        <f>50*3*4/1000</f>
        <v>0.6</v>
      </c>
      <c r="AA37" s="34">
        <f>50*3*4/1000</f>
        <v>0.6</v>
      </c>
      <c r="AB37" s="5">
        <v>30</v>
      </c>
      <c r="AC37" s="5">
        <v>12</v>
      </c>
      <c r="AD37" s="29">
        <f t="shared" si="29"/>
        <v>216</v>
      </c>
      <c r="AE37" s="29">
        <f t="shared" si="31"/>
        <v>216</v>
      </c>
      <c r="AF37" s="11" t="s">
        <v>1076</v>
      </c>
      <c r="AG37" s="11">
        <v>3</v>
      </c>
      <c r="AH37" s="11"/>
      <c r="AI37" s="39">
        <f>'Estandarización parámetros SJB'!$F$62</f>
        <v>18</v>
      </c>
      <c r="AJ37" s="39">
        <f>'Estandarización parámetros SJB'!$F$113</f>
        <v>14</v>
      </c>
      <c r="AK37" s="112">
        <f>AG37*'Estandarización parámetros SJB'!$F$3</f>
        <v>0.04875</v>
      </c>
      <c r="AL37" s="5"/>
      <c r="AM37" s="34">
        <f>50*3*4/1000</f>
        <v>0.6</v>
      </c>
      <c r="AN37" s="34">
        <f>50*3*4/1000</f>
        <v>0.6</v>
      </c>
      <c r="AO37" s="5">
        <v>30</v>
      </c>
      <c r="AP37" s="5">
        <v>12</v>
      </c>
      <c r="AQ37" s="29">
        <f t="shared" si="30"/>
        <v>216</v>
      </c>
      <c r="AR37" s="81">
        <f t="shared" si="32"/>
        <v>216</v>
      </c>
      <c r="AS37" s="133" t="s">
        <v>1142</v>
      </c>
      <c r="AT37" s="133">
        <v>90</v>
      </c>
      <c r="AU37" s="134">
        <v>90</v>
      </c>
      <c r="AV37" s="137">
        <f t="shared" si="5"/>
        <v>25.400483481063656</v>
      </c>
      <c r="AW37" s="137">
        <f t="shared" si="6"/>
        <v>17.70024174053183</v>
      </c>
      <c r="AX37" s="136">
        <f t="shared" si="7"/>
        <v>0.051708333333333335</v>
      </c>
      <c r="AY37" s="79">
        <v>18</v>
      </c>
      <c r="AZ37" s="125">
        <f t="shared" si="8"/>
        <v>0.0851094</v>
      </c>
      <c r="BA37" s="125">
        <f t="shared" si="9"/>
        <v>0.059308200000000005</v>
      </c>
      <c r="BB37" s="79">
        <v>30</v>
      </c>
      <c r="BC37" s="79">
        <v>12</v>
      </c>
      <c r="BD37" s="125">
        <f t="shared" si="10"/>
        <v>30.639384000000003</v>
      </c>
      <c r="BE37" s="125">
        <f t="shared" si="11"/>
        <v>21.350952</v>
      </c>
      <c r="BF37" s="130">
        <v>90</v>
      </c>
      <c r="BG37" s="130">
        <v>90</v>
      </c>
      <c r="BH37" s="136">
        <f t="shared" si="28"/>
        <v>0.051708333333333335</v>
      </c>
      <c r="BI37" s="130">
        <v>18</v>
      </c>
      <c r="BJ37" s="125">
        <f t="shared" si="12"/>
        <v>0.301563</v>
      </c>
      <c r="BK37" s="125">
        <f t="shared" si="13"/>
        <v>0.301563</v>
      </c>
      <c r="BL37" s="130">
        <v>30</v>
      </c>
      <c r="BM37" s="130">
        <v>12</v>
      </c>
      <c r="BN37" s="142">
        <f t="shared" si="14"/>
        <v>108.56268000000001</v>
      </c>
      <c r="BO37" s="142">
        <f t="shared" si="15"/>
        <v>108.56268000000001</v>
      </c>
      <c r="BP37" s="180">
        <f t="shared" si="16"/>
        <v>69.601032</v>
      </c>
      <c r="BQ37" s="180">
        <f t="shared" si="17"/>
        <v>64.956816</v>
      </c>
      <c r="BR37" s="197">
        <f t="shared" si="18"/>
        <v>110</v>
      </c>
      <c r="BS37" s="197">
        <f t="shared" si="19"/>
        <v>110</v>
      </c>
      <c r="BT37" s="197">
        <f t="shared" si="20"/>
        <v>70</v>
      </c>
      <c r="BU37" s="197">
        <f t="shared" si="21"/>
        <v>70</v>
      </c>
      <c r="BV37" s="197">
        <f t="shared" si="22"/>
        <v>70</v>
      </c>
      <c r="BW37" s="197">
        <f t="shared" si="23"/>
        <v>70</v>
      </c>
      <c r="BX37" s="197">
        <f t="shared" si="24"/>
        <v>70</v>
      </c>
      <c r="BY37" s="197">
        <f t="shared" si="25"/>
        <v>70</v>
      </c>
      <c r="BZ37" s="197">
        <f t="shared" si="26"/>
        <v>70</v>
      </c>
      <c r="CA37" s="197">
        <f t="shared" si="27"/>
        <v>70</v>
      </c>
      <c r="CC37" s="214"/>
    </row>
    <row r="38" spans="1:81" s="20" customFormat="1" ht="109.5" customHeight="1">
      <c r="A38" s="8">
        <v>66</v>
      </c>
      <c r="B38" s="4" t="s">
        <v>648</v>
      </c>
      <c r="C38" s="4" t="s">
        <v>19</v>
      </c>
      <c r="D38" s="4">
        <v>2</v>
      </c>
      <c r="E38" s="37" t="s">
        <v>229</v>
      </c>
      <c r="F38" s="4" t="s">
        <v>230</v>
      </c>
      <c r="G38" s="11" t="s">
        <v>231</v>
      </c>
      <c r="H38" s="11" t="s">
        <v>11</v>
      </c>
      <c r="I38" s="26" t="s">
        <v>67</v>
      </c>
      <c r="J38" s="26" t="s">
        <v>67</v>
      </c>
      <c r="K38" s="26" t="s">
        <v>67</v>
      </c>
      <c r="L38" s="26" t="s">
        <v>67</v>
      </c>
      <c r="M38" s="26" t="s">
        <v>67</v>
      </c>
      <c r="N38" s="26" t="s">
        <v>67</v>
      </c>
      <c r="O38" s="5" t="s">
        <v>223</v>
      </c>
      <c r="P38" s="5" t="s">
        <v>55</v>
      </c>
      <c r="Q38" s="5" t="s">
        <v>748</v>
      </c>
      <c r="R38" s="5" t="s">
        <v>879</v>
      </c>
      <c r="S38" s="4" t="s">
        <v>1170</v>
      </c>
      <c r="T38" s="11">
        <v>4</v>
      </c>
      <c r="U38" s="11"/>
      <c r="V38" s="124">
        <f>'Estandarización parámetros SJB'!$C$62</f>
        <v>32</v>
      </c>
      <c r="W38" s="124">
        <f>'Estandarización parámetros SJB'!$C$113</f>
        <v>21</v>
      </c>
      <c r="X38" s="112">
        <f>T38*'Estandarización parámetros SJB'!$C$3</f>
        <v>0.07288888888888889</v>
      </c>
      <c r="Y38" s="5"/>
      <c r="Z38" s="34">
        <f>50*4*4/1000</f>
        <v>0.8</v>
      </c>
      <c r="AA38" s="34">
        <f>50*4*4/1000</f>
        <v>0.8</v>
      </c>
      <c r="AB38" s="5">
        <v>30</v>
      </c>
      <c r="AC38" s="5">
        <v>12</v>
      </c>
      <c r="AD38" s="29">
        <f t="shared" si="29"/>
        <v>288</v>
      </c>
      <c r="AE38" s="29">
        <f t="shared" si="31"/>
        <v>288</v>
      </c>
      <c r="AF38" s="11" t="s">
        <v>1076</v>
      </c>
      <c r="AG38" s="11">
        <v>4</v>
      </c>
      <c r="AH38" s="11"/>
      <c r="AI38" s="39">
        <f>'Estandarización parámetros SJB'!$F$62</f>
        <v>18</v>
      </c>
      <c r="AJ38" s="39">
        <f>'Estandarización parámetros SJB'!$F$113</f>
        <v>14</v>
      </c>
      <c r="AK38" s="112">
        <f>AG38*'Estandarización parámetros SJB'!$F$3</f>
        <v>0.065</v>
      </c>
      <c r="AL38" s="5"/>
      <c r="AM38" s="34">
        <f>50*4*4/1000</f>
        <v>0.8</v>
      </c>
      <c r="AN38" s="34">
        <f>50*4*4/1000</f>
        <v>0.8</v>
      </c>
      <c r="AO38" s="5">
        <v>30</v>
      </c>
      <c r="AP38" s="5">
        <v>12</v>
      </c>
      <c r="AQ38" s="29">
        <f t="shared" si="30"/>
        <v>288</v>
      </c>
      <c r="AR38" s="81">
        <f t="shared" si="32"/>
        <v>288</v>
      </c>
      <c r="AS38" s="140"/>
      <c r="AT38" s="140"/>
      <c r="AU38" s="140"/>
      <c r="AV38" s="137">
        <f t="shared" si="5"/>
        <v>25.400483481063656</v>
      </c>
      <c r="AW38" s="137">
        <f t="shared" si="6"/>
        <v>17.70024174053183</v>
      </c>
      <c r="AX38" s="136">
        <f t="shared" si="7"/>
        <v>0.06894444444444445</v>
      </c>
      <c r="AY38" s="79">
        <v>18</v>
      </c>
      <c r="AZ38" s="125">
        <f t="shared" si="8"/>
        <v>0.11347919999999997</v>
      </c>
      <c r="BA38" s="125">
        <f t="shared" si="9"/>
        <v>0.0790776</v>
      </c>
      <c r="BB38" s="79">
        <v>30</v>
      </c>
      <c r="BC38" s="79">
        <v>12</v>
      </c>
      <c r="BD38" s="125">
        <f t="shared" si="10"/>
        <v>40.85251199999999</v>
      </c>
      <c r="BE38" s="125">
        <f t="shared" si="11"/>
        <v>28.467936</v>
      </c>
      <c r="BF38" s="130">
        <v>90</v>
      </c>
      <c r="BG38" s="130">
        <v>90</v>
      </c>
      <c r="BH38" s="136">
        <f t="shared" si="28"/>
        <v>0.06894444444444445</v>
      </c>
      <c r="BI38" s="130">
        <v>18</v>
      </c>
      <c r="BJ38" s="125">
        <f t="shared" si="12"/>
        <v>0.402084</v>
      </c>
      <c r="BK38" s="125">
        <f t="shared" si="13"/>
        <v>0.402084</v>
      </c>
      <c r="BL38" s="130">
        <v>30</v>
      </c>
      <c r="BM38" s="130">
        <v>12</v>
      </c>
      <c r="BN38" s="142">
        <f t="shared" si="14"/>
        <v>144.75024</v>
      </c>
      <c r="BO38" s="142">
        <f t="shared" si="15"/>
        <v>144.75024</v>
      </c>
      <c r="BP38" s="180">
        <f t="shared" si="16"/>
        <v>92.80137599999999</v>
      </c>
      <c r="BQ38" s="180">
        <f t="shared" si="17"/>
        <v>86.609088</v>
      </c>
      <c r="BR38" s="197">
        <f t="shared" si="18"/>
        <v>150</v>
      </c>
      <c r="BS38" s="197">
        <f t="shared" si="19"/>
        <v>150</v>
      </c>
      <c r="BT38" s="197">
        <f t="shared" si="20"/>
        <v>100</v>
      </c>
      <c r="BU38" s="197">
        <f t="shared" si="21"/>
        <v>90</v>
      </c>
      <c r="BV38" s="197">
        <f t="shared" si="22"/>
        <v>100</v>
      </c>
      <c r="BW38" s="197">
        <f t="shared" si="23"/>
        <v>90</v>
      </c>
      <c r="BX38" s="197">
        <f t="shared" si="24"/>
        <v>100</v>
      </c>
      <c r="BY38" s="197">
        <f t="shared" si="25"/>
        <v>90</v>
      </c>
      <c r="BZ38" s="197">
        <f t="shared" si="26"/>
        <v>100</v>
      </c>
      <c r="CA38" s="197">
        <f t="shared" si="27"/>
        <v>90</v>
      </c>
      <c r="CC38" s="214"/>
    </row>
    <row r="39" spans="1:81" s="20" customFormat="1" ht="96.75" customHeight="1">
      <c r="A39" s="8">
        <v>67</v>
      </c>
      <c r="B39" s="4" t="s">
        <v>50</v>
      </c>
      <c r="C39" s="4" t="s">
        <v>19</v>
      </c>
      <c r="D39" s="4">
        <v>2</v>
      </c>
      <c r="E39" s="37" t="s">
        <v>232</v>
      </c>
      <c r="F39" s="4" t="s">
        <v>275</v>
      </c>
      <c r="G39" s="11" t="s">
        <v>233</v>
      </c>
      <c r="H39" s="11" t="s">
        <v>486</v>
      </c>
      <c r="I39" s="11" t="s">
        <v>523</v>
      </c>
      <c r="J39" s="27">
        <v>42851</v>
      </c>
      <c r="K39" s="28" t="s">
        <v>10</v>
      </c>
      <c r="L39" s="27">
        <v>42909</v>
      </c>
      <c r="M39" s="5" t="s">
        <v>74</v>
      </c>
      <c r="N39" s="26" t="s">
        <v>524</v>
      </c>
      <c r="O39" s="5" t="s">
        <v>223</v>
      </c>
      <c r="P39" s="5" t="s">
        <v>55</v>
      </c>
      <c r="Q39" s="11" t="s">
        <v>290</v>
      </c>
      <c r="R39" s="11" t="s">
        <v>880</v>
      </c>
      <c r="S39" s="4" t="s">
        <v>1171</v>
      </c>
      <c r="T39" s="11">
        <v>1</v>
      </c>
      <c r="U39" s="11"/>
      <c r="V39" s="124">
        <f>'Estandarización parámetros SJB'!$C$62</f>
        <v>32</v>
      </c>
      <c r="W39" s="124">
        <f>'Estandarización parámetros SJB'!$C$113</f>
        <v>21</v>
      </c>
      <c r="X39" s="112">
        <f>T39*'Estandarización parámetros SJB'!$C$3</f>
        <v>0.018222222222222223</v>
      </c>
      <c r="Y39" s="5"/>
      <c r="Z39" s="34">
        <f>50*1*6/1000</f>
        <v>0.3</v>
      </c>
      <c r="AA39" s="34">
        <f>50*1*6/1000</f>
        <v>0.3</v>
      </c>
      <c r="AB39" s="5">
        <v>30</v>
      </c>
      <c r="AC39" s="5">
        <v>12</v>
      </c>
      <c r="AD39" s="29">
        <f aca="true" t="shared" si="33" ref="AD39:AD44">Z39*AB39*AC39</f>
        <v>108</v>
      </c>
      <c r="AE39" s="29">
        <f t="shared" si="31"/>
        <v>108</v>
      </c>
      <c r="AF39" s="11" t="s">
        <v>1076</v>
      </c>
      <c r="AG39" s="11">
        <v>1</v>
      </c>
      <c r="AH39" s="11"/>
      <c r="AI39" s="39">
        <f>'Estandarización parámetros SJB'!$F$62</f>
        <v>18</v>
      </c>
      <c r="AJ39" s="39">
        <f>'Estandarización parámetros SJB'!$F$113</f>
        <v>14</v>
      </c>
      <c r="AK39" s="112">
        <f>AG39*'Estandarización parámetros SJB'!$F$3</f>
        <v>0.01625</v>
      </c>
      <c r="AL39" s="5"/>
      <c r="AM39" s="34">
        <f>50*1*6/1000</f>
        <v>0.3</v>
      </c>
      <c r="AN39" s="34">
        <f>50*1*6/1000</f>
        <v>0.3</v>
      </c>
      <c r="AO39" s="5">
        <v>30</v>
      </c>
      <c r="AP39" s="5">
        <v>12</v>
      </c>
      <c r="AQ39" s="29">
        <f t="shared" si="30"/>
        <v>108</v>
      </c>
      <c r="AR39" s="81">
        <f t="shared" si="32"/>
        <v>108</v>
      </c>
      <c r="AS39" s="133" t="s">
        <v>1142</v>
      </c>
      <c r="AT39" s="133">
        <v>90</v>
      </c>
      <c r="AU39" s="134">
        <v>90</v>
      </c>
      <c r="AV39" s="137">
        <f t="shared" si="5"/>
        <v>25.400483481063656</v>
      </c>
      <c r="AW39" s="137">
        <f t="shared" si="6"/>
        <v>17.70024174053183</v>
      </c>
      <c r="AX39" s="136">
        <f t="shared" si="7"/>
        <v>0.017236111111111112</v>
      </c>
      <c r="AY39" s="79">
        <v>18</v>
      </c>
      <c r="AZ39" s="125">
        <f t="shared" si="8"/>
        <v>0.028369799999999994</v>
      </c>
      <c r="BA39" s="125">
        <f t="shared" si="9"/>
        <v>0.0197694</v>
      </c>
      <c r="BB39" s="79">
        <v>30</v>
      </c>
      <c r="BC39" s="79">
        <v>12</v>
      </c>
      <c r="BD39" s="125">
        <f t="shared" si="10"/>
        <v>10.213127999999998</v>
      </c>
      <c r="BE39" s="125">
        <f t="shared" si="11"/>
        <v>7.116984</v>
      </c>
      <c r="BF39" s="130">
        <v>90</v>
      </c>
      <c r="BG39" s="130">
        <v>90</v>
      </c>
      <c r="BH39" s="136">
        <f t="shared" si="28"/>
        <v>0.017236111111111112</v>
      </c>
      <c r="BI39" s="130">
        <v>18</v>
      </c>
      <c r="BJ39" s="125">
        <f t="shared" si="12"/>
        <v>0.100521</v>
      </c>
      <c r="BK39" s="125">
        <f t="shared" si="13"/>
        <v>0.100521</v>
      </c>
      <c r="BL39" s="130">
        <v>30</v>
      </c>
      <c r="BM39" s="130">
        <v>12</v>
      </c>
      <c r="BN39" s="142">
        <f t="shared" si="14"/>
        <v>36.18756</v>
      </c>
      <c r="BO39" s="142">
        <f t="shared" si="15"/>
        <v>36.18756</v>
      </c>
      <c r="BP39" s="180">
        <f t="shared" si="16"/>
        <v>23.200343999999998</v>
      </c>
      <c r="BQ39" s="180">
        <f t="shared" si="17"/>
        <v>21.652272</v>
      </c>
      <c r="BR39" s="197">
        <f t="shared" si="18"/>
        <v>40</v>
      </c>
      <c r="BS39" s="197">
        <f t="shared" si="19"/>
        <v>40</v>
      </c>
      <c r="BT39" s="197">
        <f t="shared" si="20"/>
        <v>30</v>
      </c>
      <c r="BU39" s="197">
        <f t="shared" si="21"/>
        <v>30</v>
      </c>
      <c r="BV39" s="197">
        <f t="shared" si="22"/>
        <v>30</v>
      </c>
      <c r="BW39" s="197">
        <f t="shared" si="23"/>
        <v>30</v>
      </c>
      <c r="BX39" s="197">
        <f t="shared" si="24"/>
        <v>30</v>
      </c>
      <c r="BY39" s="197">
        <f t="shared" si="25"/>
        <v>30</v>
      </c>
      <c r="BZ39" s="197">
        <f t="shared" si="26"/>
        <v>30</v>
      </c>
      <c r="CA39" s="197">
        <f t="shared" si="27"/>
        <v>30</v>
      </c>
      <c r="CC39" s="214"/>
    </row>
    <row r="40" spans="1:81" s="20" customFormat="1" ht="60" customHeight="1">
      <c r="A40" s="244">
        <v>68</v>
      </c>
      <c r="B40" s="246" t="s">
        <v>50</v>
      </c>
      <c r="C40" s="246" t="s">
        <v>19</v>
      </c>
      <c r="D40" s="246">
        <v>2</v>
      </c>
      <c r="E40" s="274" t="s">
        <v>234</v>
      </c>
      <c r="F40" s="246" t="s">
        <v>276</v>
      </c>
      <c r="G40" s="258" t="s">
        <v>235</v>
      </c>
      <c r="H40" s="258" t="s">
        <v>486</v>
      </c>
      <c r="I40" s="258" t="s">
        <v>525</v>
      </c>
      <c r="J40" s="263">
        <v>42977</v>
      </c>
      <c r="K40" s="264">
        <v>42963</v>
      </c>
      <c r="L40" s="243" t="s">
        <v>10</v>
      </c>
      <c r="M40" s="243" t="s">
        <v>74</v>
      </c>
      <c r="N40" s="243">
        <v>2022</v>
      </c>
      <c r="O40" s="262" t="s">
        <v>223</v>
      </c>
      <c r="P40" s="262" t="s">
        <v>55</v>
      </c>
      <c r="Q40" s="11" t="s">
        <v>509</v>
      </c>
      <c r="R40" s="11" t="s">
        <v>881</v>
      </c>
      <c r="S40" s="4" t="s">
        <v>1172</v>
      </c>
      <c r="T40" s="11">
        <v>2</v>
      </c>
      <c r="U40" s="96">
        <f>X40/T40</f>
        <v>0.012147058823529414</v>
      </c>
      <c r="V40" s="5">
        <v>83</v>
      </c>
      <c r="W40" s="92">
        <v>22</v>
      </c>
      <c r="X40" s="121">
        <v>0.024294117647058827</v>
      </c>
      <c r="Y40" s="5">
        <v>18</v>
      </c>
      <c r="Z40" s="34">
        <f>X40*V40*Y40*0.0036</f>
        <v>0.1306634823529412</v>
      </c>
      <c r="AA40" s="34">
        <f>X40*W40*Y40*0.0036</f>
        <v>0.034633694117647065</v>
      </c>
      <c r="AB40" s="5">
        <v>30</v>
      </c>
      <c r="AC40" s="5">
        <v>12</v>
      </c>
      <c r="AD40" s="29">
        <f t="shared" si="33"/>
        <v>47.038853647058836</v>
      </c>
      <c r="AE40" s="29">
        <f t="shared" si="31"/>
        <v>12.468129882352944</v>
      </c>
      <c r="AF40" s="11" t="s">
        <v>1078</v>
      </c>
      <c r="AG40" s="11">
        <v>2</v>
      </c>
      <c r="AH40" s="40">
        <f>AK40/AG40</f>
        <v>0.0065</v>
      </c>
      <c r="AI40" s="5">
        <v>38</v>
      </c>
      <c r="AJ40" s="5">
        <v>27</v>
      </c>
      <c r="AK40" s="69">
        <v>0.013</v>
      </c>
      <c r="AL40" s="5">
        <v>18</v>
      </c>
      <c r="AM40" s="34">
        <f>AK40*AI40*AL40*0.0036</f>
        <v>0.0320112</v>
      </c>
      <c r="AN40" s="34">
        <f>AK40*AJ40*AL40*0.0036</f>
        <v>0.0227448</v>
      </c>
      <c r="AO40" s="5">
        <v>30</v>
      </c>
      <c r="AP40" s="5">
        <v>12</v>
      </c>
      <c r="AQ40" s="29">
        <f>AM40*AO40*AP40</f>
        <v>11.524031999999998</v>
      </c>
      <c r="AR40" s="81">
        <f t="shared" si="32"/>
        <v>8.188127999999999</v>
      </c>
      <c r="AS40" s="133" t="s">
        <v>1183</v>
      </c>
      <c r="AT40" s="133" t="s">
        <v>1180</v>
      </c>
      <c r="AU40" s="134">
        <v>100</v>
      </c>
      <c r="AV40" s="137">
        <f t="shared" si="5"/>
        <v>67.31388012618298</v>
      </c>
      <c r="AW40" s="137">
        <f t="shared" si="6"/>
        <v>23.742902208201894</v>
      </c>
      <c r="AX40" s="136">
        <f t="shared" si="7"/>
        <v>0.018647058823529412</v>
      </c>
      <c r="AY40" s="79">
        <v>18</v>
      </c>
      <c r="AZ40" s="125">
        <f t="shared" si="8"/>
        <v>0.08133734117647061</v>
      </c>
      <c r="BA40" s="125">
        <f t="shared" si="9"/>
        <v>0.02868924705882353</v>
      </c>
      <c r="BB40" s="79">
        <v>30</v>
      </c>
      <c r="BC40" s="79">
        <v>12</v>
      </c>
      <c r="BD40" s="125">
        <f t="shared" si="10"/>
        <v>29.281442823529417</v>
      </c>
      <c r="BE40" s="125">
        <f t="shared" si="11"/>
        <v>10.328128941176471</v>
      </c>
      <c r="BF40" s="130">
        <v>90</v>
      </c>
      <c r="BG40" s="130">
        <v>100</v>
      </c>
      <c r="BH40" s="136">
        <f t="shared" si="28"/>
        <v>0.018647058823529412</v>
      </c>
      <c r="BI40" s="130">
        <v>18</v>
      </c>
      <c r="BJ40" s="125">
        <f t="shared" si="12"/>
        <v>0.10874964705882352</v>
      </c>
      <c r="BK40" s="125">
        <f t="shared" si="13"/>
        <v>0.12083294117647057</v>
      </c>
      <c r="BL40" s="130">
        <v>30</v>
      </c>
      <c r="BM40" s="130">
        <v>12</v>
      </c>
      <c r="BN40" s="142">
        <f t="shared" si="14"/>
        <v>39.14987294117647</v>
      </c>
      <c r="BO40" s="142">
        <f t="shared" si="15"/>
        <v>43.49985882352941</v>
      </c>
      <c r="BP40" s="180">
        <f t="shared" si="16"/>
        <v>34.21565788235294</v>
      </c>
      <c r="BQ40" s="180">
        <f t="shared" si="17"/>
        <v>26.91399388235294</v>
      </c>
      <c r="BR40" s="197">
        <f>ROUNDUP(BN40,-1)</f>
        <v>40</v>
      </c>
      <c r="BS40" s="197">
        <f>ROUNDUP(BO40,-1)</f>
        <v>50</v>
      </c>
      <c r="BT40" s="197">
        <f>ROUNDUP(BP40,-1)</f>
        <v>40</v>
      </c>
      <c r="BU40" s="197">
        <f>ROUNDUP(BQ40,-1)</f>
        <v>30</v>
      </c>
      <c r="BV40" s="197">
        <f t="shared" si="22"/>
        <v>40</v>
      </c>
      <c r="BW40" s="197">
        <f t="shared" si="23"/>
        <v>30</v>
      </c>
      <c r="BX40" s="197">
        <f t="shared" si="24"/>
        <v>40</v>
      </c>
      <c r="BY40" s="197">
        <f t="shared" si="25"/>
        <v>30</v>
      </c>
      <c r="BZ40" s="197">
        <f t="shared" si="26"/>
        <v>40</v>
      </c>
      <c r="CA40" s="197">
        <f t="shared" si="27"/>
        <v>30</v>
      </c>
      <c r="CC40" s="214"/>
    </row>
    <row r="41" spans="1:81" s="20" customFormat="1" ht="61.5" customHeight="1">
      <c r="A41" s="244"/>
      <c r="B41" s="246"/>
      <c r="C41" s="246"/>
      <c r="D41" s="246"/>
      <c r="E41" s="274"/>
      <c r="F41" s="246"/>
      <c r="G41" s="258"/>
      <c r="H41" s="258"/>
      <c r="I41" s="262"/>
      <c r="J41" s="263"/>
      <c r="K41" s="243"/>
      <c r="L41" s="243"/>
      <c r="M41" s="243"/>
      <c r="N41" s="243"/>
      <c r="O41" s="262"/>
      <c r="P41" s="262"/>
      <c r="Q41" s="11" t="s">
        <v>353</v>
      </c>
      <c r="R41" s="11" t="s">
        <v>882</v>
      </c>
      <c r="S41" s="11" t="s">
        <v>1173</v>
      </c>
      <c r="T41" s="11">
        <v>2</v>
      </c>
      <c r="U41" s="96">
        <f>X41/T41</f>
        <v>0.02673529411764707</v>
      </c>
      <c r="V41" s="5">
        <v>65</v>
      </c>
      <c r="W41" s="92">
        <v>32</v>
      </c>
      <c r="X41" s="121">
        <v>0.05347058823529414</v>
      </c>
      <c r="Y41" s="5">
        <v>18</v>
      </c>
      <c r="Z41" s="34">
        <f>X41*V41*Y41*0.0036</f>
        <v>0.2252181176470589</v>
      </c>
      <c r="AA41" s="34">
        <f>X41*W41*Y41*0.0036</f>
        <v>0.11087661176470592</v>
      </c>
      <c r="AB41" s="5">
        <v>30</v>
      </c>
      <c r="AC41" s="5">
        <v>12</v>
      </c>
      <c r="AD41" s="29">
        <f t="shared" si="33"/>
        <v>81.0785223529412</v>
      </c>
      <c r="AE41" s="29">
        <f t="shared" si="31"/>
        <v>39.91558023529413</v>
      </c>
      <c r="AF41" s="11" t="s">
        <v>1077</v>
      </c>
      <c r="AG41" s="11">
        <v>2</v>
      </c>
      <c r="AH41" s="40">
        <f>AK41/AG41</f>
        <v>0.019</v>
      </c>
      <c r="AI41" s="186">
        <f>'Estandarización parámetros SJB'!$F$62</f>
        <v>18</v>
      </c>
      <c r="AJ41" s="5">
        <v>79</v>
      </c>
      <c r="AK41" s="69">
        <v>0.038</v>
      </c>
      <c r="AL41" s="5">
        <v>18</v>
      </c>
      <c r="AM41" s="34">
        <f>AK41*AI41*AL41*0.0036</f>
        <v>0.04432319999999999</v>
      </c>
      <c r="AN41" s="34">
        <f>AK41*AJ41*AL41*0.0036</f>
        <v>0.19452959999999997</v>
      </c>
      <c r="AO41" s="5">
        <v>30</v>
      </c>
      <c r="AP41" s="5">
        <v>12</v>
      </c>
      <c r="AQ41" s="29">
        <f>AM41*AO41*AP41</f>
        <v>15.956351999999997</v>
      </c>
      <c r="AR41" s="81">
        <f t="shared" si="32"/>
        <v>70.030656</v>
      </c>
      <c r="AS41" s="140"/>
      <c r="AT41" s="140"/>
      <c r="AU41" s="140"/>
      <c r="AV41" s="137">
        <f t="shared" si="5"/>
        <v>45.47459807073955</v>
      </c>
      <c r="AW41" s="137">
        <f t="shared" si="6"/>
        <v>51.52540192926044</v>
      </c>
      <c r="AX41" s="136">
        <f t="shared" si="7"/>
        <v>0.04573529411764707</v>
      </c>
      <c r="AY41" s="79">
        <v>18</v>
      </c>
      <c r="AZ41" s="125">
        <f t="shared" si="8"/>
        <v>0.13477065882352943</v>
      </c>
      <c r="BA41" s="125">
        <f t="shared" si="9"/>
        <v>0.15270310588235292</v>
      </c>
      <c r="BB41" s="79">
        <v>30</v>
      </c>
      <c r="BC41" s="79">
        <v>12</v>
      </c>
      <c r="BD41" s="125">
        <f t="shared" si="10"/>
        <v>48.517437176470594</v>
      </c>
      <c r="BE41" s="125">
        <f t="shared" si="11"/>
        <v>54.97311811764705</v>
      </c>
      <c r="BF41" s="130">
        <v>90</v>
      </c>
      <c r="BG41" s="130">
        <v>100</v>
      </c>
      <c r="BH41" s="136">
        <f t="shared" si="28"/>
        <v>0.04573529411764707</v>
      </c>
      <c r="BI41" s="130">
        <v>18</v>
      </c>
      <c r="BJ41" s="125">
        <f t="shared" si="12"/>
        <v>0.2667282352941177</v>
      </c>
      <c r="BK41" s="125">
        <f t="shared" si="13"/>
        <v>0.296364705882353</v>
      </c>
      <c r="BL41" s="130">
        <v>30</v>
      </c>
      <c r="BM41" s="130">
        <v>12</v>
      </c>
      <c r="BN41" s="142">
        <f t="shared" si="14"/>
        <v>96.02216470588237</v>
      </c>
      <c r="BO41" s="142">
        <f t="shared" si="15"/>
        <v>106.69129411764706</v>
      </c>
      <c r="BP41" s="180">
        <f t="shared" si="16"/>
        <v>72.26980094117648</v>
      </c>
      <c r="BQ41" s="180">
        <f t="shared" si="17"/>
        <v>80.83220611764705</v>
      </c>
      <c r="BR41" s="197">
        <f>ROUNDUP(BN41,-1)</f>
        <v>100</v>
      </c>
      <c r="BS41" s="197">
        <f>ROUNDUP(BO41,-1)</f>
        <v>110</v>
      </c>
      <c r="BT41" s="197">
        <f t="shared" si="20"/>
        <v>80</v>
      </c>
      <c r="BU41" s="197">
        <f t="shared" si="21"/>
        <v>90</v>
      </c>
      <c r="BV41" s="197">
        <f t="shared" si="22"/>
        <v>80</v>
      </c>
      <c r="BW41" s="197">
        <f t="shared" si="23"/>
        <v>90</v>
      </c>
      <c r="BX41" s="197">
        <f t="shared" si="24"/>
        <v>80</v>
      </c>
      <c r="BY41" s="197">
        <f t="shared" si="25"/>
        <v>90</v>
      </c>
      <c r="BZ41" s="197">
        <f t="shared" si="26"/>
        <v>80</v>
      </c>
      <c r="CA41" s="197">
        <f t="shared" si="27"/>
        <v>90</v>
      </c>
      <c r="CC41" s="214"/>
    </row>
    <row r="42" spans="1:81" s="20" customFormat="1" ht="107.25" customHeight="1">
      <c r="A42" s="8">
        <v>69</v>
      </c>
      <c r="B42" s="4" t="s">
        <v>50</v>
      </c>
      <c r="C42" s="4" t="s">
        <v>19</v>
      </c>
      <c r="D42" s="4">
        <v>2</v>
      </c>
      <c r="E42" s="37" t="s">
        <v>242</v>
      </c>
      <c r="F42" s="4" t="s">
        <v>281</v>
      </c>
      <c r="G42" s="11" t="s">
        <v>21</v>
      </c>
      <c r="H42" s="11" t="s">
        <v>11</v>
      </c>
      <c r="I42" s="26" t="s">
        <v>67</v>
      </c>
      <c r="J42" s="26" t="s">
        <v>67</v>
      </c>
      <c r="K42" s="26" t="s">
        <v>67</v>
      </c>
      <c r="L42" s="26" t="s">
        <v>67</v>
      </c>
      <c r="M42" s="26" t="s">
        <v>67</v>
      </c>
      <c r="N42" s="26" t="s">
        <v>67</v>
      </c>
      <c r="O42" s="5" t="s">
        <v>51</v>
      </c>
      <c r="P42" s="5" t="s">
        <v>55</v>
      </c>
      <c r="Q42" s="11" t="s">
        <v>749</v>
      </c>
      <c r="R42" s="11" t="s">
        <v>883</v>
      </c>
      <c r="S42" s="4" t="s">
        <v>1162</v>
      </c>
      <c r="T42" s="11">
        <v>4</v>
      </c>
      <c r="U42" s="11"/>
      <c r="V42" s="124">
        <f>'Estandarización parámetros SJB'!$C$62</f>
        <v>32</v>
      </c>
      <c r="W42" s="124">
        <f>'Estandarización parámetros SJB'!$C$113</f>
        <v>21</v>
      </c>
      <c r="X42" s="112">
        <f>T42*'Estandarización parámetros SJB'!$C$3</f>
        <v>0.07288888888888889</v>
      </c>
      <c r="Y42" s="5"/>
      <c r="Z42" s="5">
        <f aca="true" t="shared" si="34" ref="Z42:AA44">(50*4*4)/1000</f>
        <v>0.8</v>
      </c>
      <c r="AA42" s="5">
        <f t="shared" si="34"/>
        <v>0.8</v>
      </c>
      <c r="AB42" s="5">
        <v>30</v>
      </c>
      <c r="AC42" s="5">
        <v>12</v>
      </c>
      <c r="AD42" s="29">
        <f t="shared" si="33"/>
        <v>288</v>
      </c>
      <c r="AE42" s="29">
        <f t="shared" si="31"/>
        <v>288</v>
      </c>
      <c r="AF42" s="11" t="s">
        <v>1069</v>
      </c>
      <c r="AG42" s="11">
        <v>4</v>
      </c>
      <c r="AH42" s="11"/>
      <c r="AI42" s="39">
        <f>'Estandarización parámetros SJB'!$F$62</f>
        <v>18</v>
      </c>
      <c r="AJ42" s="39">
        <f>'Estandarización parámetros SJB'!$F$113</f>
        <v>14</v>
      </c>
      <c r="AK42" s="112">
        <f>AG42*'Estandarización parámetros SJB'!$F$3</f>
        <v>0.065</v>
      </c>
      <c r="AL42" s="5"/>
      <c r="AM42" s="5">
        <f>(50*4*4)/1000</f>
        <v>0.8</v>
      </c>
      <c r="AN42" s="5">
        <f>(50*4*4)/1000</f>
        <v>0.8</v>
      </c>
      <c r="AO42" s="5">
        <v>30</v>
      </c>
      <c r="AP42" s="5">
        <v>12</v>
      </c>
      <c r="AQ42" s="29">
        <f>AM42*AO42*AP42</f>
        <v>288</v>
      </c>
      <c r="AR42" s="81">
        <f t="shared" si="32"/>
        <v>288</v>
      </c>
      <c r="AS42" s="140"/>
      <c r="AT42" s="140"/>
      <c r="AU42" s="140"/>
      <c r="AV42" s="137">
        <f t="shared" si="5"/>
        <v>25.400483481063656</v>
      </c>
      <c r="AW42" s="137">
        <f t="shared" si="6"/>
        <v>17.70024174053183</v>
      </c>
      <c r="AX42" s="136">
        <f t="shared" si="7"/>
        <v>0.06894444444444445</v>
      </c>
      <c r="AY42" s="79">
        <v>18</v>
      </c>
      <c r="AZ42" s="125">
        <f t="shared" si="8"/>
        <v>0.11347919999999997</v>
      </c>
      <c r="BA42" s="125">
        <f t="shared" si="9"/>
        <v>0.0790776</v>
      </c>
      <c r="BB42" s="79">
        <v>30</v>
      </c>
      <c r="BC42" s="79">
        <v>12</v>
      </c>
      <c r="BD42" s="125">
        <f t="shared" si="10"/>
        <v>40.85251199999999</v>
      </c>
      <c r="BE42" s="125">
        <f t="shared" si="11"/>
        <v>28.467936</v>
      </c>
      <c r="BF42" s="130">
        <v>90</v>
      </c>
      <c r="BG42" s="130">
        <v>90</v>
      </c>
      <c r="BH42" s="136">
        <f t="shared" si="28"/>
        <v>0.06894444444444445</v>
      </c>
      <c r="BI42" s="130">
        <v>18</v>
      </c>
      <c r="BJ42" s="125">
        <f t="shared" si="12"/>
        <v>0.402084</v>
      </c>
      <c r="BK42" s="125">
        <f t="shared" si="13"/>
        <v>0.402084</v>
      </c>
      <c r="BL42" s="130">
        <v>30</v>
      </c>
      <c r="BM42" s="130">
        <v>12</v>
      </c>
      <c r="BN42" s="142">
        <f t="shared" si="14"/>
        <v>144.75024</v>
      </c>
      <c r="BO42" s="142">
        <f t="shared" si="15"/>
        <v>144.75024</v>
      </c>
      <c r="BP42" s="180">
        <f t="shared" si="16"/>
        <v>92.80137599999999</v>
      </c>
      <c r="BQ42" s="180">
        <f t="shared" si="17"/>
        <v>86.609088</v>
      </c>
      <c r="BR42" s="197">
        <f t="shared" si="18"/>
        <v>150</v>
      </c>
      <c r="BS42" s="197">
        <f t="shared" si="19"/>
        <v>150</v>
      </c>
      <c r="BT42" s="197">
        <f t="shared" si="20"/>
        <v>100</v>
      </c>
      <c r="BU42" s="197">
        <f t="shared" si="21"/>
        <v>90</v>
      </c>
      <c r="BV42" s="197">
        <f t="shared" si="22"/>
        <v>100</v>
      </c>
      <c r="BW42" s="197">
        <f t="shared" si="23"/>
        <v>90</v>
      </c>
      <c r="BX42" s="197">
        <f t="shared" si="24"/>
        <v>100</v>
      </c>
      <c r="BY42" s="197">
        <f t="shared" si="25"/>
        <v>90</v>
      </c>
      <c r="BZ42" s="197">
        <f t="shared" si="26"/>
        <v>100</v>
      </c>
      <c r="CA42" s="197">
        <f t="shared" si="27"/>
        <v>90</v>
      </c>
      <c r="CC42" s="214"/>
    </row>
    <row r="43" spans="1:81" s="20" customFormat="1" ht="103.5" customHeight="1">
      <c r="A43" s="8">
        <v>70</v>
      </c>
      <c r="B43" s="4" t="s">
        <v>50</v>
      </c>
      <c r="C43" s="4" t="s">
        <v>19</v>
      </c>
      <c r="D43" s="4">
        <v>2</v>
      </c>
      <c r="E43" s="37" t="s">
        <v>243</v>
      </c>
      <c r="F43" s="4" t="s">
        <v>282</v>
      </c>
      <c r="G43" s="11" t="s">
        <v>244</v>
      </c>
      <c r="H43" s="11" t="s">
        <v>11</v>
      </c>
      <c r="I43" s="26" t="s">
        <v>67</v>
      </c>
      <c r="J43" s="26" t="s">
        <v>67</v>
      </c>
      <c r="K43" s="26" t="s">
        <v>67</v>
      </c>
      <c r="L43" s="26" t="s">
        <v>67</v>
      </c>
      <c r="M43" s="26" t="s">
        <v>67</v>
      </c>
      <c r="N43" s="26" t="s">
        <v>67</v>
      </c>
      <c r="O43" s="5" t="s">
        <v>51</v>
      </c>
      <c r="P43" s="5" t="s">
        <v>55</v>
      </c>
      <c r="Q43" s="11" t="s">
        <v>750</v>
      </c>
      <c r="R43" s="11" t="s">
        <v>884</v>
      </c>
      <c r="S43" s="4" t="s">
        <v>1162</v>
      </c>
      <c r="T43" s="11">
        <v>4</v>
      </c>
      <c r="U43" s="11"/>
      <c r="V43" s="124">
        <f>'Estandarización parámetros SJB'!$C$62</f>
        <v>32</v>
      </c>
      <c r="W43" s="124">
        <f>'Estandarización parámetros SJB'!$C$113</f>
        <v>21</v>
      </c>
      <c r="X43" s="112">
        <f>T43*'Estandarización parámetros SJB'!$C$3</f>
        <v>0.07288888888888889</v>
      </c>
      <c r="Y43" s="5"/>
      <c r="Z43" s="5">
        <f t="shared" si="34"/>
        <v>0.8</v>
      </c>
      <c r="AA43" s="5">
        <f t="shared" si="34"/>
        <v>0.8</v>
      </c>
      <c r="AB43" s="5">
        <v>30</v>
      </c>
      <c r="AC43" s="5">
        <v>12</v>
      </c>
      <c r="AD43" s="29">
        <f t="shared" si="33"/>
        <v>288</v>
      </c>
      <c r="AE43" s="29">
        <f t="shared" si="31"/>
        <v>288</v>
      </c>
      <c r="AF43" s="11" t="s">
        <v>1069</v>
      </c>
      <c r="AG43" s="11">
        <v>4</v>
      </c>
      <c r="AH43" s="11"/>
      <c r="AI43" s="39">
        <f>'Estandarización parámetros SJB'!$F$62</f>
        <v>18</v>
      </c>
      <c r="AJ43" s="39">
        <f>'Estandarización parámetros SJB'!$F$113</f>
        <v>14</v>
      </c>
      <c r="AK43" s="112">
        <f>AG43*'Estandarización parámetros SJB'!$F$3</f>
        <v>0.065</v>
      </c>
      <c r="AL43" s="5"/>
      <c r="AM43" s="5">
        <f>(50*4*4)/1000</f>
        <v>0.8</v>
      </c>
      <c r="AN43" s="5">
        <f>(50*4*4)/1000</f>
        <v>0.8</v>
      </c>
      <c r="AO43" s="5">
        <v>30</v>
      </c>
      <c r="AP43" s="5">
        <v>12</v>
      </c>
      <c r="AQ43" s="29">
        <f>AM43*AO43*AP43</f>
        <v>288</v>
      </c>
      <c r="AR43" s="81">
        <f t="shared" si="32"/>
        <v>288</v>
      </c>
      <c r="AS43" s="140"/>
      <c r="AT43" s="140"/>
      <c r="AU43" s="140"/>
      <c r="AV43" s="137">
        <f t="shared" si="5"/>
        <v>25.400483481063656</v>
      </c>
      <c r="AW43" s="137">
        <f t="shared" si="6"/>
        <v>17.70024174053183</v>
      </c>
      <c r="AX43" s="136">
        <f t="shared" si="7"/>
        <v>0.06894444444444445</v>
      </c>
      <c r="AY43" s="79">
        <v>18</v>
      </c>
      <c r="AZ43" s="125">
        <f t="shared" si="8"/>
        <v>0.11347919999999997</v>
      </c>
      <c r="BA43" s="125">
        <f t="shared" si="9"/>
        <v>0.0790776</v>
      </c>
      <c r="BB43" s="79">
        <v>30</v>
      </c>
      <c r="BC43" s="79">
        <v>12</v>
      </c>
      <c r="BD43" s="125">
        <f t="shared" si="10"/>
        <v>40.85251199999999</v>
      </c>
      <c r="BE43" s="125">
        <f t="shared" si="11"/>
        <v>28.467936</v>
      </c>
      <c r="BF43" s="130">
        <v>90</v>
      </c>
      <c r="BG43" s="130">
        <v>90</v>
      </c>
      <c r="BH43" s="136">
        <f t="shared" si="28"/>
        <v>0.06894444444444445</v>
      </c>
      <c r="BI43" s="130">
        <v>18</v>
      </c>
      <c r="BJ43" s="125">
        <f t="shared" si="12"/>
        <v>0.402084</v>
      </c>
      <c r="BK43" s="125">
        <f t="shared" si="13"/>
        <v>0.402084</v>
      </c>
      <c r="BL43" s="130">
        <v>30</v>
      </c>
      <c r="BM43" s="130">
        <v>12</v>
      </c>
      <c r="BN43" s="142">
        <f t="shared" si="14"/>
        <v>144.75024</v>
      </c>
      <c r="BO43" s="142">
        <f t="shared" si="15"/>
        <v>144.75024</v>
      </c>
      <c r="BP43" s="180">
        <f t="shared" si="16"/>
        <v>92.80137599999999</v>
      </c>
      <c r="BQ43" s="180">
        <f t="shared" si="17"/>
        <v>86.609088</v>
      </c>
      <c r="BR43" s="197">
        <f t="shared" si="18"/>
        <v>150</v>
      </c>
      <c r="BS43" s="197">
        <f t="shared" si="19"/>
        <v>150</v>
      </c>
      <c r="BT43" s="197">
        <f t="shared" si="20"/>
        <v>100</v>
      </c>
      <c r="BU43" s="197">
        <f t="shared" si="21"/>
        <v>90</v>
      </c>
      <c r="BV43" s="197">
        <f t="shared" si="22"/>
        <v>100</v>
      </c>
      <c r="BW43" s="197">
        <f t="shared" si="23"/>
        <v>90</v>
      </c>
      <c r="BX43" s="197">
        <f t="shared" si="24"/>
        <v>100</v>
      </c>
      <c r="BY43" s="197">
        <f t="shared" si="25"/>
        <v>90</v>
      </c>
      <c r="BZ43" s="197">
        <f t="shared" si="26"/>
        <v>100</v>
      </c>
      <c r="CA43" s="197">
        <f t="shared" si="27"/>
        <v>90</v>
      </c>
      <c r="CC43" s="214"/>
    </row>
    <row r="44" spans="1:81" s="20" customFormat="1" ht="102.75" customHeight="1">
      <c r="A44" s="8">
        <v>71</v>
      </c>
      <c r="B44" s="4" t="s">
        <v>50</v>
      </c>
      <c r="C44" s="4" t="s">
        <v>19</v>
      </c>
      <c r="D44" s="4">
        <v>2</v>
      </c>
      <c r="E44" s="37" t="s">
        <v>677</v>
      </c>
      <c r="F44" s="4" t="s">
        <v>368</v>
      </c>
      <c r="G44" s="11" t="s">
        <v>459</v>
      </c>
      <c r="H44" s="11" t="s">
        <v>227</v>
      </c>
      <c r="I44" s="24" t="s">
        <v>534</v>
      </c>
      <c r="J44" s="43">
        <v>43865</v>
      </c>
      <c r="K44" s="45">
        <v>44033</v>
      </c>
      <c r="L44" s="24" t="s">
        <v>10</v>
      </c>
      <c r="M44" s="26" t="s">
        <v>74</v>
      </c>
      <c r="N44" s="26">
        <v>2025</v>
      </c>
      <c r="O44" s="5" t="s">
        <v>51</v>
      </c>
      <c r="P44" s="5" t="s">
        <v>55</v>
      </c>
      <c r="Q44" s="11" t="s">
        <v>751</v>
      </c>
      <c r="R44" s="11" t="s">
        <v>885</v>
      </c>
      <c r="S44" s="4" t="s">
        <v>1162</v>
      </c>
      <c r="T44" s="11">
        <v>4</v>
      </c>
      <c r="U44" s="11"/>
      <c r="V44" s="124">
        <f>'Estandarización parámetros SJB'!$C$62</f>
        <v>32</v>
      </c>
      <c r="W44" s="124">
        <f>'Estandarización parámetros SJB'!$C$113</f>
        <v>21</v>
      </c>
      <c r="X44" s="112">
        <f>T44*'Estandarización parámetros SJB'!$C$3</f>
        <v>0.07288888888888889</v>
      </c>
      <c r="Y44" s="5"/>
      <c r="Z44" s="5">
        <f t="shared" si="34"/>
        <v>0.8</v>
      </c>
      <c r="AA44" s="5">
        <f t="shared" si="34"/>
        <v>0.8</v>
      </c>
      <c r="AB44" s="5">
        <v>30</v>
      </c>
      <c r="AC44" s="5">
        <v>12</v>
      </c>
      <c r="AD44" s="29">
        <f t="shared" si="33"/>
        <v>288</v>
      </c>
      <c r="AE44" s="29">
        <f t="shared" si="31"/>
        <v>288</v>
      </c>
      <c r="AF44" s="11" t="s">
        <v>1079</v>
      </c>
      <c r="AG44" s="11">
        <v>4</v>
      </c>
      <c r="AH44" s="40">
        <f>AK44/AG44</f>
        <v>0.00875</v>
      </c>
      <c r="AI44" s="5">
        <v>13</v>
      </c>
      <c r="AJ44" s="5">
        <v>5</v>
      </c>
      <c r="AK44" s="5">
        <v>0.035</v>
      </c>
      <c r="AL44" s="5">
        <v>18</v>
      </c>
      <c r="AM44" s="7">
        <f>AK44*AI44*AL44*0.0036</f>
        <v>0.029484000000000003</v>
      </c>
      <c r="AN44" s="7">
        <f>AL44*AJ44*AK44*0.0036</f>
        <v>0.011340000000000001</v>
      </c>
      <c r="AO44" s="5">
        <v>30</v>
      </c>
      <c r="AP44" s="5">
        <v>12</v>
      </c>
      <c r="AQ44" s="29">
        <f>AM44*AO44*AP44</f>
        <v>10.61424</v>
      </c>
      <c r="AR44" s="81">
        <f t="shared" si="32"/>
        <v>4.082400000000001</v>
      </c>
      <c r="AS44" s="133" t="s">
        <v>1142</v>
      </c>
      <c r="AT44" s="133">
        <v>90</v>
      </c>
      <c r="AU44" s="134">
        <v>90</v>
      </c>
      <c r="AV44" s="137">
        <f t="shared" si="5"/>
        <v>25.836251287332647</v>
      </c>
      <c r="AW44" s="137">
        <f t="shared" si="6"/>
        <v>15.809474768280126</v>
      </c>
      <c r="AX44" s="136">
        <f t="shared" si="7"/>
        <v>0.05394444444444445</v>
      </c>
      <c r="AY44" s="79">
        <v>18</v>
      </c>
      <c r="AZ44" s="125">
        <f t="shared" si="8"/>
        <v>0.09031320000000001</v>
      </c>
      <c r="BA44" s="125">
        <f t="shared" si="9"/>
        <v>0.05526360000000001</v>
      </c>
      <c r="BB44" s="79">
        <v>30</v>
      </c>
      <c r="BC44" s="79">
        <v>12</v>
      </c>
      <c r="BD44" s="125">
        <f t="shared" si="10"/>
        <v>32.512752000000006</v>
      </c>
      <c r="BE44" s="125">
        <f t="shared" si="11"/>
        <v>19.894896000000003</v>
      </c>
      <c r="BF44" s="130">
        <v>90</v>
      </c>
      <c r="BG44" s="130">
        <v>90</v>
      </c>
      <c r="BH44" s="136">
        <f t="shared" si="28"/>
        <v>0.05394444444444445</v>
      </c>
      <c r="BI44" s="130">
        <v>18</v>
      </c>
      <c r="BJ44" s="125">
        <f t="shared" si="12"/>
        <v>0.31460400000000005</v>
      </c>
      <c r="BK44" s="125">
        <f t="shared" si="13"/>
        <v>0.31460400000000005</v>
      </c>
      <c r="BL44" s="130">
        <v>30</v>
      </c>
      <c r="BM44" s="130">
        <v>12</v>
      </c>
      <c r="BN44" s="142">
        <f t="shared" si="14"/>
        <v>113.25744000000002</v>
      </c>
      <c r="BO44" s="142">
        <f t="shared" si="15"/>
        <v>113.25744000000002</v>
      </c>
      <c r="BP44" s="180">
        <f t="shared" si="16"/>
        <v>72.885096</v>
      </c>
      <c r="BQ44" s="180">
        <f t="shared" si="17"/>
        <v>66.57616800000001</v>
      </c>
      <c r="BR44" s="197">
        <f t="shared" si="18"/>
        <v>120</v>
      </c>
      <c r="BS44" s="197">
        <f t="shared" si="19"/>
        <v>120</v>
      </c>
      <c r="BT44" s="197">
        <f t="shared" si="20"/>
        <v>80</v>
      </c>
      <c r="BU44" s="197">
        <f t="shared" si="21"/>
        <v>70</v>
      </c>
      <c r="BV44" s="197">
        <f t="shared" si="22"/>
        <v>80</v>
      </c>
      <c r="BW44" s="197">
        <f t="shared" si="23"/>
        <v>70</v>
      </c>
      <c r="BX44" s="197">
        <f t="shared" si="24"/>
        <v>80</v>
      </c>
      <c r="BY44" s="197">
        <f t="shared" si="25"/>
        <v>70</v>
      </c>
      <c r="BZ44" s="197">
        <f t="shared" si="26"/>
        <v>80</v>
      </c>
      <c r="CA44" s="197">
        <f t="shared" si="27"/>
        <v>70</v>
      </c>
      <c r="CC44" s="214"/>
    </row>
    <row r="45" spans="1:81" s="20" customFormat="1" ht="70.5" customHeight="1">
      <c r="A45" s="8">
        <v>72</v>
      </c>
      <c r="B45" s="4" t="s">
        <v>50</v>
      </c>
      <c r="C45" s="4" t="s">
        <v>19</v>
      </c>
      <c r="D45" s="4">
        <v>2</v>
      </c>
      <c r="E45" s="37" t="s">
        <v>270</v>
      </c>
      <c r="F45" s="4" t="s">
        <v>271</v>
      </c>
      <c r="G45" s="24" t="s">
        <v>21</v>
      </c>
      <c r="H45" s="24" t="s">
        <v>11</v>
      </c>
      <c r="I45" s="26" t="s">
        <v>67</v>
      </c>
      <c r="J45" s="26" t="s">
        <v>67</v>
      </c>
      <c r="K45" s="26" t="s">
        <v>67</v>
      </c>
      <c r="L45" s="26" t="s">
        <v>67</v>
      </c>
      <c r="M45" s="26" t="s">
        <v>67</v>
      </c>
      <c r="N45" s="26" t="s">
        <v>67</v>
      </c>
      <c r="O45" s="5" t="s">
        <v>51</v>
      </c>
      <c r="P45" s="5" t="s">
        <v>55</v>
      </c>
      <c r="Q45" s="11" t="s">
        <v>354</v>
      </c>
      <c r="R45" s="11" t="s">
        <v>886</v>
      </c>
      <c r="S45" s="4" t="s">
        <v>1174</v>
      </c>
      <c r="T45" s="75">
        <v>4</v>
      </c>
      <c r="U45" s="96">
        <f>X45/T45</f>
        <v>0.00575</v>
      </c>
      <c r="V45" s="5">
        <v>16</v>
      </c>
      <c r="W45" s="5">
        <v>5</v>
      </c>
      <c r="X45" s="38">
        <v>0.023</v>
      </c>
      <c r="Y45" s="5">
        <v>18</v>
      </c>
      <c r="Z45" s="7">
        <f>X45*V45*Y45*0.0036</f>
        <v>0.023846399999999997</v>
      </c>
      <c r="AA45" s="7">
        <f>X45*W45*Y45*0.0036</f>
        <v>0.007451999999999999</v>
      </c>
      <c r="AB45" s="8">
        <v>30</v>
      </c>
      <c r="AC45" s="8">
        <v>12</v>
      </c>
      <c r="AD45" s="13">
        <f aca="true" t="shared" si="35" ref="AD45:AD62">Z45*AB45*AC45</f>
        <v>8.584703999999999</v>
      </c>
      <c r="AE45" s="13">
        <f aca="true" t="shared" si="36" ref="AE45:AE62">AA45*AB45*AC45</f>
        <v>2.6827199999999998</v>
      </c>
      <c r="AF45" s="75" t="s">
        <v>1080</v>
      </c>
      <c r="AG45" s="75">
        <v>4</v>
      </c>
      <c r="AH45" s="40">
        <f>AK45/AG45</f>
        <v>0.00575</v>
      </c>
      <c r="AI45" s="5">
        <v>16</v>
      </c>
      <c r="AJ45" s="5">
        <v>5</v>
      </c>
      <c r="AK45" s="38">
        <v>0.023</v>
      </c>
      <c r="AL45" s="5">
        <v>18</v>
      </c>
      <c r="AM45" s="7">
        <f>AK45*AI45*AL45*0.0036</f>
        <v>0.023846399999999997</v>
      </c>
      <c r="AN45" s="7">
        <f>AK45*AJ45*AL45*0.0036</f>
        <v>0.007451999999999999</v>
      </c>
      <c r="AO45" s="8">
        <v>30</v>
      </c>
      <c r="AP45" s="8">
        <v>12</v>
      </c>
      <c r="AQ45" s="13">
        <f aca="true" t="shared" si="37" ref="AQ45:AQ62">AM45*AO45*AP45</f>
        <v>8.584703999999999</v>
      </c>
      <c r="AR45" s="80">
        <f aca="true" t="shared" si="38" ref="AR45:AR62">AN45*AO45*AP45</f>
        <v>2.6827199999999998</v>
      </c>
      <c r="AS45" s="140"/>
      <c r="AT45" s="140"/>
      <c r="AU45" s="140"/>
      <c r="AV45" s="137">
        <f t="shared" si="5"/>
        <v>16</v>
      </c>
      <c r="AW45" s="137">
        <f t="shared" si="6"/>
        <v>5</v>
      </c>
      <c r="AX45" s="136">
        <f t="shared" si="7"/>
        <v>0.023</v>
      </c>
      <c r="AY45" s="79">
        <v>18</v>
      </c>
      <c r="AZ45" s="125">
        <f t="shared" si="8"/>
        <v>0.023846399999999997</v>
      </c>
      <c r="BA45" s="125">
        <f t="shared" si="9"/>
        <v>0.007451999999999999</v>
      </c>
      <c r="BB45" s="79">
        <v>30</v>
      </c>
      <c r="BC45" s="79">
        <v>12</v>
      </c>
      <c r="BD45" s="125">
        <f t="shared" si="10"/>
        <v>8.584703999999999</v>
      </c>
      <c r="BE45" s="125">
        <f t="shared" si="11"/>
        <v>2.6827199999999998</v>
      </c>
      <c r="BF45" s="130">
        <v>90</v>
      </c>
      <c r="BG45" s="130">
        <v>90</v>
      </c>
      <c r="BH45" s="136">
        <f t="shared" si="28"/>
        <v>0.023</v>
      </c>
      <c r="BI45" s="130">
        <v>18</v>
      </c>
      <c r="BJ45" s="125">
        <f t="shared" si="12"/>
        <v>0.13413599999999998</v>
      </c>
      <c r="BK45" s="125">
        <f t="shared" si="13"/>
        <v>0.13413599999999998</v>
      </c>
      <c r="BL45" s="130">
        <v>30</v>
      </c>
      <c r="BM45" s="130">
        <v>12</v>
      </c>
      <c r="BN45" s="142">
        <f t="shared" si="14"/>
        <v>48.288959999999996</v>
      </c>
      <c r="BO45" s="142">
        <f t="shared" si="15"/>
        <v>48.288959999999996</v>
      </c>
      <c r="BP45" s="180">
        <f t="shared" si="16"/>
        <v>28.436831999999995</v>
      </c>
      <c r="BQ45" s="180">
        <f t="shared" si="17"/>
        <v>25.485839999999996</v>
      </c>
      <c r="BR45" s="197">
        <f t="shared" si="18"/>
        <v>50</v>
      </c>
      <c r="BS45" s="197">
        <f t="shared" si="19"/>
        <v>50</v>
      </c>
      <c r="BT45" s="197">
        <f t="shared" si="20"/>
        <v>30</v>
      </c>
      <c r="BU45" s="197">
        <f t="shared" si="21"/>
        <v>30</v>
      </c>
      <c r="BV45" s="197">
        <f t="shared" si="22"/>
        <v>30</v>
      </c>
      <c r="BW45" s="197">
        <f t="shared" si="23"/>
        <v>30</v>
      </c>
      <c r="BX45" s="197">
        <f t="shared" si="24"/>
        <v>30</v>
      </c>
      <c r="BY45" s="197">
        <f t="shared" si="25"/>
        <v>30</v>
      </c>
      <c r="BZ45" s="197">
        <f t="shared" si="26"/>
        <v>30</v>
      </c>
      <c r="CA45" s="197">
        <f t="shared" si="27"/>
        <v>30</v>
      </c>
      <c r="CC45" s="214"/>
    </row>
    <row r="46" spans="1:81" s="20" customFormat="1" ht="102.75" customHeight="1">
      <c r="A46" s="8">
        <v>73</v>
      </c>
      <c r="B46" s="4" t="s">
        <v>50</v>
      </c>
      <c r="C46" s="4" t="s">
        <v>19</v>
      </c>
      <c r="D46" s="4">
        <v>2</v>
      </c>
      <c r="E46" s="37" t="s">
        <v>287</v>
      </c>
      <c r="F46" s="4" t="s">
        <v>288</v>
      </c>
      <c r="G46" s="11" t="s">
        <v>379</v>
      </c>
      <c r="H46" s="11" t="s">
        <v>227</v>
      </c>
      <c r="I46" s="24" t="s">
        <v>536</v>
      </c>
      <c r="J46" s="27">
        <v>43816</v>
      </c>
      <c r="K46" s="28">
        <v>43826</v>
      </c>
      <c r="L46" s="26" t="s">
        <v>10</v>
      </c>
      <c r="M46" s="26" t="s">
        <v>74</v>
      </c>
      <c r="N46" s="26">
        <v>2025</v>
      </c>
      <c r="O46" s="5" t="s">
        <v>51</v>
      </c>
      <c r="P46" s="5" t="s">
        <v>55</v>
      </c>
      <c r="Q46" s="11" t="s">
        <v>752</v>
      </c>
      <c r="R46" s="11" t="s">
        <v>887</v>
      </c>
      <c r="S46" s="4" t="s">
        <v>1170</v>
      </c>
      <c r="T46" s="11">
        <v>4</v>
      </c>
      <c r="U46" s="11"/>
      <c r="V46" s="124">
        <f>'Estandarización parámetros SJB'!$C$62</f>
        <v>32</v>
      </c>
      <c r="W46" s="124">
        <f>'Estandarización parámetros SJB'!$C$113</f>
        <v>21</v>
      </c>
      <c r="X46" s="112">
        <f>T46*'Estandarización parámetros SJB'!$C$3</f>
        <v>0.07288888888888889</v>
      </c>
      <c r="Y46" s="5"/>
      <c r="Z46" s="34">
        <f aca="true" t="shared" si="39" ref="Z46:AA48">50*4*4/1000</f>
        <v>0.8</v>
      </c>
      <c r="AA46" s="34">
        <f t="shared" si="39"/>
        <v>0.8</v>
      </c>
      <c r="AB46" s="5">
        <v>30</v>
      </c>
      <c r="AC46" s="5">
        <v>12</v>
      </c>
      <c r="AD46" s="29">
        <f t="shared" si="35"/>
        <v>288</v>
      </c>
      <c r="AE46" s="29">
        <f t="shared" si="36"/>
        <v>288</v>
      </c>
      <c r="AF46" s="11" t="s">
        <v>1081</v>
      </c>
      <c r="AG46" s="11">
        <v>4</v>
      </c>
      <c r="AH46" s="40">
        <f>AK46/AG46</f>
        <v>0.0035</v>
      </c>
      <c r="AI46" s="186">
        <f>'Estandarización parámetros SJB'!$F$62</f>
        <v>18</v>
      </c>
      <c r="AJ46" s="5">
        <v>28</v>
      </c>
      <c r="AK46" s="5">
        <v>0.014</v>
      </c>
      <c r="AL46" s="5">
        <v>18</v>
      </c>
      <c r="AM46" s="7">
        <f>AL46*AK46*AI46*0.0036</f>
        <v>0.0163296</v>
      </c>
      <c r="AN46" s="7">
        <f>AK46*AL46*AJ46*0.0036</f>
        <v>0.0254016</v>
      </c>
      <c r="AO46" s="5">
        <v>30</v>
      </c>
      <c r="AP46" s="5">
        <v>12</v>
      </c>
      <c r="AQ46" s="29">
        <f t="shared" si="37"/>
        <v>5.878655999999999</v>
      </c>
      <c r="AR46" s="81">
        <f t="shared" si="38"/>
        <v>9.144575999999999</v>
      </c>
      <c r="AS46" s="133" t="s">
        <v>1183</v>
      </c>
      <c r="AT46" s="133" t="s">
        <v>1180</v>
      </c>
      <c r="AU46" s="134">
        <v>100</v>
      </c>
      <c r="AV46" s="137">
        <f t="shared" si="5"/>
        <v>29.744245524296673</v>
      </c>
      <c r="AW46" s="137">
        <f t="shared" si="6"/>
        <v>22.127877237851663</v>
      </c>
      <c r="AX46" s="136">
        <f t="shared" si="7"/>
        <v>0.043444444444444445</v>
      </c>
      <c r="AY46" s="79">
        <v>18</v>
      </c>
      <c r="AZ46" s="125">
        <f t="shared" si="8"/>
        <v>0.08373599999999999</v>
      </c>
      <c r="BA46" s="125">
        <f t="shared" si="9"/>
        <v>0.06229440000000001</v>
      </c>
      <c r="BB46" s="79">
        <v>30</v>
      </c>
      <c r="BC46" s="79">
        <v>12</v>
      </c>
      <c r="BD46" s="125">
        <f t="shared" si="10"/>
        <v>30.144959999999998</v>
      </c>
      <c r="BE46" s="125">
        <f t="shared" si="11"/>
        <v>22.425984000000003</v>
      </c>
      <c r="BF46" s="130">
        <v>90</v>
      </c>
      <c r="BG46" s="130">
        <v>100</v>
      </c>
      <c r="BH46" s="136">
        <f t="shared" si="28"/>
        <v>0.043444444444444445</v>
      </c>
      <c r="BI46" s="130">
        <v>18</v>
      </c>
      <c r="BJ46" s="125">
        <f t="shared" si="12"/>
        <v>0.253368</v>
      </c>
      <c r="BK46" s="125">
        <f t="shared" si="13"/>
        <v>0.28151999999999994</v>
      </c>
      <c r="BL46" s="130">
        <v>30</v>
      </c>
      <c r="BM46" s="130">
        <v>12</v>
      </c>
      <c r="BN46" s="142">
        <f t="shared" si="14"/>
        <v>91.21248</v>
      </c>
      <c r="BO46" s="142">
        <f t="shared" si="15"/>
        <v>101.34719999999999</v>
      </c>
      <c r="BP46" s="180">
        <f t="shared" si="16"/>
        <v>60.67872</v>
      </c>
      <c r="BQ46" s="180">
        <f t="shared" si="17"/>
        <v>61.88659199999999</v>
      </c>
      <c r="BR46" s="197">
        <f t="shared" si="18"/>
        <v>100</v>
      </c>
      <c r="BS46" s="197">
        <f t="shared" si="19"/>
        <v>110</v>
      </c>
      <c r="BT46" s="197">
        <f t="shared" si="20"/>
        <v>70</v>
      </c>
      <c r="BU46" s="197">
        <f t="shared" si="21"/>
        <v>70</v>
      </c>
      <c r="BV46" s="197">
        <f t="shared" si="22"/>
        <v>70</v>
      </c>
      <c r="BW46" s="197">
        <f t="shared" si="23"/>
        <v>70</v>
      </c>
      <c r="BX46" s="197">
        <f t="shared" si="24"/>
        <v>70</v>
      </c>
      <c r="BY46" s="197">
        <f t="shared" si="25"/>
        <v>70</v>
      </c>
      <c r="BZ46" s="197">
        <f t="shared" si="26"/>
        <v>70</v>
      </c>
      <c r="CA46" s="197">
        <f t="shared" si="27"/>
        <v>70</v>
      </c>
      <c r="CC46" s="214"/>
    </row>
    <row r="47" spans="1:81" s="21" customFormat="1" ht="133.5" customHeight="1">
      <c r="A47" s="8">
        <v>74</v>
      </c>
      <c r="B47" s="4" t="s">
        <v>537</v>
      </c>
      <c r="C47" s="4" t="s">
        <v>19</v>
      </c>
      <c r="D47" s="4">
        <v>2</v>
      </c>
      <c r="E47" s="37" t="s">
        <v>296</v>
      </c>
      <c r="F47" s="4" t="s">
        <v>342</v>
      </c>
      <c r="G47" s="4" t="s">
        <v>297</v>
      </c>
      <c r="H47" s="4" t="s">
        <v>11</v>
      </c>
      <c r="I47" s="9" t="s">
        <v>67</v>
      </c>
      <c r="J47" s="9" t="s">
        <v>67</v>
      </c>
      <c r="K47" s="9" t="s">
        <v>67</v>
      </c>
      <c r="L47" s="9" t="s">
        <v>67</v>
      </c>
      <c r="M47" s="9" t="s">
        <v>67</v>
      </c>
      <c r="N47" s="9" t="s">
        <v>67</v>
      </c>
      <c r="O47" s="8" t="s">
        <v>51</v>
      </c>
      <c r="P47" s="8" t="s">
        <v>55</v>
      </c>
      <c r="Q47" s="11" t="s">
        <v>751</v>
      </c>
      <c r="R47" s="11" t="s">
        <v>888</v>
      </c>
      <c r="S47" s="4" t="s">
        <v>1175</v>
      </c>
      <c r="T47" s="74">
        <v>4</v>
      </c>
      <c r="U47" s="74"/>
      <c r="V47" s="124">
        <f>'Estandarización parámetros SJB'!$C$62</f>
        <v>32</v>
      </c>
      <c r="W47" s="124">
        <f>'Estandarización parámetros SJB'!$C$113</f>
        <v>21</v>
      </c>
      <c r="X47" s="112">
        <f>T47*'Estandarización parámetros SJB'!$C$3</f>
        <v>0.07288888888888889</v>
      </c>
      <c r="Y47" s="8"/>
      <c r="Z47" s="34">
        <f t="shared" si="39"/>
        <v>0.8</v>
      </c>
      <c r="AA47" s="34">
        <f t="shared" si="39"/>
        <v>0.8</v>
      </c>
      <c r="AB47" s="8">
        <v>30</v>
      </c>
      <c r="AC47" s="8">
        <v>12</v>
      </c>
      <c r="AD47" s="13">
        <f t="shared" si="35"/>
        <v>288</v>
      </c>
      <c r="AE47" s="13">
        <f t="shared" si="36"/>
        <v>288</v>
      </c>
      <c r="AF47" s="74" t="s">
        <v>1082</v>
      </c>
      <c r="AG47" s="74">
        <v>4</v>
      </c>
      <c r="AH47" s="74"/>
      <c r="AI47" s="39">
        <f>'Estandarización parámetros SJB'!$F$62</f>
        <v>18</v>
      </c>
      <c r="AJ47" s="39">
        <f>'Estandarización parámetros SJB'!$F$113</f>
        <v>14</v>
      </c>
      <c r="AK47" s="112">
        <f>AG47*'Estandarización parámetros SJB'!$F$3</f>
        <v>0.065</v>
      </c>
      <c r="AL47" s="8"/>
      <c r="AM47" s="7">
        <f>50*4*4/1000</f>
        <v>0.8</v>
      </c>
      <c r="AN47" s="7">
        <f>50*1*5/1000</f>
        <v>0.25</v>
      </c>
      <c r="AO47" s="8">
        <v>30</v>
      </c>
      <c r="AP47" s="8">
        <v>12</v>
      </c>
      <c r="AQ47" s="13">
        <f t="shared" si="37"/>
        <v>288</v>
      </c>
      <c r="AR47" s="80">
        <f t="shared" si="38"/>
        <v>90</v>
      </c>
      <c r="AS47" s="132"/>
      <c r="AT47" s="132"/>
      <c r="AU47" s="132"/>
      <c r="AV47" s="137">
        <f t="shared" si="5"/>
        <v>25.400483481063656</v>
      </c>
      <c r="AW47" s="137">
        <f t="shared" si="6"/>
        <v>17.70024174053183</v>
      </c>
      <c r="AX47" s="136">
        <f t="shared" si="7"/>
        <v>0.06894444444444445</v>
      </c>
      <c r="AY47" s="79">
        <v>18</v>
      </c>
      <c r="AZ47" s="125">
        <f t="shared" si="8"/>
        <v>0.11347919999999997</v>
      </c>
      <c r="BA47" s="125">
        <f t="shared" si="9"/>
        <v>0.0790776</v>
      </c>
      <c r="BB47" s="79">
        <v>30</v>
      </c>
      <c r="BC47" s="79">
        <v>12</v>
      </c>
      <c r="BD47" s="125">
        <f t="shared" si="10"/>
        <v>40.85251199999999</v>
      </c>
      <c r="BE47" s="125">
        <f t="shared" si="11"/>
        <v>28.467936</v>
      </c>
      <c r="BF47" s="130">
        <v>90</v>
      </c>
      <c r="BG47" s="130">
        <v>90</v>
      </c>
      <c r="BH47" s="136">
        <f t="shared" si="28"/>
        <v>0.06894444444444445</v>
      </c>
      <c r="BI47" s="130">
        <v>18</v>
      </c>
      <c r="BJ47" s="125">
        <f t="shared" si="12"/>
        <v>0.402084</v>
      </c>
      <c r="BK47" s="125">
        <f t="shared" si="13"/>
        <v>0.402084</v>
      </c>
      <c r="BL47" s="130">
        <v>30</v>
      </c>
      <c r="BM47" s="130">
        <v>12</v>
      </c>
      <c r="BN47" s="142">
        <f t="shared" si="14"/>
        <v>144.75024</v>
      </c>
      <c r="BO47" s="142">
        <f t="shared" si="15"/>
        <v>144.75024</v>
      </c>
      <c r="BP47" s="180">
        <f t="shared" si="16"/>
        <v>92.80137599999999</v>
      </c>
      <c r="BQ47" s="180">
        <f t="shared" si="17"/>
        <v>86.609088</v>
      </c>
      <c r="BR47" s="197">
        <f t="shared" si="18"/>
        <v>150</v>
      </c>
      <c r="BS47" s="197">
        <f t="shared" si="19"/>
        <v>150</v>
      </c>
      <c r="BT47" s="197">
        <f t="shared" si="20"/>
        <v>100</v>
      </c>
      <c r="BU47" s="197">
        <f t="shared" si="21"/>
        <v>90</v>
      </c>
      <c r="BV47" s="197">
        <f t="shared" si="22"/>
        <v>100</v>
      </c>
      <c r="BW47" s="197">
        <f t="shared" si="23"/>
        <v>90</v>
      </c>
      <c r="BX47" s="197">
        <f t="shared" si="24"/>
        <v>100</v>
      </c>
      <c r="BY47" s="197">
        <f t="shared" si="25"/>
        <v>90</v>
      </c>
      <c r="BZ47" s="197">
        <f t="shared" si="26"/>
        <v>100</v>
      </c>
      <c r="CA47" s="197">
        <f t="shared" si="27"/>
        <v>90</v>
      </c>
      <c r="CC47" s="214"/>
    </row>
    <row r="48" spans="1:81" s="20" customFormat="1" ht="100.5" customHeight="1">
      <c r="A48" s="8">
        <v>75</v>
      </c>
      <c r="B48" s="4" t="s">
        <v>50</v>
      </c>
      <c r="C48" s="4" t="s">
        <v>19</v>
      </c>
      <c r="D48" s="4">
        <v>2</v>
      </c>
      <c r="E48" s="37" t="s">
        <v>298</v>
      </c>
      <c r="F48" s="4" t="s">
        <v>299</v>
      </c>
      <c r="G48" s="11" t="s">
        <v>300</v>
      </c>
      <c r="H48" s="11" t="s">
        <v>11</v>
      </c>
      <c r="I48" s="26" t="s">
        <v>67</v>
      </c>
      <c r="J48" s="26" t="s">
        <v>67</v>
      </c>
      <c r="K48" s="26" t="s">
        <v>67</v>
      </c>
      <c r="L48" s="26" t="s">
        <v>67</v>
      </c>
      <c r="M48" s="26" t="s">
        <v>67</v>
      </c>
      <c r="N48" s="26" t="s">
        <v>67</v>
      </c>
      <c r="O48" s="5" t="s">
        <v>51</v>
      </c>
      <c r="P48" s="5" t="s">
        <v>55</v>
      </c>
      <c r="Q48" s="11" t="s">
        <v>753</v>
      </c>
      <c r="R48" s="11" t="s">
        <v>889</v>
      </c>
      <c r="S48" s="4" t="s">
        <v>1162</v>
      </c>
      <c r="T48" s="75">
        <v>4</v>
      </c>
      <c r="U48" s="75"/>
      <c r="V48" s="124">
        <f>'Estandarización parámetros SJB'!$C$62</f>
        <v>32</v>
      </c>
      <c r="W48" s="124">
        <f>'Estandarización parámetros SJB'!$C$113</f>
        <v>21</v>
      </c>
      <c r="X48" s="112">
        <f>T48*'Estandarización parámetros SJB'!$C$3</f>
        <v>0.07288888888888889</v>
      </c>
      <c r="Y48" s="5"/>
      <c r="Z48" s="34">
        <f t="shared" si="39"/>
        <v>0.8</v>
      </c>
      <c r="AA48" s="34">
        <f t="shared" si="39"/>
        <v>0.8</v>
      </c>
      <c r="AB48" s="5">
        <v>30</v>
      </c>
      <c r="AC48" s="5">
        <v>12</v>
      </c>
      <c r="AD48" s="29">
        <f t="shared" si="35"/>
        <v>288</v>
      </c>
      <c r="AE48" s="29">
        <f t="shared" si="36"/>
        <v>288</v>
      </c>
      <c r="AF48" s="75" t="s">
        <v>1083</v>
      </c>
      <c r="AG48" s="75">
        <v>4</v>
      </c>
      <c r="AH48" s="75"/>
      <c r="AI48" s="39">
        <f>'Estandarización parámetros SJB'!$F$62</f>
        <v>18</v>
      </c>
      <c r="AJ48" s="39">
        <f>'Estandarización parámetros SJB'!$F$113</f>
        <v>14</v>
      </c>
      <c r="AK48" s="112">
        <f>AG48*'Estandarización parámetros SJB'!$F$3</f>
        <v>0.065</v>
      </c>
      <c r="AL48" s="5"/>
      <c r="AM48" s="34">
        <f>50*4*4/1000</f>
        <v>0.8</v>
      </c>
      <c r="AN48" s="34">
        <f>50*4*4/1000</f>
        <v>0.8</v>
      </c>
      <c r="AO48" s="5">
        <v>30</v>
      </c>
      <c r="AP48" s="5">
        <v>12</v>
      </c>
      <c r="AQ48" s="29">
        <f t="shared" si="37"/>
        <v>288</v>
      </c>
      <c r="AR48" s="81">
        <f t="shared" si="38"/>
        <v>288</v>
      </c>
      <c r="AS48" s="140"/>
      <c r="AT48" s="140"/>
      <c r="AU48" s="140"/>
      <c r="AV48" s="137">
        <f t="shared" si="5"/>
        <v>25.400483481063656</v>
      </c>
      <c r="AW48" s="137">
        <f t="shared" si="6"/>
        <v>17.70024174053183</v>
      </c>
      <c r="AX48" s="136">
        <f t="shared" si="7"/>
        <v>0.06894444444444445</v>
      </c>
      <c r="AY48" s="79">
        <v>18</v>
      </c>
      <c r="AZ48" s="125">
        <f t="shared" si="8"/>
        <v>0.11347919999999997</v>
      </c>
      <c r="BA48" s="125">
        <f t="shared" si="9"/>
        <v>0.0790776</v>
      </c>
      <c r="BB48" s="79">
        <v>30</v>
      </c>
      <c r="BC48" s="79">
        <v>12</v>
      </c>
      <c r="BD48" s="125">
        <f t="shared" si="10"/>
        <v>40.85251199999999</v>
      </c>
      <c r="BE48" s="125">
        <f t="shared" si="11"/>
        <v>28.467936</v>
      </c>
      <c r="BF48" s="130">
        <v>90</v>
      </c>
      <c r="BG48" s="130">
        <v>90</v>
      </c>
      <c r="BH48" s="136">
        <f t="shared" si="28"/>
        <v>0.06894444444444445</v>
      </c>
      <c r="BI48" s="130">
        <v>18</v>
      </c>
      <c r="BJ48" s="125">
        <f t="shared" si="12"/>
        <v>0.402084</v>
      </c>
      <c r="BK48" s="125">
        <f t="shared" si="13"/>
        <v>0.402084</v>
      </c>
      <c r="BL48" s="130">
        <v>30</v>
      </c>
      <c r="BM48" s="130">
        <v>12</v>
      </c>
      <c r="BN48" s="142">
        <f t="shared" si="14"/>
        <v>144.75024</v>
      </c>
      <c r="BO48" s="142">
        <f t="shared" si="15"/>
        <v>144.75024</v>
      </c>
      <c r="BP48" s="180">
        <f t="shared" si="16"/>
        <v>92.80137599999999</v>
      </c>
      <c r="BQ48" s="180">
        <f t="shared" si="17"/>
        <v>86.609088</v>
      </c>
      <c r="BR48" s="197">
        <f t="shared" si="18"/>
        <v>150</v>
      </c>
      <c r="BS48" s="197">
        <f t="shared" si="19"/>
        <v>150</v>
      </c>
      <c r="BT48" s="197">
        <f t="shared" si="20"/>
        <v>100</v>
      </c>
      <c r="BU48" s="197">
        <f t="shared" si="21"/>
        <v>90</v>
      </c>
      <c r="BV48" s="197">
        <f t="shared" si="22"/>
        <v>100</v>
      </c>
      <c r="BW48" s="197">
        <f t="shared" si="23"/>
        <v>90</v>
      </c>
      <c r="BX48" s="197">
        <f t="shared" si="24"/>
        <v>100</v>
      </c>
      <c r="BY48" s="197">
        <f t="shared" si="25"/>
        <v>90</v>
      </c>
      <c r="BZ48" s="197">
        <f t="shared" si="26"/>
        <v>100</v>
      </c>
      <c r="CA48" s="197">
        <f t="shared" si="27"/>
        <v>90</v>
      </c>
      <c r="CC48" s="214"/>
    </row>
    <row r="49" spans="1:81" s="20" customFormat="1" ht="156.75" customHeight="1">
      <c r="A49" s="8">
        <v>76</v>
      </c>
      <c r="B49" s="4" t="s">
        <v>50</v>
      </c>
      <c r="C49" s="4" t="s">
        <v>19</v>
      </c>
      <c r="D49" s="4">
        <v>2</v>
      </c>
      <c r="E49" s="37" t="s">
        <v>301</v>
      </c>
      <c r="F49" s="4" t="s">
        <v>369</v>
      </c>
      <c r="G49" s="11" t="s">
        <v>460</v>
      </c>
      <c r="H49" s="11" t="s">
        <v>11</v>
      </c>
      <c r="I49" s="26" t="s">
        <v>67</v>
      </c>
      <c r="J49" s="26" t="s">
        <v>67</v>
      </c>
      <c r="K49" s="26" t="s">
        <v>67</v>
      </c>
      <c r="L49" s="26" t="s">
        <v>67</v>
      </c>
      <c r="M49" s="26" t="s">
        <v>67</v>
      </c>
      <c r="N49" s="26" t="s">
        <v>67</v>
      </c>
      <c r="O49" s="5" t="s">
        <v>51</v>
      </c>
      <c r="P49" s="5" t="s">
        <v>55</v>
      </c>
      <c r="Q49" s="11" t="s">
        <v>754</v>
      </c>
      <c r="R49" s="11" t="s">
        <v>890</v>
      </c>
      <c r="S49" s="4" t="s">
        <v>1162</v>
      </c>
      <c r="T49" s="11">
        <v>19</v>
      </c>
      <c r="U49" s="11"/>
      <c r="V49" s="124">
        <f>'Estandarización parámetros SJB'!$C$62</f>
        <v>32</v>
      </c>
      <c r="W49" s="124">
        <f>'Estandarización parámetros SJB'!$C$113</f>
        <v>21</v>
      </c>
      <c r="X49" s="112">
        <f>T49*'Estandarización parámetros SJB'!$C$3</f>
        <v>0.3462222222222222</v>
      </c>
      <c r="Y49" s="36"/>
      <c r="Z49" s="49">
        <f>50*26*4/1000</f>
        <v>5.2</v>
      </c>
      <c r="AA49" s="49">
        <f>50*26*4/1000</f>
        <v>5.2</v>
      </c>
      <c r="AB49" s="76">
        <v>30</v>
      </c>
      <c r="AC49" s="76">
        <v>12</v>
      </c>
      <c r="AD49" s="70">
        <f t="shared" si="35"/>
        <v>1872</v>
      </c>
      <c r="AE49" s="70">
        <f t="shared" si="36"/>
        <v>1872</v>
      </c>
      <c r="AF49" s="11" t="s">
        <v>1084</v>
      </c>
      <c r="AG49" s="11">
        <v>19</v>
      </c>
      <c r="AH49" s="11"/>
      <c r="AI49" s="39">
        <f>'Estandarización parámetros SJB'!$F$62</f>
        <v>18</v>
      </c>
      <c r="AJ49" s="39">
        <f>'Estandarización parámetros SJB'!$F$113</f>
        <v>14</v>
      </c>
      <c r="AK49" s="112">
        <f>AG49*'Estandarización parámetros SJB'!$F$3</f>
        <v>0.30875</v>
      </c>
      <c r="AL49" s="36"/>
      <c r="AM49" s="49">
        <f>50*26*4/1000</f>
        <v>5.2</v>
      </c>
      <c r="AN49" s="49">
        <f>50*26*4/1000</f>
        <v>5.2</v>
      </c>
      <c r="AO49" s="76">
        <v>30</v>
      </c>
      <c r="AP49" s="76">
        <v>12</v>
      </c>
      <c r="AQ49" s="70">
        <f t="shared" si="37"/>
        <v>1872</v>
      </c>
      <c r="AR49" s="85">
        <f t="shared" si="38"/>
        <v>1872</v>
      </c>
      <c r="AS49" s="140"/>
      <c r="AT49" s="140"/>
      <c r="AU49" s="140"/>
      <c r="AV49" s="137">
        <f t="shared" si="5"/>
        <v>25.400483481063656</v>
      </c>
      <c r="AW49" s="137">
        <f t="shared" si="6"/>
        <v>17.700241740531826</v>
      </c>
      <c r="AX49" s="136">
        <f t="shared" si="7"/>
        <v>0.32748611111111114</v>
      </c>
      <c r="AY49" s="79">
        <v>18</v>
      </c>
      <c r="AZ49" s="125">
        <f t="shared" si="8"/>
        <v>0.5390262</v>
      </c>
      <c r="BA49" s="125">
        <f t="shared" si="9"/>
        <v>0.3756185999999999</v>
      </c>
      <c r="BB49" s="79">
        <v>30</v>
      </c>
      <c r="BC49" s="79">
        <v>12</v>
      </c>
      <c r="BD49" s="125">
        <f t="shared" si="10"/>
        <v>194.049432</v>
      </c>
      <c r="BE49" s="125">
        <f t="shared" si="11"/>
        <v>135.22269599999996</v>
      </c>
      <c r="BF49" s="130">
        <v>90</v>
      </c>
      <c r="BG49" s="130">
        <v>90</v>
      </c>
      <c r="BH49" s="136">
        <f t="shared" si="28"/>
        <v>0.32748611111111114</v>
      </c>
      <c r="BI49" s="130">
        <v>18</v>
      </c>
      <c r="BJ49" s="125">
        <f t="shared" si="12"/>
        <v>1.909899</v>
      </c>
      <c r="BK49" s="125">
        <f t="shared" si="13"/>
        <v>1.909899</v>
      </c>
      <c r="BL49" s="130">
        <v>30</v>
      </c>
      <c r="BM49" s="130">
        <v>12</v>
      </c>
      <c r="BN49" s="142">
        <f t="shared" si="14"/>
        <v>687.5636400000001</v>
      </c>
      <c r="BO49" s="142">
        <f t="shared" si="15"/>
        <v>687.5636400000001</v>
      </c>
      <c r="BP49" s="180">
        <f t="shared" si="16"/>
        <v>440.80653600000005</v>
      </c>
      <c r="BQ49" s="180">
        <f t="shared" si="17"/>
        <v>411.393168</v>
      </c>
      <c r="BR49" s="197">
        <f t="shared" si="18"/>
        <v>690</v>
      </c>
      <c r="BS49" s="197">
        <f t="shared" si="19"/>
        <v>690</v>
      </c>
      <c r="BT49" s="197">
        <f t="shared" si="20"/>
        <v>450</v>
      </c>
      <c r="BU49" s="197">
        <f t="shared" si="21"/>
        <v>420</v>
      </c>
      <c r="BV49" s="197">
        <f t="shared" si="22"/>
        <v>450</v>
      </c>
      <c r="BW49" s="197">
        <f t="shared" si="23"/>
        <v>420</v>
      </c>
      <c r="BX49" s="197">
        <f t="shared" si="24"/>
        <v>450</v>
      </c>
      <c r="BY49" s="197">
        <f t="shared" si="25"/>
        <v>420</v>
      </c>
      <c r="BZ49" s="197">
        <f t="shared" si="26"/>
        <v>450</v>
      </c>
      <c r="CA49" s="197">
        <f t="shared" si="27"/>
        <v>420</v>
      </c>
      <c r="CC49" s="214"/>
    </row>
    <row r="50" spans="1:81" s="20" customFormat="1" ht="99.75" customHeight="1">
      <c r="A50" s="8">
        <v>77</v>
      </c>
      <c r="B50" s="4" t="s">
        <v>50</v>
      </c>
      <c r="C50" s="4" t="s">
        <v>19</v>
      </c>
      <c r="D50" s="4">
        <v>2</v>
      </c>
      <c r="E50" s="37" t="s">
        <v>678</v>
      </c>
      <c r="F50" s="4" t="s">
        <v>302</v>
      </c>
      <c r="G50" s="11" t="s">
        <v>303</v>
      </c>
      <c r="H50" s="11" t="s">
        <v>11</v>
      </c>
      <c r="I50" s="26" t="s">
        <v>67</v>
      </c>
      <c r="J50" s="26" t="s">
        <v>67</v>
      </c>
      <c r="K50" s="26" t="s">
        <v>67</v>
      </c>
      <c r="L50" s="26" t="s">
        <v>67</v>
      </c>
      <c r="M50" s="26" t="s">
        <v>67</v>
      </c>
      <c r="N50" s="26" t="s">
        <v>67</v>
      </c>
      <c r="O50" s="5" t="s">
        <v>51</v>
      </c>
      <c r="P50" s="5" t="s">
        <v>55</v>
      </c>
      <c r="Q50" s="11" t="s">
        <v>755</v>
      </c>
      <c r="R50" s="11" t="s">
        <v>891</v>
      </c>
      <c r="S50" s="4" t="s">
        <v>1162</v>
      </c>
      <c r="T50" s="75">
        <v>4</v>
      </c>
      <c r="U50" s="75"/>
      <c r="V50" s="124">
        <f>'Estandarización parámetros SJB'!$C$62</f>
        <v>32</v>
      </c>
      <c r="W50" s="124">
        <f>'Estandarización parámetros SJB'!$C$113</f>
        <v>21</v>
      </c>
      <c r="X50" s="112">
        <f>T50*'Estandarización parámetros SJB'!$C$3</f>
        <v>0.07288888888888889</v>
      </c>
      <c r="Y50" s="5"/>
      <c r="Z50" s="34">
        <f>(50*4*4)/1000</f>
        <v>0.8</v>
      </c>
      <c r="AA50" s="34">
        <f>50*4*4/1000</f>
        <v>0.8</v>
      </c>
      <c r="AB50" s="5">
        <v>30</v>
      </c>
      <c r="AC50" s="5">
        <v>12</v>
      </c>
      <c r="AD50" s="29">
        <f t="shared" si="35"/>
        <v>288</v>
      </c>
      <c r="AE50" s="29">
        <f t="shared" si="36"/>
        <v>288</v>
      </c>
      <c r="AF50" s="75" t="s">
        <v>1085</v>
      </c>
      <c r="AG50" s="75">
        <v>4</v>
      </c>
      <c r="AH50" s="40">
        <f>AK50/AG50</f>
        <v>0.00325</v>
      </c>
      <c r="AI50" s="5">
        <v>42</v>
      </c>
      <c r="AJ50" s="5">
        <v>12</v>
      </c>
      <c r="AK50" s="34">
        <v>0.013</v>
      </c>
      <c r="AL50" s="5">
        <v>18</v>
      </c>
      <c r="AM50" s="7">
        <f>AL50*AK50*AI50*0.0036</f>
        <v>0.0353808</v>
      </c>
      <c r="AN50" s="7">
        <f>AK50*AL50*AJ50*0.0036</f>
        <v>0.0101088</v>
      </c>
      <c r="AO50" s="5">
        <v>30</v>
      </c>
      <c r="AP50" s="5">
        <v>12</v>
      </c>
      <c r="AQ50" s="29">
        <f t="shared" si="37"/>
        <v>12.737088</v>
      </c>
      <c r="AR50" s="81">
        <f t="shared" si="38"/>
        <v>3.6391679999999997</v>
      </c>
      <c r="AS50" s="140"/>
      <c r="AT50" s="140"/>
      <c r="AU50" s="140"/>
      <c r="AV50" s="137">
        <f t="shared" si="5"/>
        <v>33.51358344113842</v>
      </c>
      <c r="AW50" s="137">
        <f t="shared" si="6"/>
        <v>19.637774902975423</v>
      </c>
      <c r="AX50" s="136">
        <f t="shared" si="7"/>
        <v>0.042944444444444445</v>
      </c>
      <c r="AY50" s="79">
        <v>18</v>
      </c>
      <c r="AZ50" s="125">
        <f t="shared" si="8"/>
        <v>0.0932616</v>
      </c>
      <c r="BA50" s="125">
        <f t="shared" si="9"/>
        <v>0.05464800000000001</v>
      </c>
      <c r="BB50" s="79">
        <v>30</v>
      </c>
      <c r="BC50" s="79">
        <v>12</v>
      </c>
      <c r="BD50" s="125">
        <f t="shared" si="10"/>
        <v>33.574176</v>
      </c>
      <c r="BE50" s="125">
        <f t="shared" si="11"/>
        <v>19.673280000000002</v>
      </c>
      <c r="BF50" s="130">
        <v>90</v>
      </c>
      <c r="BG50" s="130">
        <v>90</v>
      </c>
      <c r="BH50" s="136">
        <f t="shared" si="28"/>
        <v>0.042944444444444445</v>
      </c>
      <c r="BI50" s="130">
        <v>18</v>
      </c>
      <c r="BJ50" s="125">
        <f t="shared" si="12"/>
        <v>0.250452</v>
      </c>
      <c r="BK50" s="125">
        <f t="shared" si="13"/>
        <v>0.250452</v>
      </c>
      <c r="BL50" s="130">
        <v>30</v>
      </c>
      <c r="BM50" s="130">
        <v>12</v>
      </c>
      <c r="BN50" s="142">
        <f t="shared" si="14"/>
        <v>90.16272000000001</v>
      </c>
      <c r="BO50" s="142">
        <f t="shared" si="15"/>
        <v>90.16272000000001</v>
      </c>
      <c r="BP50" s="180">
        <f t="shared" si="16"/>
        <v>61.868448</v>
      </c>
      <c r="BQ50" s="180">
        <f t="shared" si="17"/>
        <v>54.918000000000006</v>
      </c>
      <c r="BR50" s="197">
        <f t="shared" si="18"/>
        <v>100</v>
      </c>
      <c r="BS50" s="197">
        <f t="shared" si="19"/>
        <v>100</v>
      </c>
      <c r="BT50" s="197">
        <f t="shared" si="20"/>
        <v>70</v>
      </c>
      <c r="BU50" s="197">
        <f t="shared" si="21"/>
        <v>60</v>
      </c>
      <c r="BV50" s="197">
        <f t="shared" si="22"/>
        <v>70</v>
      </c>
      <c r="BW50" s="197">
        <f t="shared" si="23"/>
        <v>60</v>
      </c>
      <c r="BX50" s="197">
        <f t="shared" si="24"/>
        <v>70</v>
      </c>
      <c r="BY50" s="197">
        <f t="shared" si="25"/>
        <v>60</v>
      </c>
      <c r="BZ50" s="197">
        <f t="shared" si="26"/>
        <v>70</v>
      </c>
      <c r="CA50" s="197">
        <f t="shared" si="27"/>
        <v>60</v>
      </c>
      <c r="CC50" s="214"/>
    </row>
    <row r="51" spans="1:81" s="20" customFormat="1" ht="116.25" customHeight="1">
      <c r="A51" s="8">
        <v>78</v>
      </c>
      <c r="B51" s="4" t="s">
        <v>50</v>
      </c>
      <c r="C51" s="4" t="s">
        <v>19</v>
      </c>
      <c r="D51" s="4">
        <v>2</v>
      </c>
      <c r="E51" s="37" t="s">
        <v>306</v>
      </c>
      <c r="F51" s="4" t="s">
        <v>304</v>
      </c>
      <c r="G51" s="11" t="s">
        <v>305</v>
      </c>
      <c r="H51" s="11" t="s">
        <v>11</v>
      </c>
      <c r="I51" s="26" t="s">
        <v>67</v>
      </c>
      <c r="J51" s="26" t="s">
        <v>67</v>
      </c>
      <c r="K51" s="26" t="s">
        <v>67</v>
      </c>
      <c r="L51" s="26" t="s">
        <v>67</v>
      </c>
      <c r="M51" s="26" t="s">
        <v>67</v>
      </c>
      <c r="N51" s="26" t="s">
        <v>67</v>
      </c>
      <c r="O51" s="5" t="s">
        <v>51</v>
      </c>
      <c r="P51" s="5" t="s">
        <v>55</v>
      </c>
      <c r="Q51" s="11" t="s">
        <v>370</v>
      </c>
      <c r="R51" s="11" t="s">
        <v>892</v>
      </c>
      <c r="S51" s="4" t="s">
        <v>1162</v>
      </c>
      <c r="T51" s="11">
        <v>3</v>
      </c>
      <c r="U51" s="11"/>
      <c r="V51" s="124">
        <f>'Estandarización parámetros SJB'!$C$62</f>
        <v>32</v>
      </c>
      <c r="W51" s="124">
        <f>'Estandarización parámetros SJB'!$C$113</f>
        <v>21</v>
      </c>
      <c r="X51" s="112">
        <f>T51*'Estandarización parámetros SJB'!$C$3</f>
        <v>0.05466666666666667</v>
      </c>
      <c r="Y51" s="5"/>
      <c r="Z51" s="34">
        <f>50*3*4/1000</f>
        <v>0.6</v>
      </c>
      <c r="AA51" s="34">
        <f>50*3*4/1000</f>
        <v>0.6</v>
      </c>
      <c r="AB51" s="5">
        <v>30</v>
      </c>
      <c r="AC51" s="5">
        <v>12</v>
      </c>
      <c r="AD51" s="29">
        <f t="shared" si="35"/>
        <v>216</v>
      </c>
      <c r="AE51" s="29">
        <f t="shared" si="36"/>
        <v>216</v>
      </c>
      <c r="AF51" s="11" t="s">
        <v>1086</v>
      </c>
      <c r="AG51" s="11">
        <v>3</v>
      </c>
      <c r="AH51" s="11"/>
      <c r="AI51" s="39">
        <f>'Estandarización parámetros SJB'!$F$62</f>
        <v>18</v>
      </c>
      <c r="AJ51" s="39">
        <f>'Estandarización parámetros SJB'!$F$113</f>
        <v>14</v>
      </c>
      <c r="AK51" s="112">
        <f>AG51*'Estandarización parámetros SJB'!$F$3</f>
        <v>0.04875</v>
      </c>
      <c r="AL51" s="5"/>
      <c r="AM51" s="34">
        <f>50*3*4/1000</f>
        <v>0.6</v>
      </c>
      <c r="AN51" s="34">
        <f>50*3*4/1000</f>
        <v>0.6</v>
      </c>
      <c r="AO51" s="5">
        <v>30</v>
      </c>
      <c r="AP51" s="5">
        <v>12</v>
      </c>
      <c r="AQ51" s="29">
        <f t="shared" si="37"/>
        <v>216</v>
      </c>
      <c r="AR51" s="81">
        <f t="shared" si="38"/>
        <v>216</v>
      </c>
      <c r="AS51" s="140"/>
      <c r="AT51" s="140"/>
      <c r="AU51" s="140"/>
      <c r="AV51" s="137">
        <f t="shared" si="5"/>
        <v>25.400483481063656</v>
      </c>
      <c r="AW51" s="137">
        <f t="shared" si="6"/>
        <v>17.70024174053183</v>
      </c>
      <c r="AX51" s="136">
        <f t="shared" si="7"/>
        <v>0.051708333333333335</v>
      </c>
      <c r="AY51" s="79">
        <v>18</v>
      </c>
      <c r="AZ51" s="125">
        <f t="shared" si="8"/>
        <v>0.0851094</v>
      </c>
      <c r="BA51" s="125">
        <f t="shared" si="9"/>
        <v>0.059308200000000005</v>
      </c>
      <c r="BB51" s="79">
        <v>30</v>
      </c>
      <c r="BC51" s="79">
        <v>12</v>
      </c>
      <c r="BD51" s="125">
        <f t="shared" si="10"/>
        <v>30.639384000000003</v>
      </c>
      <c r="BE51" s="125">
        <f t="shared" si="11"/>
        <v>21.350952</v>
      </c>
      <c r="BF51" s="130">
        <v>90</v>
      </c>
      <c r="BG51" s="130">
        <v>90</v>
      </c>
      <c r="BH51" s="136">
        <f t="shared" si="28"/>
        <v>0.051708333333333335</v>
      </c>
      <c r="BI51" s="130">
        <v>18</v>
      </c>
      <c r="BJ51" s="125">
        <f t="shared" si="12"/>
        <v>0.301563</v>
      </c>
      <c r="BK51" s="125">
        <f t="shared" si="13"/>
        <v>0.301563</v>
      </c>
      <c r="BL51" s="130">
        <v>30</v>
      </c>
      <c r="BM51" s="130">
        <v>12</v>
      </c>
      <c r="BN51" s="142">
        <f t="shared" si="14"/>
        <v>108.56268000000001</v>
      </c>
      <c r="BO51" s="142">
        <f t="shared" si="15"/>
        <v>108.56268000000001</v>
      </c>
      <c r="BP51" s="180">
        <f t="shared" si="16"/>
        <v>69.601032</v>
      </c>
      <c r="BQ51" s="180">
        <f t="shared" si="17"/>
        <v>64.956816</v>
      </c>
      <c r="BR51" s="197">
        <f t="shared" si="18"/>
        <v>110</v>
      </c>
      <c r="BS51" s="197">
        <f t="shared" si="19"/>
        <v>110</v>
      </c>
      <c r="BT51" s="197">
        <f t="shared" si="20"/>
        <v>70</v>
      </c>
      <c r="BU51" s="197">
        <f t="shared" si="21"/>
        <v>70</v>
      </c>
      <c r="BV51" s="197">
        <f t="shared" si="22"/>
        <v>70</v>
      </c>
      <c r="BW51" s="197">
        <f t="shared" si="23"/>
        <v>70</v>
      </c>
      <c r="BX51" s="197">
        <f t="shared" si="24"/>
        <v>70</v>
      </c>
      <c r="BY51" s="197">
        <f t="shared" si="25"/>
        <v>70</v>
      </c>
      <c r="BZ51" s="197">
        <f t="shared" si="26"/>
        <v>70</v>
      </c>
      <c r="CA51" s="197">
        <f t="shared" si="27"/>
        <v>70</v>
      </c>
      <c r="CC51" s="214"/>
    </row>
    <row r="52" spans="1:81" s="20" customFormat="1" ht="105.75" customHeight="1">
      <c r="A52" s="8">
        <v>79</v>
      </c>
      <c r="B52" s="4" t="s">
        <v>50</v>
      </c>
      <c r="C52" s="4" t="s">
        <v>19</v>
      </c>
      <c r="D52" s="4">
        <v>2</v>
      </c>
      <c r="E52" s="37" t="s">
        <v>307</v>
      </c>
      <c r="F52" s="4" t="s">
        <v>380</v>
      </c>
      <c r="G52" s="11" t="s">
        <v>404</v>
      </c>
      <c r="H52" s="11" t="s">
        <v>11</v>
      </c>
      <c r="I52" s="26" t="s">
        <v>67</v>
      </c>
      <c r="J52" s="26" t="s">
        <v>67</v>
      </c>
      <c r="K52" s="26" t="s">
        <v>67</v>
      </c>
      <c r="L52" s="26" t="s">
        <v>67</v>
      </c>
      <c r="M52" s="26" t="s">
        <v>67</v>
      </c>
      <c r="N52" s="26" t="s">
        <v>67</v>
      </c>
      <c r="O52" s="5" t="s">
        <v>51</v>
      </c>
      <c r="P52" s="5" t="s">
        <v>55</v>
      </c>
      <c r="Q52" s="11" t="s">
        <v>756</v>
      </c>
      <c r="R52" s="11" t="s">
        <v>893</v>
      </c>
      <c r="S52" s="4" t="s">
        <v>1176</v>
      </c>
      <c r="T52" s="11">
        <v>4</v>
      </c>
      <c r="U52" s="11"/>
      <c r="V52" s="124">
        <f>'Estandarización parámetros SJB'!$C$62</f>
        <v>32</v>
      </c>
      <c r="W52" s="124">
        <f>'Estandarización parámetros SJB'!$C$113</f>
        <v>21</v>
      </c>
      <c r="X52" s="112">
        <f>T52*'Estandarización parámetros SJB'!$C$3</f>
        <v>0.07288888888888889</v>
      </c>
      <c r="Y52" s="5"/>
      <c r="Z52" s="34">
        <f>(50*4*4)/1000</f>
        <v>0.8</v>
      </c>
      <c r="AA52" s="34">
        <f>50*4*4/1000</f>
        <v>0.8</v>
      </c>
      <c r="AB52" s="5">
        <v>30</v>
      </c>
      <c r="AC52" s="5">
        <v>12</v>
      </c>
      <c r="AD52" s="29">
        <f t="shared" si="35"/>
        <v>288</v>
      </c>
      <c r="AE52" s="29">
        <f t="shared" si="36"/>
        <v>288</v>
      </c>
      <c r="AF52" s="11" t="s">
        <v>1069</v>
      </c>
      <c r="AG52" s="11">
        <v>4</v>
      </c>
      <c r="AH52" s="11"/>
      <c r="AI52" s="39">
        <f>'Estandarización parámetros SJB'!$F$62</f>
        <v>18</v>
      </c>
      <c r="AJ52" s="39">
        <f>'Estandarización parámetros SJB'!$F$113</f>
        <v>14</v>
      </c>
      <c r="AK52" s="112">
        <f>AG52*'Estandarización parámetros SJB'!$F$3</f>
        <v>0.065</v>
      </c>
      <c r="AL52" s="5"/>
      <c r="AM52" s="34">
        <f>(50*4*4)/1000</f>
        <v>0.8</v>
      </c>
      <c r="AN52" s="34">
        <f>50*4*4/1000</f>
        <v>0.8</v>
      </c>
      <c r="AO52" s="5">
        <v>30</v>
      </c>
      <c r="AP52" s="5">
        <v>12</v>
      </c>
      <c r="AQ52" s="29">
        <f t="shared" si="37"/>
        <v>288</v>
      </c>
      <c r="AR52" s="81">
        <f t="shared" si="38"/>
        <v>288</v>
      </c>
      <c r="AS52" s="140"/>
      <c r="AT52" s="140"/>
      <c r="AU52" s="140"/>
      <c r="AV52" s="137">
        <f t="shared" si="5"/>
        <v>25.400483481063656</v>
      </c>
      <c r="AW52" s="137">
        <f t="shared" si="6"/>
        <v>17.70024174053183</v>
      </c>
      <c r="AX52" s="136">
        <f t="shared" si="7"/>
        <v>0.06894444444444445</v>
      </c>
      <c r="AY52" s="79">
        <v>18</v>
      </c>
      <c r="AZ52" s="125">
        <f t="shared" si="8"/>
        <v>0.11347919999999997</v>
      </c>
      <c r="BA52" s="125">
        <f t="shared" si="9"/>
        <v>0.0790776</v>
      </c>
      <c r="BB52" s="79">
        <v>30</v>
      </c>
      <c r="BC52" s="79">
        <v>12</v>
      </c>
      <c r="BD52" s="125">
        <f t="shared" si="10"/>
        <v>40.85251199999999</v>
      </c>
      <c r="BE52" s="125">
        <f t="shared" si="11"/>
        <v>28.467936</v>
      </c>
      <c r="BF52" s="130">
        <v>90</v>
      </c>
      <c r="BG52" s="130">
        <v>90</v>
      </c>
      <c r="BH52" s="136">
        <f t="shared" si="28"/>
        <v>0.06894444444444445</v>
      </c>
      <c r="BI52" s="130">
        <v>18</v>
      </c>
      <c r="BJ52" s="125">
        <f t="shared" si="12"/>
        <v>0.402084</v>
      </c>
      <c r="BK52" s="125">
        <f t="shared" si="13"/>
        <v>0.402084</v>
      </c>
      <c r="BL52" s="130">
        <v>30</v>
      </c>
      <c r="BM52" s="130">
        <v>12</v>
      </c>
      <c r="BN52" s="142">
        <f t="shared" si="14"/>
        <v>144.75024</v>
      </c>
      <c r="BO52" s="142">
        <f t="shared" si="15"/>
        <v>144.75024</v>
      </c>
      <c r="BP52" s="180">
        <f t="shared" si="16"/>
        <v>92.80137599999999</v>
      </c>
      <c r="BQ52" s="180">
        <f t="shared" si="17"/>
        <v>86.609088</v>
      </c>
      <c r="BR52" s="197">
        <f t="shared" si="18"/>
        <v>150</v>
      </c>
      <c r="BS52" s="197">
        <f t="shared" si="19"/>
        <v>150</v>
      </c>
      <c r="BT52" s="197">
        <f t="shared" si="20"/>
        <v>100</v>
      </c>
      <c r="BU52" s="197">
        <f t="shared" si="21"/>
        <v>90</v>
      </c>
      <c r="BV52" s="197">
        <f t="shared" si="22"/>
        <v>100</v>
      </c>
      <c r="BW52" s="197">
        <f t="shared" si="23"/>
        <v>90</v>
      </c>
      <c r="BX52" s="197">
        <f t="shared" si="24"/>
        <v>100</v>
      </c>
      <c r="BY52" s="197">
        <f t="shared" si="25"/>
        <v>90</v>
      </c>
      <c r="BZ52" s="197">
        <f t="shared" si="26"/>
        <v>100</v>
      </c>
      <c r="CA52" s="197">
        <f t="shared" si="27"/>
        <v>90</v>
      </c>
      <c r="CC52" s="214"/>
    </row>
    <row r="53" spans="1:81" s="20" customFormat="1" ht="162" customHeight="1">
      <c r="A53" s="8">
        <v>80</v>
      </c>
      <c r="B53" s="4" t="s">
        <v>50</v>
      </c>
      <c r="C53" s="4" t="s">
        <v>19</v>
      </c>
      <c r="D53" s="4">
        <v>2</v>
      </c>
      <c r="E53" s="37" t="s">
        <v>308</v>
      </c>
      <c r="F53" s="4" t="s">
        <v>309</v>
      </c>
      <c r="G53" s="11" t="s">
        <v>310</v>
      </c>
      <c r="H53" s="11" t="s">
        <v>11</v>
      </c>
      <c r="I53" s="26" t="s">
        <v>67</v>
      </c>
      <c r="J53" s="26" t="s">
        <v>67</v>
      </c>
      <c r="K53" s="26" t="s">
        <v>67</v>
      </c>
      <c r="L53" s="26" t="s">
        <v>67</v>
      </c>
      <c r="M53" s="26" t="s">
        <v>67</v>
      </c>
      <c r="N53" s="26" t="s">
        <v>67</v>
      </c>
      <c r="O53" s="5" t="s">
        <v>51</v>
      </c>
      <c r="P53" s="5" t="s">
        <v>55</v>
      </c>
      <c r="Q53" s="11" t="s">
        <v>757</v>
      </c>
      <c r="R53" s="11" t="s">
        <v>894</v>
      </c>
      <c r="S53" s="4" t="s">
        <v>1149</v>
      </c>
      <c r="T53" s="11">
        <v>8</v>
      </c>
      <c r="U53" s="11"/>
      <c r="V53" s="124">
        <f>'Estandarización parámetros SJB'!$C$62</f>
        <v>32</v>
      </c>
      <c r="W53" s="124">
        <f>'Estandarización parámetros SJB'!$C$113</f>
        <v>21</v>
      </c>
      <c r="X53" s="112">
        <f>T53*'Estandarización parámetros SJB'!$C$3</f>
        <v>0.14577777777777778</v>
      </c>
      <c r="Y53" s="5"/>
      <c r="Z53" s="34">
        <f>(50*8*4)/1000</f>
        <v>1.6</v>
      </c>
      <c r="AA53" s="34">
        <f>(50*8*4)/1000</f>
        <v>1.6</v>
      </c>
      <c r="AB53" s="5">
        <v>30</v>
      </c>
      <c r="AC53" s="5">
        <v>12</v>
      </c>
      <c r="AD53" s="29">
        <f t="shared" si="35"/>
        <v>576</v>
      </c>
      <c r="AE53" s="29">
        <f t="shared" si="36"/>
        <v>576</v>
      </c>
      <c r="AF53" s="11" t="s">
        <v>1286</v>
      </c>
      <c r="AG53" s="11">
        <v>8</v>
      </c>
      <c r="AH53" s="11"/>
      <c r="AI53" s="187">
        <v>7</v>
      </c>
      <c r="AJ53" s="187">
        <v>8</v>
      </c>
      <c r="AK53" s="211">
        <v>0.03</v>
      </c>
      <c r="AL53" s="5">
        <v>18</v>
      </c>
      <c r="AM53" s="7">
        <f>AL53*AK53*AI53*0.0036</f>
        <v>0.013608</v>
      </c>
      <c r="AN53" s="7">
        <f>AK53*AL53*AJ53*0.0036</f>
        <v>0.015552</v>
      </c>
      <c r="AO53" s="5">
        <v>30</v>
      </c>
      <c r="AP53" s="5">
        <v>12</v>
      </c>
      <c r="AQ53" s="29">
        <f>AM53*AO53*AP53</f>
        <v>4.89888</v>
      </c>
      <c r="AR53" s="81">
        <f>AN53*AO53*AP53</f>
        <v>5.59872</v>
      </c>
      <c r="AS53" s="140"/>
      <c r="AT53" s="140"/>
      <c r="AU53" s="140"/>
      <c r="AV53" s="137">
        <f t="shared" si="5"/>
        <v>27.733249051833123</v>
      </c>
      <c r="AW53" s="137">
        <f t="shared" si="6"/>
        <v>18.781289506953225</v>
      </c>
      <c r="AX53" s="136">
        <f t="shared" si="7"/>
        <v>0.08788888888888889</v>
      </c>
      <c r="AY53" s="79">
        <v>18</v>
      </c>
      <c r="AZ53" s="125">
        <f t="shared" si="8"/>
        <v>0.15794640000000001</v>
      </c>
      <c r="BA53" s="125">
        <f t="shared" si="9"/>
        <v>0.10696320000000001</v>
      </c>
      <c r="BB53" s="79">
        <v>30</v>
      </c>
      <c r="BC53" s="79">
        <v>12</v>
      </c>
      <c r="BD53" s="125">
        <f t="shared" si="10"/>
        <v>56.860704</v>
      </c>
      <c r="BE53" s="125">
        <f t="shared" si="11"/>
        <v>38.506752000000006</v>
      </c>
      <c r="BF53" s="130">
        <v>90</v>
      </c>
      <c r="BG53" s="130">
        <v>90</v>
      </c>
      <c r="BH53" s="136">
        <f t="shared" si="28"/>
        <v>0.08788888888888889</v>
      </c>
      <c r="BI53" s="130">
        <v>18</v>
      </c>
      <c r="BJ53" s="125">
        <f t="shared" si="12"/>
        <v>0.512568</v>
      </c>
      <c r="BK53" s="125">
        <f t="shared" si="13"/>
        <v>0.512568</v>
      </c>
      <c r="BL53" s="130">
        <v>30</v>
      </c>
      <c r="BM53" s="130">
        <v>12</v>
      </c>
      <c r="BN53" s="142">
        <f t="shared" si="14"/>
        <v>184.52448</v>
      </c>
      <c r="BO53" s="142">
        <f t="shared" si="15"/>
        <v>184.52448</v>
      </c>
      <c r="BP53" s="180">
        <f t="shared" si="16"/>
        <v>120.692592</v>
      </c>
      <c r="BQ53" s="180">
        <f t="shared" si="17"/>
        <v>111.51561600000001</v>
      </c>
      <c r="BR53" s="197">
        <f t="shared" si="18"/>
        <v>190</v>
      </c>
      <c r="BS53" s="197">
        <f t="shared" si="19"/>
        <v>190</v>
      </c>
      <c r="BT53" s="197">
        <f t="shared" si="20"/>
        <v>130</v>
      </c>
      <c r="BU53" s="197">
        <f t="shared" si="21"/>
        <v>120</v>
      </c>
      <c r="BV53" s="197">
        <f t="shared" si="22"/>
        <v>130</v>
      </c>
      <c r="BW53" s="197">
        <f t="shared" si="23"/>
        <v>120</v>
      </c>
      <c r="BX53" s="197">
        <f t="shared" si="24"/>
        <v>130</v>
      </c>
      <c r="BY53" s="197">
        <f t="shared" si="25"/>
        <v>120</v>
      </c>
      <c r="BZ53" s="197">
        <f t="shared" si="26"/>
        <v>130</v>
      </c>
      <c r="CA53" s="197">
        <f t="shared" si="27"/>
        <v>120</v>
      </c>
      <c r="CC53" s="214"/>
    </row>
    <row r="54" spans="1:81" s="20" customFormat="1" ht="125.25" customHeight="1">
      <c r="A54" s="8">
        <v>81</v>
      </c>
      <c r="B54" s="4" t="s">
        <v>50</v>
      </c>
      <c r="C54" s="4" t="s">
        <v>19</v>
      </c>
      <c r="D54" s="4">
        <v>2</v>
      </c>
      <c r="E54" s="37" t="s">
        <v>311</v>
      </c>
      <c r="F54" s="4" t="s">
        <v>312</v>
      </c>
      <c r="G54" s="11" t="s">
        <v>313</v>
      </c>
      <c r="H54" s="11" t="s">
        <v>11</v>
      </c>
      <c r="I54" s="26" t="s">
        <v>67</v>
      </c>
      <c r="J54" s="26" t="s">
        <v>67</v>
      </c>
      <c r="K54" s="26" t="s">
        <v>67</v>
      </c>
      <c r="L54" s="26" t="s">
        <v>67</v>
      </c>
      <c r="M54" s="26" t="s">
        <v>67</v>
      </c>
      <c r="N54" s="26" t="s">
        <v>67</v>
      </c>
      <c r="O54" s="5" t="s">
        <v>51</v>
      </c>
      <c r="P54" s="5" t="s">
        <v>55</v>
      </c>
      <c r="Q54" s="11" t="s">
        <v>758</v>
      </c>
      <c r="R54" s="11" t="s">
        <v>895</v>
      </c>
      <c r="S54" s="4" t="s">
        <v>1149</v>
      </c>
      <c r="T54" s="11">
        <v>12</v>
      </c>
      <c r="U54" s="11"/>
      <c r="V54" s="124">
        <f>'Estandarización parámetros SJB'!$C$62</f>
        <v>32</v>
      </c>
      <c r="W54" s="124">
        <f>'Estandarización parámetros SJB'!$C$113</f>
        <v>21</v>
      </c>
      <c r="X54" s="112">
        <f>T54*'Estandarización parámetros SJB'!$C$3</f>
        <v>0.21866666666666668</v>
      </c>
      <c r="Y54" s="5"/>
      <c r="Z54" s="34">
        <f>(50*12*4)/1000</f>
        <v>2.4</v>
      </c>
      <c r="AA54" s="34">
        <f>(50*12*4)/1000</f>
        <v>2.4</v>
      </c>
      <c r="AB54" s="5">
        <v>30</v>
      </c>
      <c r="AC54" s="5">
        <v>12</v>
      </c>
      <c r="AD54" s="29">
        <f t="shared" si="35"/>
        <v>864</v>
      </c>
      <c r="AE54" s="29">
        <f t="shared" si="36"/>
        <v>864</v>
      </c>
      <c r="AF54" s="11" t="s">
        <v>1055</v>
      </c>
      <c r="AG54" s="11">
        <v>12</v>
      </c>
      <c r="AH54" s="11"/>
      <c r="AI54" s="39">
        <f>'Estandarización parámetros SJB'!$F$62</f>
        <v>18</v>
      </c>
      <c r="AJ54" s="39">
        <f>'Estandarización parámetros SJB'!$F$113</f>
        <v>14</v>
      </c>
      <c r="AK54" s="112">
        <f>AG54*'Estandarización parámetros SJB'!$F$3</f>
        <v>0.195</v>
      </c>
      <c r="AL54" s="5"/>
      <c r="AM54" s="34">
        <f>(50*12*4)/1000</f>
        <v>2.4</v>
      </c>
      <c r="AN54" s="34">
        <f>(50*12*4)/1000</f>
        <v>2.4</v>
      </c>
      <c r="AO54" s="5">
        <v>30</v>
      </c>
      <c r="AP54" s="5">
        <v>12</v>
      </c>
      <c r="AQ54" s="29">
        <f t="shared" si="37"/>
        <v>864</v>
      </c>
      <c r="AR54" s="81">
        <f t="shared" si="38"/>
        <v>864</v>
      </c>
      <c r="AS54" s="140"/>
      <c r="AT54" s="140"/>
      <c r="AU54" s="140"/>
      <c r="AV54" s="137">
        <f t="shared" si="5"/>
        <v>25.400483481063656</v>
      </c>
      <c r="AW54" s="137">
        <f t="shared" si="6"/>
        <v>17.70024174053183</v>
      </c>
      <c r="AX54" s="136">
        <f t="shared" si="7"/>
        <v>0.20683333333333334</v>
      </c>
      <c r="AY54" s="79">
        <v>18</v>
      </c>
      <c r="AZ54" s="125">
        <f t="shared" si="8"/>
        <v>0.3404376</v>
      </c>
      <c r="BA54" s="125">
        <f t="shared" si="9"/>
        <v>0.23723280000000002</v>
      </c>
      <c r="BB54" s="79">
        <v>30</v>
      </c>
      <c r="BC54" s="79">
        <v>12</v>
      </c>
      <c r="BD54" s="125">
        <f t="shared" si="10"/>
        <v>122.55753600000001</v>
      </c>
      <c r="BE54" s="125">
        <f t="shared" si="11"/>
        <v>85.403808</v>
      </c>
      <c r="BF54" s="130">
        <v>90</v>
      </c>
      <c r="BG54" s="130">
        <v>90</v>
      </c>
      <c r="BH54" s="136">
        <f t="shared" si="28"/>
        <v>0.20683333333333334</v>
      </c>
      <c r="BI54" s="130">
        <v>18</v>
      </c>
      <c r="BJ54" s="125">
        <f t="shared" si="12"/>
        <v>1.206252</v>
      </c>
      <c r="BK54" s="125">
        <f t="shared" si="13"/>
        <v>1.206252</v>
      </c>
      <c r="BL54" s="130">
        <v>30</v>
      </c>
      <c r="BM54" s="130">
        <v>12</v>
      </c>
      <c r="BN54" s="142">
        <f t="shared" si="14"/>
        <v>434.25072000000006</v>
      </c>
      <c r="BO54" s="142">
        <f t="shared" si="15"/>
        <v>434.25072000000006</v>
      </c>
      <c r="BP54" s="180">
        <f t="shared" si="16"/>
        <v>278.404128</v>
      </c>
      <c r="BQ54" s="180">
        <f t="shared" si="17"/>
        <v>259.827264</v>
      </c>
      <c r="BR54" s="197">
        <f t="shared" si="18"/>
        <v>440</v>
      </c>
      <c r="BS54" s="197">
        <f t="shared" si="19"/>
        <v>440</v>
      </c>
      <c r="BT54" s="197">
        <f t="shared" si="20"/>
        <v>280</v>
      </c>
      <c r="BU54" s="197">
        <f t="shared" si="21"/>
        <v>260</v>
      </c>
      <c r="BV54" s="197">
        <f t="shared" si="22"/>
        <v>280</v>
      </c>
      <c r="BW54" s="197">
        <f t="shared" si="23"/>
        <v>260</v>
      </c>
      <c r="BX54" s="197">
        <f t="shared" si="24"/>
        <v>280</v>
      </c>
      <c r="BY54" s="197">
        <f t="shared" si="25"/>
        <v>260</v>
      </c>
      <c r="BZ54" s="197">
        <f t="shared" si="26"/>
        <v>280</v>
      </c>
      <c r="CA54" s="197">
        <f t="shared" si="27"/>
        <v>260</v>
      </c>
      <c r="CC54" s="214"/>
    </row>
    <row r="55" spans="1:81" s="20" customFormat="1" ht="112.5" customHeight="1">
      <c r="A55" s="265">
        <v>82</v>
      </c>
      <c r="B55" s="268" t="s">
        <v>50</v>
      </c>
      <c r="C55" s="268" t="s">
        <v>19</v>
      </c>
      <c r="D55" s="268">
        <v>2</v>
      </c>
      <c r="E55" s="271" t="s">
        <v>318</v>
      </c>
      <c r="F55" s="268" t="s">
        <v>319</v>
      </c>
      <c r="G55" s="250" t="s">
        <v>539</v>
      </c>
      <c r="H55" s="250" t="s">
        <v>11</v>
      </c>
      <c r="I55" s="259" t="s">
        <v>67</v>
      </c>
      <c r="J55" s="259" t="s">
        <v>67</v>
      </c>
      <c r="K55" s="259" t="s">
        <v>67</v>
      </c>
      <c r="L55" s="259" t="s">
        <v>67</v>
      </c>
      <c r="M55" s="259" t="s">
        <v>67</v>
      </c>
      <c r="N55" s="259" t="s">
        <v>67</v>
      </c>
      <c r="O55" s="253" t="s">
        <v>51</v>
      </c>
      <c r="P55" s="253" t="s">
        <v>55</v>
      </c>
      <c r="Q55" s="250" t="s">
        <v>372</v>
      </c>
      <c r="R55" s="250" t="s">
        <v>896</v>
      </c>
      <c r="S55" s="93" t="s">
        <v>1177</v>
      </c>
      <c r="T55" s="11">
        <v>4</v>
      </c>
      <c r="U55" s="11"/>
      <c r="V55" s="124">
        <f>'Estandarización parámetros SJB'!$C$62</f>
        <v>32</v>
      </c>
      <c r="W55" s="124">
        <f>'Estandarización parámetros SJB'!$C$113</f>
        <v>21</v>
      </c>
      <c r="X55" s="112">
        <f>T55*'Estandarización parámetros SJB'!$C$3</f>
        <v>0.07288888888888889</v>
      </c>
      <c r="Y55" s="5"/>
      <c r="Z55" s="34">
        <f>(50*4*4)/1000</f>
        <v>0.8</v>
      </c>
      <c r="AA55" s="34">
        <f>50*4*4/1000</f>
        <v>0.8</v>
      </c>
      <c r="AB55" s="5">
        <v>30</v>
      </c>
      <c r="AC55" s="5">
        <v>12</v>
      </c>
      <c r="AD55" s="29">
        <f t="shared" si="35"/>
        <v>288</v>
      </c>
      <c r="AE55" s="29">
        <f t="shared" si="36"/>
        <v>288</v>
      </c>
      <c r="AF55" s="11" t="s">
        <v>1087</v>
      </c>
      <c r="AG55" s="11">
        <v>1</v>
      </c>
      <c r="AH55" s="40">
        <f>AK55/AG55</f>
        <v>0.013</v>
      </c>
      <c r="AI55" s="186">
        <f>'Estandarización parámetros SJB'!$F$62</f>
        <v>18</v>
      </c>
      <c r="AJ55" s="5">
        <v>38</v>
      </c>
      <c r="AK55" s="34">
        <v>0.013</v>
      </c>
      <c r="AL55" s="5">
        <v>18</v>
      </c>
      <c r="AM55" s="34">
        <f aca="true" t="shared" si="40" ref="AM55:AM60">AK55*AI55*AL55*0.0036</f>
        <v>0.015163199999999998</v>
      </c>
      <c r="AN55" s="34">
        <f aca="true" t="shared" si="41" ref="AN55:AN60">AK55*AJ55*AL55*0.0036</f>
        <v>0.0320112</v>
      </c>
      <c r="AO55" s="5">
        <v>30</v>
      </c>
      <c r="AP55" s="5">
        <v>12</v>
      </c>
      <c r="AQ55" s="29">
        <f t="shared" si="37"/>
        <v>5.458752</v>
      </c>
      <c r="AR55" s="81">
        <f t="shared" si="38"/>
        <v>11.524031999999998</v>
      </c>
      <c r="AS55" s="140"/>
      <c r="AT55" s="140"/>
      <c r="AU55" s="140"/>
      <c r="AV55" s="137">
        <f t="shared" si="5"/>
        <v>29.88098318240621</v>
      </c>
      <c r="AW55" s="137">
        <f t="shared" si="6"/>
        <v>23.573091849935317</v>
      </c>
      <c r="AX55" s="136">
        <f t="shared" si="7"/>
        <v>0.042944444444444445</v>
      </c>
      <c r="AY55" s="79">
        <v>18</v>
      </c>
      <c r="AZ55" s="125">
        <f t="shared" si="8"/>
        <v>0.0831528</v>
      </c>
      <c r="BA55" s="125">
        <f t="shared" si="9"/>
        <v>0.0655992</v>
      </c>
      <c r="BB55" s="79">
        <v>30</v>
      </c>
      <c r="BC55" s="79">
        <v>12</v>
      </c>
      <c r="BD55" s="125">
        <f t="shared" si="10"/>
        <v>29.935008000000003</v>
      </c>
      <c r="BE55" s="125">
        <f t="shared" si="11"/>
        <v>23.615712</v>
      </c>
      <c r="BF55" s="130">
        <v>90</v>
      </c>
      <c r="BG55" s="130">
        <v>90</v>
      </c>
      <c r="BH55" s="136">
        <f t="shared" si="28"/>
        <v>0.042944444444444445</v>
      </c>
      <c r="BI55" s="130">
        <v>18</v>
      </c>
      <c r="BJ55" s="125">
        <f t="shared" si="12"/>
        <v>0.250452</v>
      </c>
      <c r="BK55" s="125">
        <f t="shared" si="13"/>
        <v>0.250452</v>
      </c>
      <c r="BL55" s="130">
        <v>30</v>
      </c>
      <c r="BM55" s="130">
        <v>12</v>
      </c>
      <c r="BN55" s="142">
        <f t="shared" si="14"/>
        <v>90.16272000000001</v>
      </c>
      <c r="BO55" s="142">
        <f t="shared" si="15"/>
        <v>90.16272000000001</v>
      </c>
      <c r="BP55" s="180">
        <f t="shared" si="16"/>
        <v>60.04886400000001</v>
      </c>
      <c r="BQ55" s="180">
        <f t="shared" si="17"/>
        <v>56.889216000000005</v>
      </c>
      <c r="BR55" s="197">
        <f t="shared" si="18"/>
        <v>100</v>
      </c>
      <c r="BS55" s="197">
        <f t="shared" si="19"/>
        <v>100</v>
      </c>
      <c r="BT55" s="197">
        <f t="shared" si="20"/>
        <v>70</v>
      </c>
      <c r="BU55" s="197">
        <f t="shared" si="21"/>
        <v>60</v>
      </c>
      <c r="BV55" s="197">
        <f t="shared" si="22"/>
        <v>70</v>
      </c>
      <c r="BW55" s="197">
        <f t="shared" si="23"/>
        <v>60</v>
      </c>
      <c r="BX55" s="197">
        <f t="shared" si="24"/>
        <v>70</v>
      </c>
      <c r="BY55" s="197">
        <f t="shared" si="25"/>
        <v>60</v>
      </c>
      <c r="BZ55" s="197">
        <f t="shared" si="26"/>
        <v>70</v>
      </c>
      <c r="CA55" s="197">
        <f t="shared" si="27"/>
        <v>60</v>
      </c>
      <c r="CC55" s="214"/>
    </row>
    <row r="56" spans="1:81" s="20" customFormat="1" ht="38.25" customHeight="1">
      <c r="A56" s="266"/>
      <c r="B56" s="269"/>
      <c r="C56" s="269"/>
      <c r="D56" s="269"/>
      <c r="E56" s="272"/>
      <c r="F56" s="269"/>
      <c r="G56" s="251"/>
      <c r="H56" s="251"/>
      <c r="I56" s="260"/>
      <c r="J56" s="260"/>
      <c r="K56" s="260"/>
      <c r="L56" s="260"/>
      <c r="M56" s="260"/>
      <c r="N56" s="260"/>
      <c r="O56" s="254"/>
      <c r="P56" s="254"/>
      <c r="Q56" s="251"/>
      <c r="R56" s="251"/>
      <c r="S56" s="11"/>
      <c r="T56" s="11"/>
      <c r="U56" s="11"/>
      <c r="V56" s="5"/>
      <c r="W56" s="5"/>
      <c r="X56" s="34"/>
      <c r="Y56" s="5"/>
      <c r="Z56" s="34"/>
      <c r="AA56" s="34"/>
      <c r="AB56" s="5"/>
      <c r="AC56" s="5"/>
      <c r="AD56" s="29"/>
      <c r="AE56" s="29"/>
      <c r="AF56" s="11" t="s">
        <v>1088</v>
      </c>
      <c r="AG56" s="11">
        <v>1</v>
      </c>
      <c r="AH56" s="40">
        <f aca="true" t="shared" si="42" ref="AH56:AH61">AK56/AG56</f>
        <v>1.259</v>
      </c>
      <c r="AI56" s="5">
        <v>72</v>
      </c>
      <c r="AJ56" s="5">
        <v>30</v>
      </c>
      <c r="AK56" s="34">
        <v>1.259</v>
      </c>
      <c r="AL56" s="5">
        <v>18</v>
      </c>
      <c r="AM56" s="34">
        <f t="shared" si="40"/>
        <v>5.873990399999999</v>
      </c>
      <c r="AN56" s="34">
        <f t="shared" si="41"/>
        <v>2.4474959999999997</v>
      </c>
      <c r="AO56" s="5">
        <v>30</v>
      </c>
      <c r="AP56" s="5">
        <v>12</v>
      </c>
      <c r="AQ56" s="29">
        <f t="shared" si="37"/>
        <v>2114.636544</v>
      </c>
      <c r="AR56" s="81">
        <f t="shared" si="38"/>
        <v>881.0985599999999</v>
      </c>
      <c r="AS56" s="140"/>
      <c r="AT56" s="140"/>
      <c r="AU56" s="140"/>
      <c r="AV56" s="137">
        <f t="shared" si="5"/>
        <v>72</v>
      </c>
      <c r="AW56" s="137">
        <f t="shared" si="6"/>
        <v>30</v>
      </c>
      <c r="AX56" s="136">
        <f t="shared" si="7"/>
        <v>1.259</v>
      </c>
      <c r="AY56" s="79">
        <v>18</v>
      </c>
      <c r="AZ56" s="125">
        <f t="shared" si="8"/>
        <v>5.873990399999999</v>
      </c>
      <c r="BA56" s="125">
        <f t="shared" si="9"/>
        <v>2.4474959999999997</v>
      </c>
      <c r="BB56" s="79">
        <v>30</v>
      </c>
      <c r="BC56" s="79">
        <v>12</v>
      </c>
      <c r="BD56" s="125">
        <f t="shared" si="10"/>
        <v>2114.636544</v>
      </c>
      <c r="BE56" s="125">
        <f t="shared" si="11"/>
        <v>881.0985599999999</v>
      </c>
      <c r="BF56" s="130">
        <v>90</v>
      </c>
      <c r="BG56" s="130">
        <v>90</v>
      </c>
      <c r="BH56" s="136">
        <f t="shared" si="28"/>
        <v>1.259</v>
      </c>
      <c r="BI56" s="130">
        <v>18</v>
      </c>
      <c r="BJ56" s="125">
        <f t="shared" si="12"/>
        <v>7.342487999999999</v>
      </c>
      <c r="BK56" s="125">
        <f t="shared" si="13"/>
        <v>7.342487999999999</v>
      </c>
      <c r="BL56" s="130">
        <v>30</v>
      </c>
      <c r="BM56" s="130">
        <v>12</v>
      </c>
      <c r="BN56" s="142">
        <f t="shared" si="14"/>
        <v>2643.2956799999993</v>
      </c>
      <c r="BO56" s="142">
        <f t="shared" si="15"/>
        <v>2643.2956799999993</v>
      </c>
      <c r="BP56" s="180">
        <f t="shared" si="16"/>
        <v>2378.9661119999996</v>
      </c>
      <c r="BQ56" s="180">
        <f t="shared" si="17"/>
        <v>1762.1971199999996</v>
      </c>
      <c r="BR56" s="197">
        <f t="shared" si="18"/>
        <v>2650</v>
      </c>
      <c r="BS56" s="197">
        <f t="shared" si="19"/>
        <v>2650</v>
      </c>
      <c r="BT56" s="197">
        <f t="shared" si="20"/>
        <v>2380</v>
      </c>
      <c r="BU56" s="197">
        <f t="shared" si="21"/>
        <v>1770</v>
      </c>
      <c r="BV56" s="197">
        <f t="shared" si="22"/>
        <v>2380</v>
      </c>
      <c r="BW56" s="197">
        <f t="shared" si="23"/>
        <v>1770</v>
      </c>
      <c r="BX56" s="197">
        <f t="shared" si="24"/>
        <v>2380</v>
      </c>
      <c r="BY56" s="197">
        <f t="shared" si="25"/>
        <v>1770</v>
      </c>
      <c r="BZ56" s="197">
        <f t="shared" si="26"/>
        <v>2380</v>
      </c>
      <c r="CA56" s="197">
        <f t="shared" si="27"/>
        <v>1770</v>
      </c>
      <c r="CC56" s="214"/>
    </row>
    <row r="57" spans="1:81" s="20" customFormat="1" ht="39" customHeight="1">
      <c r="A57" s="267"/>
      <c r="B57" s="270"/>
      <c r="C57" s="270"/>
      <c r="D57" s="270"/>
      <c r="E57" s="273"/>
      <c r="F57" s="270"/>
      <c r="G57" s="252"/>
      <c r="H57" s="252"/>
      <c r="I57" s="261"/>
      <c r="J57" s="261"/>
      <c r="K57" s="261"/>
      <c r="L57" s="261"/>
      <c r="M57" s="261"/>
      <c r="N57" s="261"/>
      <c r="O57" s="255"/>
      <c r="P57" s="255"/>
      <c r="Q57" s="252"/>
      <c r="R57" s="252"/>
      <c r="S57" s="11"/>
      <c r="T57" s="11"/>
      <c r="U57" s="11"/>
      <c r="V57" s="5"/>
      <c r="W57" s="5"/>
      <c r="X57" s="34"/>
      <c r="Y57" s="5"/>
      <c r="Z57" s="34"/>
      <c r="AA57" s="34"/>
      <c r="AB57" s="5"/>
      <c r="AC57" s="5"/>
      <c r="AD57" s="29"/>
      <c r="AE57" s="29"/>
      <c r="AF57" s="11" t="s">
        <v>1089</v>
      </c>
      <c r="AG57" s="11">
        <v>1</v>
      </c>
      <c r="AH57" s="40">
        <f t="shared" si="42"/>
        <v>0.175</v>
      </c>
      <c r="AI57" s="5">
        <v>76</v>
      </c>
      <c r="AJ57" s="5">
        <v>24</v>
      </c>
      <c r="AK57" s="34">
        <v>0.175</v>
      </c>
      <c r="AL57" s="5">
        <v>18</v>
      </c>
      <c r="AM57" s="34">
        <f t="shared" si="40"/>
        <v>0.8618399999999999</v>
      </c>
      <c r="AN57" s="34">
        <f t="shared" si="41"/>
        <v>0.27215999999999996</v>
      </c>
      <c r="AO57" s="5">
        <v>30</v>
      </c>
      <c r="AP57" s="5">
        <v>12</v>
      </c>
      <c r="AQ57" s="29">
        <f t="shared" si="37"/>
        <v>310.26239999999996</v>
      </c>
      <c r="AR57" s="81">
        <f t="shared" si="38"/>
        <v>97.9776</v>
      </c>
      <c r="AS57" s="140"/>
      <c r="AT57" s="140"/>
      <c r="AU57" s="140"/>
      <c r="AV57" s="137">
        <f t="shared" si="5"/>
        <v>76</v>
      </c>
      <c r="AW57" s="137">
        <f t="shared" si="6"/>
        <v>23.999999999999996</v>
      </c>
      <c r="AX57" s="136">
        <f t="shared" si="7"/>
        <v>0.175</v>
      </c>
      <c r="AY57" s="79">
        <v>18</v>
      </c>
      <c r="AZ57" s="125">
        <f t="shared" si="8"/>
        <v>0.8618399999999999</v>
      </c>
      <c r="BA57" s="125">
        <f t="shared" si="9"/>
        <v>0.27215999999999996</v>
      </c>
      <c r="BB57" s="79">
        <v>30</v>
      </c>
      <c r="BC57" s="79">
        <v>12</v>
      </c>
      <c r="BD57" s="125">
        <f t="shared" si="10"/>
        <v>310.26239999999996</v>
      </c>
      <c r="BE57" s="125">
        <f t="shared" si="11"/>
        <v>97.9776</v>
      </c>
      <c r="BF57" s="130">
        <v>90</v>
      </c>
      <c r="BG57" s="130">
        <v>90</v>
      </c>
      <c r="BH57" s="136">
        <f t="shared" si="28"/>
        <v>0.175</v>
      </c>
      <c r="BI57" s="130">
        <v>18</v>
      </c>
      <c r="BJ57" s="125">
        <f t="shared" si="12"/>
        <v>1.0205999999999997</v>
      </c>
      <c r="BK57" s="125">
        <f t="shared" si="13"/>
        <v>1.0205999999999997</v>
      </c>
      <c r="BL57" s="130">
        <v>30</v>
      </c>
      <c r="BM57" s="130">
        <v>12</v>
      </c>
      <c r="BN57" s="142">
        <f t="shared" si="14"/>
        <v>367.4159999999999</v>
      </c>
      <c r="BO57" s="142">
        <f t="shared" si="15"/>
        <v>367.4159999999999</v>
      </c>
      <c r="BP57" s="180">
        <f t="shared" si="16"/>
        <v>338.8391999999999</v>
      </c>
      <c r="BQ57" s="180">
        <f t="shared" si="17"/>
        <v>232.69679999999994</v>
      </c>
      <c r="BR57" s="197">
        <f t="shared" si="18"/>
        <v>370</v>
      </c>
      <c r="BS57" s="197">
        <f t="shared" si="19"/>
        <v>370</v>
      </c>
      <c r="BT57" s="197">
        <f t="shared" si="20"/>
        <v>340</v>
      </c>
      <c r="BU57" s="197">
        <f t="shared" si="21"/>
        <v>240</v>
      </c>
      <c r="BV57" s="197">
        <f t="shared" si="22"/>
        <v>340</v>
      </c>
      <c r="BW57" s="197">
        <f t="shared" si="23"/>
        <v>240</v>
      </c>
      <c r="BX57" s="197">
        <f t="shared" si="24"/>
        <v>340</v>
      </c>
      <c r="BY57" s="197">
        <f t="shared" si="25"/>
        <v>240</v>
      </c>
      <c r="BZ57" s="197">
        <f t="shared" si="26"/>
        <v>340</v>
      </c>
      <c r="CA57" s="197">
        <f t="shared" si="27"/>
        <v>240</v>
      </c>
      <c r="CC57" s="214"/>
    </row>
    <row r="58" spans="1:81" s="21" customFormat="1" ht="58.5" customHeight="1">
      <c r="A58" s="8">
        <v>83</v>
      </c>
      <c r="B58" s="4" t="s">
        <v>541</v>
      </c>
      <c r="C58" s="4" t="s">
        <v>19</v>
      </c>
      <c r="D58" s="4">
        <v>2</v>
      </c>
      <c r="E58" s="4" t="s">
        <v>393</v>
      </c>
      <c r="F58" s="8" t="s">
        <v>394</v>
      </c>
      <c r="G58" s="8" t="s">
        <v>403</v>
      </c>
      <c r="H58" s="8" t="s">
        <v>11</v>
      </c>
      <c r="I58" s="26" t="s">
        <v>67</v>
      </c>
      <c r="J58" s="26" t="s">
        <v>67</v>
      </c>
      <c r="K58" s="26" t="s">
        <v>67</v>
      </c>
      <c r="L58" s="26" t="s">
        <v>67</v>
      </c>
      <c r="M58" s="26" t="s">
        <v>67</v>
      </c>
      <c r="N58" s="26" t="s">
        <v>67</v>
      </c>
      <c r="O58" s="5" t="s">
        <v>51</v>
      </c>
      <c r="P58" s="8" t="s">
        <v>55</v>
      </c>
      <c r="Q58" s="8" t="s">
        <v>759</v>
      </c>
      <c r="R58" s="8" t="s">
        <v>897</v>
      </c>
      <c r="S58" s="93" t="s">
        <v>1177</v>
      </c>
      <c r="T58" s="4">
        <v>4</v>
      </c>
      <c r="U58" s="96">
        <f>X58/T58</f>
        <v>0.01615</v>
      </c>
      <c r="V58" s="8">
        <v>62.6</v>
      </c>
      <c r="W58" s="8">
        <v>52.86</v>
      </c>
      <c r="X58" s="7">
        <f>(0.133+0.04+0.05+0.05+0.05)/5</f>
        <v>0.0646</v>
      </c>
      <c r="Y58" s="8">
        <v>18</v>
      </c>
      <c r="Z58" s="7">
        <f>X58*V58*Y58*0.0036</f>
        <v>0.262048608</v>
      </c>
      <c r="AA58" s="7">
        <f>X58*W58*Y58*0.0036</f>
        <v>0.2212761888</v>
      </c>
      <c r="AB58" s="8">
        <v>30</v>
      </c>
      <c r="AC58" s="8">
        <v>12</v>
      </c>
      <c r="AD58" s="13">
        <f t="shared" si="35"/>
        <v>94.33749888</v>
      </c>
      <c r="AE58" s="13">
        <f t="shared" si="36"/>
        <v>79.65942796799999</v>
      </c>
      <c r="AF58" s="4" t="s">
        <v>1090</v>
      </c>
      <c r="AG58" s="4">
        <v>4</v>
      </c>
      <c r="AH58" s="40">
        <f t="shared" si="42"/>
        <v>0.01615</v>
      </c>
      <c r="AI58" s="8">
        <v>62.6</v>
      </c>
      <c r="AJ58" s="8">
        <v>52.86</v>
      </c>
      <c r="AK58" s="7">
        <f>(0.133+0.04+0.05+0.05+0.05)/5</f>
        <v>0.0646</v>
      </c>
      <c r="AL58" s="8">
        <v>18</v>
      </c>
      <c r="AM58" s="7">
        <f t="shared" si="40"/>
        <v>0.262048608</v>
      </c>
      <c r="AN58" s="7">
        <f t="shared" si="41"/>
        <v>0.2212761888</v>
      </c>
      <c r="AO58" s="8">
        <v>30</v>
      </c>
      <c r="AP58" s="8">
        <v>12</v>
      </c>
      <c r="AQ58" s="13">
        <f t="shared" si="37"/>
        <v>94.33749888</v>
      </c>
      <c r="AR58" s="80">
        <f t="shared" si="38"/>
        <v>79.65942796799999</v>
      </c>
      <c r="AS58" s="132"/>
      <c r="AT58" s="132"/>
      <c r="AU58" s="132"/>
      <c r="AV58" s="137">
        <f t="shared" si="5"/>
        <v>62.6</v>
      </c>
      <c r="AW58" s="137">
        <f t="shared" si="6"/>
        <v>52.86</v>
      </c>
      <c r="AX58" s="136">
        <f t="shared" si="7"/>
        <v>0.0646</v>
      </c>
      <c r="AY58" s="79">
        <v>18</v>
      </c>
      <c r="AZ58" s="125">
        <f t="shared" si="8"/>
        <v>0.262048608</v>
      </c>
      <c r="BA58" s="125">
        <f t="shared" si="9"/>
        <v>0.2212761888</v>
      </c>
      <c r="BB58" s="79">
        <v>30</v>
      </c>
      <c r="BC58" s="79">
        <v>12</v>
      </c>
      <c r="BD58" s="125">
        <f t="shared" si="10"/>
        <v>94.33749888</v>
      </c>
      <c r="BE58" s="125">
        <f t="shared" si="11"/>
        <v>79.65942796799999</v>
      </c>
      <c r="BF58" s="130">
        <v>90</v>
      </c>
      <c r="BG58" s="130">
        <v>90</v>
      </c>
      <c r="BH58" s="136">
        <f t="shared" si="28"/>
        <v>0.0646</v>
      </c>
      <c r="BI58" s="130">
        <v>18</v>
      </c>
      <c r="BJ58" s="125">
        <f t="shared" si="12"/>
        <v>0.3767472</v>
      </c>
      <c r="BK58" s="125">
        <f t="shared" si="13"/>
        <v>0.3767472</v>
      </c>
      <c r="BL58" s="130">
        <v>30</v>
      </c>
      <c r="BM58" s="130">
        <v>12</v>
      </c>
      <c r="BN58" s="142">
        <f t="shared" si="14"/>
        <v>135.628992</v>
      </c>
      <c r="BO58" s="142">
        <f t="shared" si="15"/>
        <v>135.628992</v>
      </c>
      <c r="BP58" s="180">
        <f t="shared" si="16"/>
        <v>114.98324544</v>
      </c>
      <c r="BQ58" s="180">
        <f t="shared" si="17"/>
        <v>107.644209984</v>
      </c>
      <c r="BR58" s="197">
        <f t="shared" si="18"/>
        <v>140</v>
      </c>
      <c r="BS58" s="197">
        <f t="shared" si="19"/>
        <v>140</v>
      </c>
      <c r="BT58" s="197">
        <f t="shared" si="20"/>
        <v>120</v>
      </c>
      <c r="BU58" s="197">
        <f t="shared" si="21"/>
        <v>110</v>
      </c>
      <c r="BV58" s="197">
        <f t="shared" si="22"/>
        <v>120</v>
      </c>
      <c r="BW58" s="197">
        <f t="shared" si="23"/>
        <v>110</v>
      </c>
      <c r="BX58" s="197">
        <f t="shared" si="24"/>
        <v>120</v>
      </c>
      <c r="BY58" s="197">
        <f t="shared" si="25"/>
        <v>110</v>
      </c>
      <c r="BZ58" s="197">
        <f t="shared" si="26"/>
        <v>120</v>
      </c>
      <c r="CA58" s="197">
        <f t="shared" si="27"/>
        <v>110</v>
      </c>
      <c r="CC58" s="214"/>
    </row>
    <row r="59" spans="1:81" s="21" customFormat="1" ht="72.75" customHeight="1">
      <c r="A59" s="8">
        <v>84</v>
      </c>
      <c r="B59" s="4" t="s">
        <v>541</v>
      </c>
      <c r="C59" s="4" t="s">
        <v>19</v>
      </c>
      <c r="D59" s="4">
        <v>2</v>
      </c>
      <c r="E59" s="4" t="s">
        <v>396</v>
      </c>
      <c r="F59" s="8" t="s">
        <v>397</v>
      </c>
      <c r="G59" s="8" t="s">
        <v>21</v>
      </c>
      <c r="H59" s="8" t="s">
        <v>11</v>
      </c>
      <c r="I59" s="9"/>
      <c r="J59" s="9"/>
      <c r="K59" s="9"/>
      <c r="L59" s="9"/>
      <c r="M59" s="9"/>
      <c r="N59" s="9"/>
      <c r="O59" s="4" t="s">
        <v>51</v>
      </c>
      <c r="P59" s="8" t="s">
        <v>55</v>
      </c>
      <c r="Q59" s="8" t="s">
        <v>760</v>
      </c>
      <c r="R59" s="8" t="s">
        <v>898</v>
      </c>
      <c r="S59" s="4" t="s">
        <v>1178</v>
      </c>
      <c r="T59" s="4">
        <v>4</v>
      </c>
      <c r="U59" s="96">
        <f>X59/T59</f>
        <v>0.0925</v>
      </c>
      <c r="V59" s="8">
        <v>50.4</v>
      </c>
      <c r="W59" s="8">
        <v>48</v>
      </c>
      <c r="X59" s="7">
        <v>0.37</v>
      </c>
      <c r="Y59" s="8">
        <v>18</v>
      </c>
      <c r="Z59" s="7">
        <f>X59*V59*Y59*0.0036</f>
        <v>1.2083903999999999</v>
      </c>
      <c r="AA59" s="7">
        <f>X59*W59*Y59*0.0036</f>
        <v>1.1508479999999999</v>
      </c>
      <c r="AB59" s="8">
        <v>30</v>
      </c>
      <c r="AC59" s="8">
        <v>12</v>
      </c>
      <c r="AD59" s="13">
        <f t="shared" si="35"/>
        <v>435.020544</v>
      </c>
      <c r="AE59" s="13">
        <f t="shared" si="36"/>
        <v>414.3052799999999</v>
      </c>
      <c r="AF59" s="4" t="s">
        <v>1091</v>
      </c>
      <c r="AG59" s="4">
        <v>4</v>
      </c>
      <c r="AH59" s="40">
        <f t="shared" si="42"/>
        <v>0.0925</v>
      </c>
      <c r="AI59" s="8">
        <v>50.4</v>
      </c>
      <c r="AJ59" s="8">
        <v>48</v>
      </c>
      <c r="AK59" s="7">
        <v>0.37</v>
      </c>
      <c r="AL59" s="8">
        <v>18</v>
      </c>
      <c r="AM59" s="7">
        <f t="shared" si="40"/>
        <v>1.2083903999999999</v>
      </c>
      <c r="AN59" s="7">
        <f t="shared" si="41"/>
        <v>1.1508479999999999</v>
      </c>
      <c r="AO59" s="8">
        <v>30</v>
      </c>
      <c r="AP59" s="8">
        <v>12</v>
      </c>
      <c r="AQ59" s="13">
        <f t="shared" si="37"/>
        <v>435.020544</v>
      </c>
      <c r="AR59" s="80">
        <f t="shared" si="38"/>
        <v>414.3052799999999</v>
      </c>
      <c r="AS59" s="132"/>
      <c r="AT59" s="132"/>
      <c r="AU59" s="132"/>
      <c r="AV59" s="137">
        <f t="shared" si="5"/>
        <v>50.4</v>
      </c>
      <c r="AW59" s="137">
        <f t="shared" si="6"/>
        <v>47.99999999999999</v>
      </c>
      <c r="AX59" s="136">
        <f t="shared" si="7"/>
        <v>0.37</v>
      </c>
      <c r="AY59" s="79">
        <v>18</v>
      </c>
      <c r="AZ59" s="125">
        <f t="shared" si="8"/>
        <v>1.2083903999999999</v>
      </c>
      <c r="BA59" s="125">
        <f t="shared" si="9"/>
        <v>1.1508479999999999</v>
      </c>
      <c r="BB59" s="79">
        <v>30</v>
      </c>
      <c r="BC59" s="79">
        <v>12</v>
      </c>
      <c r="BD59" s="125">
        <f t="shared" si="10"/>
        <v>435.020544</v>
      </c>
      <c r="BE59" s="125">
        <f t="shared" si="11"/>
        <v>414.3052799999999</v>
      </c>
      <c r="BF59" s="130">
        <v>90</v>
      </c>
      <c r="BG59" s="130">
        <v>90</v>
      </c>
      <c r="BH59" s="136">
        <f t="shared" si="28"/>
        <v>0.37</v>
      </c>
      <c r="BI59" s="130">
        <v>18</v>
      </c>
      <c r="BJ59" s="125">
        <f t="shared" si="12"/>
        <v>2.1578399999999998</v>
      </c>
      <c r="BK59" s="125">
        <f t="shared" si="13"/>
        <v>2.1578399999999998</v>
      </c>
      <c r="BL59" s="130">
        <v>30</v>
      </c>
      <c r="BM59" s="130">
        <v>12</v>
      </c>
      <c r="BN59" s="142">
        <f t="shared" si="14"/>
        <v>776.8223999999999</v>
      </c>
      <c r="BO59" s="142">
        <f t="shared" si="15"/>
        <v>776.8223999999999</v>
      </c>
      <c r="BP59" s="180">
        <f t="shared" si="16"/>
        <v>605.921472</v>
      </c>
      <c r="BQ59" s="180">
        <f t="shared" si="17"/>
        <v>595.5638399999999</v>
      </c>
      <c r="BR59" s="197">
        <f t="shared" si="18"/>
        <v>780</v>
      </c>
      <c r="BS59" s="197">
        <f t="shared" si="19"/>
        <v>780</v>
      </c>
      <c r="BT59" s="197">
        <f t="shared" si="20"/>
        <v>610</v>
      </c>
      <c r="BU59" s="197">
        <f t="shared" si="21"/>
        <v>600</v>
      </c>
      <c r="BV59" s="197">
        <f t="shared" si="22"/>
        <v>610</v>
      </c>
      <c r="BW59" s="197">
        <f t="shared" si="23"/>
        <v>600</v>
      </c>
      <c r="BX59" s="197">
        <f t="shared" si="24"/>
        <v>610</v>
      </c>
      <c r="BY59" s="197">
        <f t="shared" si="25"/>
        <v>600</v>
      </c>
      <c r="BZ59" s="197">
        <f t="shared" si="26"/>
        <v>610</v>
      </c>
      <c r="CA59" s="197">
        <f t="shared" si="27"/>
        <v>600</v>
      </c>
      <c r="CC59" s="214"/>
    </row>
    <row r="60" spans="1:81" s="21" customFormat="1" ht="71.25" customHeight="1">
      <c r="A60" s="8">
        <v>85</v>
      </c>
      <c r="B60" s="4" t="s">
        <v>541</v>
      </c>
      <c r="C60" s="4" t="s">
        <v>19</v>
      </c>
      <c r="D60" s="4">
        <v>2</v>
      </c>
      <c r="E60" s="4" t="s">
        <v>398</v>
      </c>
      <c r="F60" s="8" t="s">
        <v>400</v>
      </c>
      <c r="G60" s="8" t="s">
        <v>21</v>
      </c>
      <c r="H60" s="8" t="s">
        <v>11</v>
      </c>
      <c r="I60" s="9"/>
      <c r="J60" s="9"/>
      <c r="K60" s="9"/>
      <c r="L60" s="9"/>
      <c r="M60" s="9"/>
      <c r="N60" s="9"/>
      <c r="O60" s="5" t="s">
        <v>51</v>
      </c>
      <c r="P60" s="8" t="s">
        <v>55</v>
      </c>
      <c r="Q60" s="8" t="s">
        <v>399</v>
      </c>
      <c r="R60" s="8" t="s">
        <v>899</v>
      </c>
      <c r="S60" s="4" t="s">
        <v>1179</v>
      </c>
      <c r="T60" s="4">
        <v>4</v>
      </c>
      <c r="U60" s="96">
        <f>X60/T60</f>
        <v>0.01025</v>
      </c>
      <c r="V60" s="8">
        <v>77</v>
      </c>
      <c r="W60" s="186">
        <f>'Estandarización parámetros SJB'!$C$113</f>
        <v>21</v>
      </c>
      <c r="X60" s="7">
        <f>(0.18+0.001+0.004+0.01+0.01)/5</f>
        <v>0.041</v>
      </c>
      <c r="Y60" s="8">
        <v>18</v>
      </c>
      <c r="Z60" s="7">
        <f>X60*V60*Y60*0.0036</f>
        <v>0.2045736</v>
      </c>
      <c r="AA60" s="7">
        <f>X60*W60*Y60*0.0036</f>
        <v>0.0557928</v>
      </c>
      <c r="AB60" s="8">
        <v>30</v>
      </c>
      <c r="AC60" s="8">
        <v>12</v>
      </c>
      <c r="AD60" s="13">
        <f t="shared" si="35"/>
        <v>73.646496</v>
      </c>
      <c r="AE60" s="13">
        <f t="shared" si="36"/>
        <v>20.085408</v>
      </c>
      <c r="AF60" s="4" t="s">
        <v>1092</v>
      </c>
      <c r="AG60" s="4">
        <v>4</v>
      </c>
      <c r="AH60" s="40">
        <f t="shared" si="42"/>
        <v>0.01025</v>
      </c>
      <c r="AI60" s="8">
        <v>77</v>
      </c>
      <c r="AJ60" s="186">
        <f>'Estandarización parámetros SJB'!$F$113</f>
        <v>14</v>
      </c>
      <c r="AK60" s="7">
        <f>(0.18+0.001+0.004+0.01+0.01)/5</f>
        <v>0.041</v>
      </c>
      <c r="AL60" s="8">
        <v>18</v>
      </c>
      <c r="AM60" s="7">
        <f t="shared" si="40"/>
        <v>0.2045736</v>
      </c>
      <c r="AN60" s="7">
        <f t="shared" si="41"/>
        <v>0.037195200000000005</v>
      </c>
      <c r="AO60" s="8">
        <v>30</v>
      </c>
      <c r="AP60" s="8">
        <v>12</v>
      </c>
      <c r="AQ60" s="13">
        <f t="shared" si="37"/>
        <v>73.646496</v>
      </c>
      <c r="AR60" s="80">
        <f t="shared" si="38"/>
        <v>13.390272000000003</v>
      </c>
      <c r="AS60" s="132"/>
      <c r="AT60" s="132"/>
      <c r="AU60" s="132"/>
      <c r="AV60" s="137">
        <f t="shared" si="5"/>
        <v>77</v>
      </c>
      <c r="AW60" s="137">
        <f t="shared" si="6"/>
        <v>17.5</v>
      </c>
      <c r="AX60" s="136">
        <f t="shared" si="7"/>
        <v>0.041</v>
      </c>
      <c r="AY60" s="79">
        <v>18</v>
      </c>
      <c r="AZ60" s="125">
        <f t="shared" si="8"/>
        <v>0.2045736</v>
      </c>
      <c r="BA60" s="125">
        <f t="shared" si="9"/>
        <v>0.046494</v>
      </c>
      <c r="BB60" s="79">
        <v>30</v>
      </c>
      <c r="BC60" s="79">
        <v>12</v>
      </c>
      <c r="BD60" s="125">
        <f t="shared" si="10"/>
        <v>73.646496</v>
      </c>
      <c r="BE60" s="125">
        <f t="shared" si="11"/>
        <v>16.73784</v>
      </c>
      <c r="BF60" s="130">
        <v>90</v>
      </c>
      <c r="BG60" s="130">
        <v>90</v>
      </c>
      <c r="BH60" s="136">
        <f t="shared" si="28"/>
        <v>0.041</v>
      </c>
      <c r="BI60" s="130">
        <v>18</v>
      </c>
      <c r="BJ60" s="125">
        <f t="shared" si="12"/>
        <v>0.239112</v>
      </c>
      <c r="BK60" s="125">
        <f t="shared" si="13"/>
        <v>0.239112</v>
      </c>
      <c r="BL60" s="130">
        <v>30</v>
      </c>
      <c r="BM60" s="130">
        <v>12</v>
      </c>
      <c r="BN60" s="142">
        <f t="shared" si="14"/>
        <v>86.08032</v>
      </c>
      <c r="BO60" s="142">
        <f t="shared" si="15"/>
        <v>86.08032</v>
      </c>
      <c r="BP60" s="180">
        <f t="shared" si="16"/>
        <v>79.86340799999999</v>
      </c>
      <c r="BQ60" s="180">
        <f t="shared" si="17"/>
        <v>51.40908</v>
      </c>
      <c r="BR60" s="197">
        <f t="shared" si="18"/>
        <v>90</v>
      </c>
      <c r="BS60" s="197">
        <f t="shared" si="19"/>
        <v>90</v>
      </c>
      <c r="BT60" s="197">
        <f t="shared" si="20"/>
        <v>80</v>
      </c>
      <c r="BU60" s="197">
        <f t="shared" si="21"/>
        <v>60</v>
      </c>
      <c r="BV60" s="197">
        <f t="shared" si="22"/>
        <v>80</v>
      </c>
      <c r="BW60" s="197">
        <f t="shared" si="23"/>
        <v>60</v>
      </c>
      <c r="BX60" s="197">
        <f t="shared" si="24"/>
        <v>80</v>
      </c>
      <c r="BY60" s="197">
        <f t="shared" si="25"/>
        <v>60</v>
      </c>
      <c r="BZ60" s="197">
        <f t="shared" si="26"/>
        <v>80</v>
      </c>
      <c r="CA60" s="197">
        <f t="shared" si="27"/>
        <v>60</v>
      </c>
      <c r="CC60" s="214"/>
    </row>
    <row r="61" spans="1:81" s="21" customFormat="1" ht="54" customHeight="1">
      <c r="A61" s="8">
        <v>86</v>
      </c>
      <c r="B61" s="4" t="s">
        <v>50</v>
      </c>
      <c r="C61" s="4" t="s">
        <v>19</v>
      </c>
      <c r="D61" s="4">
        <v>2</v>
      </c>
      <c r="E61" s="4" t="s">
        <v>500</v>
      </c>
      <c r="F61" s="4" t="s">
        <v>501</v>
      </c>
      <c r="G61" s="9" t="s">
        <v>531</v>
      </c>
      <c r="H61" s="9" t="s">
        <v>227</v>
      </c>
      <c r="I61" s="17" t="s">
        <v>502</v>
      </c>
      <c r="J61" s="25">
        <v>43941</v>
      </c>
      <c r="K61" s="25">
        <v>43960</v>
      </c>
      <c r="L61" s="9" t="s">
        <v>10</v>
      </c>
      <c r="M61" s="9" t="s">
        <v>74</v>
      </c>
      <c r="N61" s="47">
        <v>2025</v>
      </c>
      <c r="O61" s="8" t="s">
        <v>51</v>
      </c>
      <c r="P61" s="8" t="s">
        <v>55</v>
      </c>
      <c r="Q61" s="8" t="s">
        <v>761</v>
      </c>
      <c r="R61" s="8" t="s">
        <v>900</v>
      </c>
      <c r="S61" s="4"/>
      <c r="T61" s="4">
        <v>8</v>
      </c>
      <c r="U61" s="4"/>
      <c r="V61" s="124">
        <f>'Estandarización parámetros SJB'!$C$62</f>
        <v>32</v>
      </c>
      <c r="W61" s="124">
        <f>'Estandarización parámetros SJB'!$C$113</f>
        <v>21</v>
      </c>
      <c r="X61" s="112">
        <f>T61*'Estandarización parámetros SJB'!$C$3</f>
        <v>0.14577777777777778</v>
      </c>
      <c r="Y61" s="8"/>
      <c r="Z61" s="7">
        <f>Y61*X61*V61*0.0036</f>
        <v>0</v>
      </c>
      <c r="AA61" s="7">
        <f>X61*Y61*W61*0.0036</f>
        <v>0</v>
      </c>
      <c r="AB61" s="8">
        <v>30</v>
      </c>
      <c r="AC61" s="8">
        <v>12</v>
      </c>
      <c r="AD61" s="29">
        <f t="shared" si="35"/>
        <v>0</v>
      </c>
      <c r="AE61" s="13">
        <f t="shared" si="36"/>
        <v>0</v>
      </c>
      <c r="AF61" s="4" t="s">
        <v>1093</v>
      </c>
      <c r="AG61" s="4">
        <v>8</v>
      </c>
      <c r="AH61" s="40">
        <f t="shared" si="42"/>
        <v>0.0195</v>
      </c>
      <c r="AI61" s="186">
        <f>'Estandarización parámetros SJB'!$F$62</f>
        <v>18</v>
      </c>
      <c r="AJ61" s="44">
        <v>45</v>
      </c>
      <c r="AK61" s="8">
        <v>0.156</v>
      </c>
      <c r="AL61" s="8">
        <v>18</v>
      </c>
      <c r="AM61" s="7">
        <f>AL61*AK61*AI61*0.0036</f>
        <v>0.1819584</v>
      </c>
      <c r="AN61" s="7">
        <f>AK61*AL61*AJ61*0.0036</f>
        <v>0.4548959999999999</v>
      </c>
      <c r="AO61" s="8">
        <v>30</v>
      </c>
      <c r="AP61" s="8">
        <v>12</v>
      </c>
      <c r="AQ61" s="29">
        <f t="shared" si="37"/>
        <v>65.50502399999999</v>
      </c>
      <c r="AR61" s="80">
        <f t="shared" si="38"/>
        <v>163.76255999999998</v>
      </c>
      <c r="AS61" s="133" t="s">
        <v>1183</v>
      </c>
      <c r="AT61" s="133" t="s">
        <v>1180</v>
      </c>
      <c r="AU61" s="134">
        <v>100</v>
      </c>
      <c r="AV61" s="137">
        <f t="shared" si="5"/>
        <v>24.76288659793814</v>
      </c>
      <c r="AW61" s="137">
        <f t="shared" si="6"/>
        <v>33.40648011782032</v>
      </c>
      <c r="AX61" s="136">
        <f t="shared" si="7"/>
        <v>0.1508888888888889</v>
      </c>
      <c r="AY61" s="79">
        <v>18</v>
      </c>
      <c r="AZ61" s="125">
        <f t="shared" si="8"/>
        <v>0.2421216</v>
      </c>
      <c r="BA61" s="125">
        <f t="shared" si="9"/>
        <v>0.3266352</v>
      </c>
      <c r="BB61" s="79">
        <v>30</v>
      </c>
      <c r="BC61" s="79">
        <v>12</v>
      </c>
      <c r="BD61" s="125">
        <f t="shared" si="10"/>
        <v>87.163776</v>
      </c>
      <c r="BE61" s="125">
        <f t="shared" si="11"/>
        <v>117.588672</v>
      </c>
      <c r="BF61" s="128">
        <v>90</v>
      </c>
      <c r="BG61" s="128">
        <v>100</v>
      </c>
      <c r="BH61" s="136">
        <f t="shared" si="28"/>
        <v>0.1508888888888889</v>
      </c>
      <c r="BI61" s="130">
        <v>18</v>
      </c>
      <c r="BJ61" s="125">
        <f t="shared" si="12"/>
        <v>0.8799840000000001</v>
      </c>
      <c r="BK61" s="125">
        <f t="shared" si="13"/>
        <v>0.9777600000000001</v>
      </c>
      <c r="BL61" s="130">
        <v>30</v>
      </c>
      <c r="BM61" s="130">
        <v>12</v>
      </c>
      <c r="BN61" s="142">
        <f t="shared" si="14"/>
        <v>316.79424000000006</v>
      </c>
      <c r="BO61" s="142">
        <f t="shared" si="15"/>
        <v>351.9936</v>
      </c>
      <c r="BP61" s="180">
        <f t="shared" si="16"/>
        <v>201.97900800000002</v>
      </c>
      <c r="BQ61" s="180">
        <f t="shared" si="17"/>
        <v>234.791136</v>
      </c>
      <c r="BR61" s="197">
        <f t="shared" si="18"/>
        <v>320</v>
      </c>
      <c r="BS61" s="197">
        <f t="shared" si="19"/>
        <v>360</v>
      </c>
      <c r="BT61" s="197">
        <f t="shared" si="20"/>
        <v>210</v>
      </c>
      <c r="BU61" s="197">
        <f t="shared" si="21"/>
        <v>240</v>
      </c>
      <c r="BV61" s="197">
        <f t="shared" si="22"/>
        <v>210</v>
      </c>
      <c r="BW61" s="197">
        <f t="shared" si="23"/>
        <v>240</v>
      </c>
      <c r="BX61" s="197">
        <f t="shared" si="24"/>
        <v>210</v>
      </c>
      <c r="BY61" s="197">
        <f t="shared" si="25"/>
        <v>240</v>
      </c>
      <c r="BZ61" s="197">
        <f t="shared" si="26"/>
        <v>210</v>
      </c>
      <c r="CA61" s="197">
        <f t="shared" si="27"/>
        <v>240</v>
      </c>
      <c r="CC61" s="214"/>
    </row>
    <row r="62" spans="1:81" s="21" customFormat="1" ht="94.5" customHeight="1">
      <c r="A62" s="8">
        <v>87</v>
      </c>
      <c r="B62" s="4" t="s">
        <v>50</v>
      </c>
      <c r="C62" s="4" t="s">
        <v>19</v>
      </c>
      <c r="D62" s="4">
        <v>2</v>
      </c>
      <c r="E62" s="4" t="s">
        <v>503</v>
      </c>
      <c r="F62" s="4" t="s">
        <v>504</v>
      </c>
      <c r="G62" s="9" t="s">
        <v>494</v>
      </c>
      <c r="H62" s="9" t="s">
        <v>11</v>
      </c>
      <c r="I62" s="17"/>
      <c r="J62" s="25"/>
      <c r="K62" s="9"/>
      <c r="L62" s="9"/>
      <c r="M62" s="9"/>
      <c r="N62" s="25"/>
      <c r="O62" s="8" t="s">
        <v>51</v>
      </c>
      <c r="P62" s="8" t="s">
        <v>55</v>
      </c>
      <c r="Q62" s="8" t="s">
        <v>762</v>
      </c>
      <c r="R62" s="8" t="s">
        <v>901</v>
      </c>
      <c r="S62" s="4"/>
      <c r="T62" s="4">
        <v>4</v>
      </c>
      <c r="U62" s="4"/>
      <c r="V62" s="124">
        <f>'Estandarización parámetros SJB'!$C$62</f>
        <v>32</v>
      </c>
      <c r="W62" s="124">
        <f>'Estandarización parámetros SJB'!$C$113</f>
        <v>21</v>
      </c>
      <c r="X62" s="112">
        <f>T62*'Estandarización parámetros SJB'!$C$3</f>
        <v>0.07288888888888889</v>
      </c>
      <c r="Y62" s="7"/>
      <c r="Z62" s="7">
        <f>Y62*X62*V62*0.0036</f>
        <v>0</v>
      </c>
      <c r="AA62" s="7">
        <f>X62*Y62*W62*0.0036</f>
        <v>0</v>
      </c>
      <c r="AB62" s="5">
        <v>30</v>
      </c>
      <c r="AC62" s="5">
        <v>12</v>
      </c>
      <c r="AD62" s="29">
        <f t="shared" si="35"/>
        <v>0</v>
      </c>
      <c r="AE62" s="29">
        <f t="shared" si="36"/>
        <v>0</v>
      </c>
      <c r="AF62" s="4" t="s">
        <v>1055</v>
      </c>
      <c r="AG62" s="4">
        <v>4</v>
      </c>
      <c r="AH62" s="4"/>
      <c r="AI62" s="39">
        <f>'Estandarización parámetros SJB'!$F$62</f>
        <v>18</v>
      </c>
      <c r="AJ62" s="39">
        <f>'Estandarización parámetros SJB'!$F$113</f>
        <v>14</v>
      </c>
      <c r="AK62" s="112">
        <f>AG62*'Estandarización parámetros SJB'!$F$3</f>
        <v>0.065</v>
      </c>
      <c r="AL62" s="7"/>
      <c r="AM62" s="34">
        <f>(50*4*4)/1000</f>
        <v>0.8</v>
      </c>
      <c r="AN62" s="34">
        <f>50*4*4/1000</f>
        <v>0.8</v>
      </c>
      <c r="AO62" s="5">
        <v>30</v>
      </c>
      <c r="AP62" s="5">
        <v>12</v>
      </c>
      <c r="AQ62" s="29">
        <f t="shared" si="37"/>
        <v>288</v>
      </c>
      <c r="AR62" s="81">
        <f t="shared" si="38"/>
        <v>288</v>
      </c>
      <c r="AS62" s="132"/>
      <c r="AT62" s="132"/>
      <c r="AU62" s="132"/>
      <c r="AV62" s="137">
        <f t="shared" si="5"/>
        <v>25.400483481063656</v>
      </c>
      <c r="AW62" s="137">
        <f t="shared" si="6"/>
        <v>17.70024174053183</v>
      </c>
      <c r="AX62" s="136">
        <f t="shared" si="7"/>
        <v>0.06894444444444445</v>
      </c>
      <c r="AY62" s="79">
        <v>18</v>
      </c>
      <c r="AZ62" s="125">
        <f t="shared" si="8"/>
        <v>0.11347919999999997</v>
      </c>
      <c r="BA62" s="125">
        <f t="shared" si="9"/>
        <v>0.0790776</v>
      </c>
      <c r="BB62" s="79">
        <v>30</v>
      </c>
      <c r="BC62" s="79">
        <v>12</v>
      </c>
      <c r="BD62" s="125">
        <f t="shared" si="10"/>
        <v>40.85251199999999</v>
      </c>
      <c r="BE62" s="125">
        <f t="shared" si="11"/>
        <v>28.467936</v>
      </c>
      <c r="BF62" s="130">
        <v>90</v>
      </c>
      <c r="BG62" s="130">
        <v>90</v>
      </c>
      <c r="BH62" s="136">
        <f t="shared" si="28"/>
        <v>0.06894444444444445</v>
      </c>
      <c r="BI62" s="130">
        <v>18</v>
      </c>
      <c r="BJ62" s="125">
        <f t="shared" si="12"/>
        <v>0.402084</v>
      </c>
      <c r="BK62" s="125">
        <f t="shared" si="13"/>
        <v>0.402084</v>
      </c>
      <c r="BL62" s="130">
        <v>30</v>
      </c>
      <c r="BM62" s="130">
        <v>12</v>
      </c>
      <c r="BN62" s="142">
        <f t="shared" si="14"/>
        <v>144.75024</v>
      </c>
      <c r="BO62" s="142">
        <f t="shared" si="15"/>
        <v>144.75024</v>
      </c>
      <c r="BP62" s="180">
        <f t="shared" si="16"/>
        <v>92.80137599999999</v>
      </c>
      <c r="BQ62" s="180">
        <f t="shared" si="17"/>
        <v>86.609088</v>
      </c>
      <c r="BR62" s="197">
        <f t="shared" si="18"/>
        <v>150</v>
      </c>
      <c r="BS62" s="197">
        <f t="shared" si="19"/>
        <v>150</v>
      </c>
      <c r="BT62" s="197">
        <f t="shared" si="20"/>
        <v>100</v>
      </c>
      <c r="BU62" s="197">
        <f t="shared" si="21"/>
        <v>90</v>
      </c>
      <c r="BV62" s="197">
        <f t="shared" si="22"/>
        <v>100</v>
      </c>
      <c r="BW62" s="197">
        <f t="shared" si="23"/>
        <v>90</v>
      </c>
      <c r="BX62" s="197">
        <f t="shared" si="24"/>
        <v>100</v>
      </c>
      <c r="BY62" s="197">
        <f t="shared" si="25"/>
        <v>90</v>
      </c>
      <c r="BZ62" s="197">
        <f t="shared" si="26"/>
        <v>100</v>
      </c>
      <c r="CA62" s="197">
        <f t="shared" si="27"/>
        <v>90</v>
      </c>
      <c r="CC62" s="214"/>
    </row>
    <row r="63" spans="1:81" s="21" customFormat="1" ht="97.5" customHeight="1">
      <c r="A63" s="8">
        <v>88</v>
      </c>
      <c r="B63" s="4" t="s">
        <v>50</v>
      </c>
      <c r="C63" s="4" t="s">
        <v>19</v>
      </c>
      <c r="D63" s="4">
        <v>2</v>
      </c>
      <c r="E63" s="4" t="s">
        <v>519</v>
      </c>
      <c r="F63" s="4" t="s">
        <v>521</v>
      </c>
      <c r="G63" s="9" t="s">
        <v>520</v>
      </c>
      <c r="H63" s="9" t="s">
        <v>11</v>
      </c>
      <c r="I63" s="17"/>
      <c r="J63" s="25"/>
      <c r="K63" s="9"/>
      <c r="L63" s="9"/>
      <c r="M63" s="9"/>
      <c r="N63" s="25"/>
      <c r="O63" s="8" t="s">
        <v>51</v>
      </c>
      <c r="P63" s="8" t="s">
        <v>55</v>
      </c>
      <c r="Q63" s="8" t="s">
        <v>763</v>
      </c>
      <c r="R63" s="8" t="s">
        <v>902</v>
      </c>
      <c r="S63" s="4"/>
      <c r="T63" s="4">
        <v>4</v>
      </c>
      <c r="U63" s="4"/>
      <c r="V63" s="124">
        <f>'Estandarización parámetros SJB'!$C$62</f>
        <v>32</v>
      </c>
      <c r="W63" s="124">
        <f>'Estandarización parámetros SJB'!$C$113</f>
        <v>21</v>
      </c>
      <c r="X63" s="112">
        <f>T63*'Estandarización parámetros SJB'!$C$3</f>
        <v>0.07288888888888889</v>
      </c>
      <c r="Y63" s="8">
        <v>18</v>
      </c>
      <c r="Z63" s="7">
        <f>Y63*X63*V63*0.0036</f>
        <v>0.1511424</v>
      </c>
      <c r="AA63" s="7">
        <f>X63*Y63*W63*0.0036</f>
        <v>0.09918719999999999</v>
      </c>
      <c r="AB63" s="8">
        <v>30</v>
      </c>
      <c r="AC63" s="8">
        <v>12</v>
      </c>
      <c r="AD63" s="29">
        <f>Z63*AB63*AC63</f>
        <v>54.411264</v>
      </c>
      <c r="AE63" s="13">
        <f>AA63*AB63*AC63</f>
        <v>35.707392</v>
      </c>
      <c r="AF63" s="4" t="s">
        <v>687</v>
      </c>
      <c r="AG63" s="4">
        <v>4</v>
      </c>
      <c r="AH63" s="40">
        <f aca="true" t="shared" si="43" ref="AH63:AH90">AK63/AG63</f>
        <v>0.004</v>
      </c>
      <c r="AI63" s="8">
        <v>56</v>
      </c>
      <c r="AJ63" s="44">
        <v>17</v>
      </c>
      <c r="AK63" s="8">
        <v>0.016</v>
      </c>
      <c r="AL63" s="8">
        <v>18</v>
      </c>
      <c r="AM63" s="7">
        <f>AL63*AK63*AI63*0.0036</f>
        <v>0.058060799999999996</v>
      </c>
      <c r="AN63" s="7">
        <f>AK63*AL63*AJ63*0.0036</f>
        <v>0.0176256</v>
      </c>
      <c r="AO63" s="8">
        <v>30</v>
      </c>
      <c r="AP63" s="8">
        <v>12</v>
      </c>
      <c r="AQ63" s="29">
        <f>AM63*AO63*AP63</f>
        <v>20.901888</v>
      </c>
      <c r="AR63" s="80">
        <f>AN63*AO63*AP63</f>
        <v>6.345216000000001</v>
      </c>
      <c r="AS63" s="132"/>
      <c r="AT63" s="132"/>
      <c r="AU63" s="132"/>
      <c r="AV63" s="137">
        <f t="shared" si="5"/>
        <v>36.32</v>
      </c>
      <c r="AW63" s="137">
        <f t="shared" si="6"/>
        <v>20.28</v>
      </c>
      <c r="AX63" s="136">
        <f t="shared" si="7"/>
        <v>0.044444444444444446</v>
      </c>
      <c r="AY63" s="79">
        <v>18</v>
      </c>
      <c r="AZ63" s="125">
        <f t="shared" si="8"/>
        <v>0.1046016</v>
      </c>
      <c r="BA63" s="125">
        <f t="shared" si="9"/>
        <v>0.0584064</v>
      </c>
      <c r="BB63" s="79">
        <v>30</v>
      </c>
      <c r="BC63" s="79">
        <v>12</v>
      </c>
      <c r="BD63" s="125">
        <f t="shared" si="10"/>
        <v>37.656576</v>
      </c>
      <c r="BE63" s="125">
        <f t="shared" si="11"/>
        <v>21.026304</v>
      </c>
      <c r="BF63" s="130">
        <v>90</v>
      </c>
      <c r="BG63" s="130">
        <v>90</v>
      </c>
      <c r="BH63" s="136">
        <f t="shared" si="28"/>
        <v>0.044444444444444446</v>
      </c>
      <c r="BI63" s="130">
        <v>18</v>
      </c>
      <c r="BJ63" s="125">
        <f t="shared" si="12"/>
        <v>0.2592</v>
      </c>
      <c r="BK63" s="125">
        <f t="shared" si="13"/>
        <v>0.2592</v>
      </c>
      <c r="BL63" s="130">
        <v>30</v>
      </c>
      <c r="BM63" s="130">
        <v>12</v>
      </c>
      <c r="BN63" s="142">
        <f t="shared" si="14"/>
        <v>93.312</v>
      </c>
      <c r="BO63" s="142">
        <f t="shared" si="15"/>
        <v>93.312</v>
      </c>
      <c r="BP63" s="180">
        <f t="shared" si="16"/>
        <v>65.48428799999999</v>
      </c>
      <c r="BQ63" s="180">
        <f t="shared" si="17"/>
        <v>57.169152</v>
      </c>
      <c r="BR63" s="197">
        <f t="shared" si="18"/>
        <v>100</v>
      </c>
      <c r="BS63" s="197">
        <f t="shared" si="19"/>
        <v>100</v>
      </c>
      <c r="BT63" s="197">
        <f t="shared" si="20"/>
        <v>70</v>
      </c>
      <c r="BU63" s="197">
        <f t="shared" si="21"/>
        <v>60</v>
      </c>
      <c r="BV63" s="197">
        <f t="shared" si="22"/>
        <v>70</v>
      </c>
      <c r="BW63" s="197">
        <f t="shared" si="23"/>
        <v>60</v>
      </c>
      <c r="BX63" s="197">
        <f t="shared" si="24"/>
        <v>70</v>
      </c>
      <c r="BY63" s="197">
        <f t="shared" si="25"/>
        <v>60</v>
      </c>
      <c r="BZ63" s="197">
        <f t="shared" si="26"/>
        <v>70</v>
      </c>
      <c r="CA63" s="197">
        <f t="shared" si="27"/>
        <v>60</v>
      </c>
      <c r="CC63" s="214"/>
    </row>
    <row r="64" spans="1:81" s="21" customFormat="1" ht="97.5" customHeight="1">
      <c r="A64" s="8">
        <v>89</v>
      </c>
      <c r="B64" s="4" t="s">
        <v>648</v>
      </c>
      <c r="C64" s="4" t="s">
        <v>19</v>
      </c>
      <c r="D64" s="4">
        <v>2</v>
      </c>
      <c r="E64" s="74" t="s">
        <v>617</v>
      </c>
      <c r="F64" s="74" t="s">
        <v>582</v>
      </c>
      <c r="G64" s="75" t="s">
        <v>21</v>
      </c>
      <c r="H64" s="75" t="s">
        <v>11</v>
      </c>
      <c r="I64" s="26" t="s">
        <v>67</v>
      </c>
      <c r="J64" s="26" t="s">
        <v>67</v>
      </c>
      <c r="K64" s="26" t="s">
        <v>67</v>
      </c>
      <c r="L64" s="26" t="s">
        <v>67</v>
      </c>
      <c r="M64" s="26" t="s">
        <v>67</v>
      </c>
      <c r="N64" s="26" t="s">
        <v>67</v>
      </c>
      <c r="O64" s="8" t="s">
        <v>51</v>
      </c>
      <c r="P64" s="8" t="s">
        <v>55</v>
      </c>
      <c r="Q64" s="8" t="s">
        <v>764</v>
      </c>
      <c r="R64" s="8" t="s">
        <v>903</v>
      </c>
      <c r="S64" s="4"/>
      <c r="T64" s="4">
        <v>1</v>
      </c>
      <c r="U64" s="4"/>
      <c r="V64" s="124">
        <f>'Estandarización parámetros SJB'!$C$62</f>
        <v>32</v>
      </c>
      <c r="W64" s="124">
        <f>'Estandarización parámetros SJB'!$C$113</f>
        <v>21</v>
      </c>
      <c r="X64" s="112">
        <f>T64*'Estandarización parámetros SJB'!$C$3</f>
        <v>0.018222222222222223</v>
      </c>
      <c r="Y64" s="44">
        <v>18</v>
      </c>
      <c r="Z64" s="50">
        <f aca="true" t="shared" si="44" ref="Z64:Z72">X64*V64*Y64*0.0036</f>
        <v>0.0377856</v>
      </c>
      <c r="AA64" s="50">
        <f aca="true" t="shared" si="45" ref="AA64:AA72">X64*W64*Y64*0.0036</f>
        <v>0.0247968</v>
      </c>
      <c r="AB64" s="71">
        <v>30</v>
      </c>
      <c r="AC64" s="71">
        <v>12</v>
      </c>
      <c r="AD64" s="51">
        <f aca="true" t="shared" si="46" ref="AD64:AD90">Z64*AB64*AC64</f>
        <v>13.602816</v>
      </c>
      <c r="AE64" s="51">
        <f aca="true" t="shared" si="47" ref="AE64:AE90">AA64*AB64*AC64</f>
        <v>8.926848</v>
      </c>
      <c r="AF64" s="4" t="s">
        <v>1094</v>
      </c>
      <c r="AG64" s="4">
        <v>4</v>
      </c>
      <c r="AH64" s="40">
        <f t="shared" si="43"/>
        <v>0.0275</v>
      </c>
      <c r="AI64" s="8">
        <v>33</v>
      </c>
      <c r="AJ64" s="44">
        <v>11</v>
      </c>
      <c r="AK64" s="8">
        <v>0.11</v>
      </c>
      <c r="AL64" s="44">
        <v>18</v>
      </c>
      <c r="AM64" s="50">
        <f aca="true" t="shared" si="48" ref="AM64:AM72">AK64*AI64*AL64*0.0036</f>
        <v>0.23522400000000002</v>
      </c>
      <c r="AN64" s="50">
        <f aca="true" t="shared" si="49" ref="AN64:AN72">AK64*AJ64*AL64*0.0036</f>
        <v>0.078408</v>
      </c>
      <c r="AO64" s="71">
        <v>30</v>
      </c>
      <c r="AP64" s="71">
        <v>12</v>
      </c>
      <c r="AQ64" s="51">
        <f aca="true" t="shared" si="50" ref="AQ64:AQ90">AM64*AO64*AP64</f>
        <v>84.68064000000001</v>
      </c>
      <c r="AR64" s="86">
        <f aca="true" t="shared" si="51" ref="AR64:AR90">AN64*AO64*AP64</f>
        <v>28.22688</v>
      </c>
      <c r="AS64" s="132"/>
      <c r="AT64" s="132"/>
      <c r="AU64" s="132"/>
      <c r="AV64" s="137">
        <f t="shared" si="5"/>
        <v>32.8578856152513</v>
      </c>
      <c r="AW64" s="137">
        <f t="shared" si="6"/>
        <v>12.421143847487</v>
      </c>
      <c r="AX64" s="136">
        <f t="shared" si="7"/>
        <v>0.06411111111111112</v>
      </c>
      <c r="AY64" s="79">
        <v>18</v>
      </c>
      <c r="AZ64" s="125">
        <f t="shared" si="8"/>
        <v>0.13650479999999998</v>
      </c>
      <c r="BA64" s="125">
        <f t="shared" si="9"/>
        <v>0.0516024</v>
      </c>
      <c r="BB64" s="79">
        <v>30</v>
      </c>
      <c r="BC64" s="79">
        <v>12</v>
      </c>
      <c r="BD64" s="125">
        <f t="shared" si="10"/>
        <v>49.14172799999999</v>
      </c>
      <c r="BE64" s="125">
        <f t="shared" si="11"/>
        <v>18.576864</v>
      </c>
      <c r="BF64" s="130">
        <v>90</v>
      </c>
      <c r="BG64" s="130">
        <v>90</v>
      </c>
      <c r="BH64" s="136">
        <f t="shared" si="28"/>
        <v>0.06411111111111112</v>
      </c>
      <c r="BI64" s="130">
        <v>18</v>
      </c>
      <c r="BJ64" s="125">
        <f t="shared" si="12"/>
        <v>0.37389600000000006</v>
      </c>
      <c r="BK64" s="125">
        <f t="shared" si="13"/>
        <v>0.37389600000000006</v>
      </c>
      <c r="BL64" s="130">
        <v>30</v>
      </c>
      <c r="BM64" s="130">
        <v>12</v>
      </c>
      <c r="BN64" s="142">
        <f t="shared" si="14"/>
        <v>134.60256</v>
      </c>
      <c r="BO64" s="142">
        <f t="shared" si="15"/>
        <v>134.60256</v>
      </c>
      <c r="BP64" s="180">
        <f t="shared" si="16"/>
        <v>91.872144</v>
      </c>
      <c r="BQ64" s="180">
        <f t="shared" si="17"/>
        <v>76.589712</v>
      </c>
      <c r="BR64" s="197">
        <f t="shared" si="18"/>
        <v>140</v>
      </c>
      <c r="BS64" s="197">
        <f t="shared" si="19"/>
        <v>140</v>
      </c>
      <c r="BT64" s="197">
        <f t="shared" si="20"/>
        <v>100</v>
      </c>
      <c r="BU64" s="197">
        <f t="shared" si="21"/>
        <v>80</v>
      </c>
      <c r="BV64" s="197">
        <f t="shared" si="22"/>
        <v>100</v>
      </c>
      <c r="BW64" s="197">
        <f t="shared" si="23"/>
        <v>80</v>
      </c>
      <c r="BX64" s="197">
        <f t="shared" si="24"/>
        <v>100</v>
      </c>
      <c r="BY64" s="197">
        <f t="shared" si="25"/>
        <v>80</v>
      </c>
      <c r="BZ64" s="197">
        <f t="shared" si="26"/>
        <v>100</v>
      </c>
      <c r="CA64" s="197">
        <f t="shared" si="27"/>
        <v>80</v>
      </c>
      <c r="CC64" s="214"/>
    </row>
    <row r="65" spans="1:81" s="21" customFormat="1" ht="97.5" customHeight="1">
      <c r="A65" s="8">
        <v>90</v>
      </c>
      <c r="B65" s="4" t="s">
        <v>50</v>
      </c>
      <c r="C65" s="4" t="s">
        <v>19</v>
      </c>
      <c r="D65" s="4">
        <v>2</v>
      </c>
      <c r="E65" s="74" t="s">
        <v>618</v>
      </c>
      <c r="F65" s="74" t="s">
        <v>583</v>
      </c>
      <c r="G65" s="75" t="s">
        <v>21</v>
      </c>
      <c r="H65" s="75" t="s">
        <v>11</v>
      </c>
      <c r="I65" s="26" t="s">
        <v>67</v>
      </c>
      <c r="J65" s="26" t="s">
        <v>67</v>
      </c>
      <c r="K65" s="26" t="s">
        <v>67</v>
      </c>
      <c r="L65" s="26" t="s">
        <v>67</v>
      </c>
      <c r="M65" s="26" t="s">
        <v>67</v>
      </c>
      <c r="N65" s="26" t="s">
        <v>67</v>
      </c>
      <c r="O65" s="8" t="s">
        <v>51</v>
      </c>
      <c r="P65" s="8" t="s">
        <v>55</v>
      </c>
      <c r="Q65" s="8" t="s">
        <v>765</v>
      </c>
      <c r="R65" s="8" t="s">
        <v>904</v>
      </c>
      <c r="S65" s="4"/>
      <c r="T65" s="4">
        <v>4</v>
      </c>
      <c r="U65" s="4"/>
      <c r="V65" s="124">
        <f>'Estandarización parámetros SJB'!$C$62</f>
        <v>32</v>
      </c>
      <c r="W65" s="124">
        <f>'Estandarización parámetros SJB'!$C$113</f>
        <v>21</v>
      </c>
      <c r="X65" s="112">
        <f>T65*'Estandarización parámetros SJB'!$C$3</f>
        <v>0.07288888888888889</v>
      </c>
      <c r="Y65" s="44">
        <v>18</v>
      </c>
      <c r="Z65" s="50">
        <f t="shared" si="44"/>
        <v>0.1511424</v>
      </c>
      <c r="AA65" s="50">
        <f t="shared" si="45"/>
        <v>0.0991872</v>
      </c>
      <c r="AB65" s="71">
        <v>30</v>
      </c>
      <c r="AC65" s="71">
        <v>12</v>
      </c>
      <c r="AD65" s="51">
        <f t="shared" si="46"/>
        <v>54.411264</v>
      </c>
      <c r="AE65" s="51">
        <f t="shared" si="47"/>
        <v>35.707392</v>
      </c>
      <c r="AF65" s="4" t="s">
        <v>634</v>
      </c>
      <c r="AG65" s="4">
        <v>4</v>
      </c>
      <c r="AH65" s="40">
        <f t="shared" si="43"/>
        <v>0.02075</v>
      </c>
      <c r="AI65" s="8">
        <v>14</v>
      </c>
      <c r="AJ65" s="44">
        <v>5</v>
      </c>
      <c r="AK65" s="8">
        <v>0.083</v>
      </c>
      <c r="AL65" s="44">
        <v>18</v>
      </c>
      <c r="AM65" s="50">
        <f t="shared" si="48"/>
        <v>0.0752976</v>
      </c>
      <c r="AN65" s="50">
        <f t="shared" si="49"/>
        <v>0.026892000000000003</v>
      </c>
      <c r="AO65" s="71">
        <v>30</v>
      </c>
      <c r="AP65" s="71">
        <v>12</v>
      </c>
      <c r="AQ65" s="51">
        <f t="shared" si="50"/>
        <v>27.107136</v>
      </c>
      <c r="AR65" s="86">
        <f t="shared" si="51"/>
        <v>9.68112</v>
      </c>
      <c r="AS65" s="132"/>
      <c r="AT65" s="132"/>
      <c r="AU65" s="132"/>
      <c r="AV65" s="137">
        <f t="shared" si="5"/>
        <v>22.416250890947964</v>
      </c>
      <c r="AW65" s="137">
        <f t="shared" si="6"/>
        <v>12.48111190306486</v>
      </c>
      <c r="AX65" s="136">
        <f t="shared" si="7"/>
        <v>0.07794444444444446</v>
      </c>
      <c r="AY65" s="79">
        <v>18</v>
      </c>
      <c r="AZ65" s="125">
        <f t="shared" si="8"/>
        <v>0.11321999999999999</v>
      </c>
      <c r="BA65" s="125">
        <f t="shared" si="9"/>
        <v>0.06303960000000002</v>
      </c>
      <c r="BB65" s="79">
        <v>30</v>
      </c>
      <c r="BC65" s="79">
        <v>12</v>
      </c>
      <c r="BD65" s="125">
        <f t="shared" si="10"/>
        <v>40.75919999999999</v>
      </c>
      <c r="BE65" s="125">
        <f t="shared" si="11"/>
        <v>22.694256000000006</v>
      </c>
      <c r="BF65" s="130">
        <v>90</v>
      </c>
      <c r="BG65" s="130">
        <v>90</v>
      </c>
      <c r="BH65" s="136">
        <f t="shared" si="28"/>
        <v>0.07794444444444446</v>
      </c>
      <c r="BI65" s="130">
        <v>18</v>
      </c>
      <c r="BJ65" s="125">
        <f t="shared" si="12"/>
        <v>0.45457200000000003</v>
      </c>
      <c r="BK65" s="125">
        <f t="shared" si="13"/>
        <v>0.45457200000000003</v>
      </c>
      <c r="BL65" s="130">
        <v>30</v>
      </c>
      <c r="BM65" s="130">
        <v>12</v>
      </c>
      <c r="BN65" s="142">
        <f t="shared" si="14"/>
        <v>163.64592000000002</v>
      </c>
      <c r="BO65" s="142">
        <f t="shared" si="15"/>
        <v>163.64592000000002</v>
      </c>
      <c r="BP65" s="180">
        <f t="shared" si="16"/>
        <v>102.20256</v>
      </c>
      <c r="BQ65" s="180">
        <f t="shared" si="17"/>
        <v>93.170088</v>
      </c>
      <c r="BR65" s="197">
        <f t="shared" si="18"/>
        <v>170</v>
      </c>
      <c r="BS65" s="197">
        <f t="shared" si="19"/>
        <v>170</v>
      </c>
      <c r="BT65" s="197">
        <f t="shared" si="20"/>
        <v>110</v>
      </c>
      <c r="BU65" s="197">
        <f t="shared" si="21"/>
        <v>100</v>
      </c>
      <c r="BV65" s="197">
        <f t="shared" si="22"/>
        <v>110</v>
      </c>
      <c r="BW65" s="197">
        <f t="shared" si="23"/>
        <v>100</v>
      </c>
      <c r="BX65" s="197">
        <f t="shared" si="24"/>
        <v>110</v>
      </c>
      <c r="BY65" s="197">
        <f t="shared" si="25"/>
        <v>100</v>
      </c>
      <c r="BZ65" s="197">
        <f t="shared" si="26"/>
        <v>110</v>
      </c>
      <c r="CA65" s="197">
        <f t="shared" si="27"/>
        <v>100</v>
      </c>
      <c r="CC65" s="214"/>
    </row>
    <row r="66" spans="1:81" s="21" customFormat="1" ht="97.5" customHeight="1">
      <c r="A66" s="8">
        <v>91</v>
      </c>
      <c r="B66" s="4" t="s">
        <v>50</v>
      </c>
      <c r="C66" s="4" t="s">
        <v>19</v>
      </c>
      <c r="D66" s="4">
        <v>2</v>
      </c>
      <c r="E66" s="74" t="s">
        <v>619</v>
      </c>
      <c r="F66" s="74" t="s">
        <v>584</v>
      </c>
      <c r="G66" s="75" t="s">
        <v>21</v>
      </c>
      <c r="H66" s="75" t="s">
        <v>11</v>
      </c>
      <c r="I66" s="26" t="s">
        <v>67</v>
      </c>
      <c r="J66" s="26" t="s">
        <v>67</v>
      </c>
      <c r="K66" s="26" t="s">
        <v>67</v>
      </c>
      <c r="L66" s="26" t="s">
        <v>67</v>
      </c>
      <c r="M66" s="26" t="s">
        <v>67</v>
      </c>
      <c r="N66" s="26" t="s">
        <v>67</v>
      </c>
      <c r="O66" s="8" t="s">
        <v>51</v>
      </c>
      <c r="P66" s="8" t="s">
        <v>55</v>
      </c>
      <c r="Q66" s="8" t="s">
        <v>766</v>
      </c>
      <c r="R66" s="8" t="s">
        <v>905</v>
      </c>
      <c r="S66" s="4"/>
      <c r="T66" s="4">
        <v>4</v>
      </c>
      <c r="U66" s="4"/>
      <c r="V66" s="124">
        <f>'Estandarización parámetros SJB'!$C$62</f>
        <v>32</v>
      </c>
      <c r="W66" s="124">
        <f>'Estandarización parámetros SJB'!$C$113</f>
        <v>21</v>
      </c>
      <c r="X66" s="112">
        <f>T66*'Estandarización parámetros SJB'!$C$3</f>
        <v>0.07288888888888889</v>
      </c>
      <c r="Y66" s="44">
        <v>18</v>
      </c>
      <c r="Z66" s="50">
        <f t="shared" si="44"/>
        <v>0.1511424</v>
      </c>
      <c r="AA66" s="50">
        <f t="shared" si="45"/>
        <v>0.0991872</v>
      </c>
      <c r="AB66" s="71">
        <v>30</v>
      </c>
      <c r="AC66" s="71">
        <v>12</v>
      </c>
      <c r="AD66" s="51">
        <f t="shared" si="46"/>
        <v>54.411264</v>
      </c>
      <c r="AE66" s="51">
        <f t="shared" si="47"/>
        <v>35.707392</v>
      </c>
      <c r="AF66" s="4" t="s">
        <v>635</v>
      </c>
      <c r="AG66" s="4">
        <v>4</v>
      </c>
      <c r="AH66" s="40">
        <f t="shared" si="43"/>
        <v>0.00975</v>
      </c>
      <c r="AI66" s="8">
        <v>22</v>
      </c>
      <c r="AJ66" s="44">
        <v>8</v>
      </c>
      <c r="AK66" s="8">
        <v>0.039</v>
      </c>
      <c r="AL66" s="44">
        <v>18</v>
      </c>
      <c r="AM66" s="50">
        <f t="shared" si="48"/>
        <v>0.05559839999999999</v>
      </c>
      <c r="AN66" s="50">
        <f t="shared" si="49"/>
        <v>0.0202176</v>
      </c>
      <c r="AO66" s="71">
        <v>30</v>
      </c>
      <c r="AP66" s="71">
        <v>12</v>
      </c>
      <c r="AQ66" s="51">
        <f t="shared" si="50"/>
        <v>20.015423999999996</v>
      </c>
      <c r="AR66" s="86">
        <f t="shared" si="51"/>
        <v>7.2783359999999995</v>
      </c>
      <c r="AS66" s="132"/>
      <c r="AT66" s="132"/>
      <c r="AU66" s="132"/>
      <c r="AV66" s="137">
        <f t="shared" si="5"/>
        <v>28.514399205561073</v>
      </c>
      <c r="AW66" s="137">
        <f t="shared" si="6"/>
        <v>16.468718967229396</v>
      </c>
      <c r="AX66" s="136">
        <f t="shared" si="7"/>
        <v>0.05594444444444445</v>
      </c>
      <c r="AY66" s="79">
        <v>18</v>
      </c>
      <c r="AZ66" s="125">
        <f t="shared" si="8"/>
        <v>0.1033704</v>
      </c>
      <c r="BA66" s="125">
        <f t="shared" si="9"/>
        <v>0.05970240000000001</v>
      </c>
      <c r="BB66" s="79">
        <v>30</v>
      </c>
      <c r="BC66" s="79">
        <v>12</v>
      </c>
      <c r="BD66" s="125">
        <f t="shared" si="10"/>
        <v>37.213344</v>
      </c>
      <c r="BE66" s="125">
        <f t="shared" si="11"/>
        <v>21.492864000000004</v>
      </c>
      <c r="BF66" s="130">
        <v>90</v>
      </c>
      <c r="BG66" s="130">
        <v>90</v>
      </c>
      <c r="BH66" s="136">
        <f t="shared" si="28"/>
        <v>0.05594444444444445</v>
      </c>
      <c r="BI66" s="130">
        <v>18</v>
      </c>
      <c r="BJ66" s="125">
        <f t="shared" si="12"/>
        <v>0.326268</v>
      </c>
      <c r="BK66" s="125">
        <f t="shared" si="13"/>
        <v>0.326268</v>
      </c>
      <c r="BL66" s="130">
        <v>30</v>
      </c>
      <c r="BM66" s="130">
        <v>12</v>
      </c>
      <c r="BN66" s="142">
        <f t="shared" si="14"/>
        <v>117.45648</v>
      </c>
      <c r="BO66" s="142">
        <f t="shared" si="15"/>
        <v>117.45648</v>
      </c>
      <c r="BP66" s="180">
        <f t="shared" si="16"/>
        <v>77.334912</v>
      </c>
      <c r="BQ66" s="180">
        <f t="shared" si="17"/>
        <v>69.474672</v>
      </c>
      <c r="BR66" s="197">
        <f t="shared" si="18"/>
        <v>120</v>
      </c>
      <c r="BS66" s="197">
        <f t="shared" si="19"/>
        <v>120</v>
      </c>
      <c r="BT66" s="197">
        <f t="shared" si="20"/>
        <v>80</v>
      </c>
      <c r="BU66" s="197">
        <f t="shared" si="21"/>
        <v>70</v>
      </c>
      <c r="BV66" s="197">
        <f t="shared" si="22"/>
        <v>80</v>
      </c>
      <c r="BW66" s="197">
        <f t="shared" si="23"/>
        <v>70</v>
      </c>
      <c r="BX66" s="197">
        <f t="shared" si="24"/>
        <v>80</v>
      </c>
      <c r="BY66" s="197">
        <f t="shared" si="25"/>
        <v>70</v>
      </c>
      <c r="BZ66" s="197">
        <f t="shared" si="26"/>
        <v>80</v>
      </c>
      <c r="CA66" s="197">
        <f t="shared" si="27"/>
        <v>70</v>
      </c>
      <c r="CC66" s="214"/>
    </row>
    <row r="67" spans="1:81" s="21" customFormat="1" ht="97.5" customHeight="1">
      <c r="A67" s="8">
        <v>92</v>
      </c>
      <c r="B67" s="4" t="s">
        <v>50</v>
      </c>
      <c r="C67" s="4" t="s">
        <v>19</v>
      </c>
      <c r="D67" s="4">
        <v>2</v>
      </c>
      <c r="E67" s="74" t="s">
        <v>585</v>
      </c>
      <c r="F67" s="74" t="s">
        <v>586</v>
      </c>
      <c r="G67" s="75" t="s">
        <v>21</v>
      </c>
      <c r="H67" s="75" t="s">
        <v>11</v>
      </c>
      <c r="I67" s="26" t="s">
        <v>67</v>
      </c>
      <c r="J67" s="26" t="s">
        <v>67</v>
      </c>
      <c r="K67" s="26" t="s">
        <v>67</v>
      </c>
      <c r="L67" s="26" t="s">
        <v>67</v>
      </c>
      <c r="M67" s="26" t="s">
        <v>67</v>
      </c>
      <c r="N67" s="26" t="s">
        <v>67</v>
      </c>
      <c r="O67" s="8" t="s">
        <v>51</v>
      </c>
      <c r="P67" s="8" t="s">
        <v>55</v>
      </c>
      <c r="Q67" s="8" t="s">
        <v>767</v>
      </c>
      <c r="R67" s="8" t="s">
        <v>906</v>
      </c>
      <c r="S67" s="4"/>
      <c r="T67" s="4">
        <v>1</v>
      </c>
      <c r="U67" s="4">
        <f>X67/T67</f>
        <v>0.025</v>
      </c>
      <c r="V67" s="8">
        <v>3</v>
      </c>
      <c r="W67" s="44">
        <v>6</v>
      </c>
      <c r="X67" s="8">
        <v>0.025</v>
      </c>
      <c r="Y67" s="44">
        <v>18</v>
      </c>
      <c r="Z67" s="41">
        <f t="shared" si="44"/>
        <v>0.004860000000000001</v>
      </c>
      <c r="AA67" s="50">
        <f t="shared" si="45"/>
        <v>0.009720000000000001</v>
      </c>
      <c r="AB67" s="71">
        <v>30</v>
      </c>
      <c r="AC67" s="71">
        <v>12</v>
      </c>
      <c r="AD67" s="51">
        <f t="shared" si="46"/>
        <v>1.7496</v>
      </c>
      <c r="AE67" s="51">
        <f t="shared" si="47"/>
        <v>3.4992</v>
      </c>
      <c r="AF67" s="4" t="s">
        <v>636</v>
      </c>
      <c r="AG67" s="4">
        <v>1</v>
      </c>
      <c r="AH67" s="40">
        <f t="shared" si="43"/>
        <v>0.025</v>
      </c>
      <c r="AI67" s="8">
        <v>3</v>
      </c>
      <c r="AJ67" s="44">
        <v>6</v>
      </c>
      <c r="AK67" s="8">
        <v>0.025</v>
      </c>
      <c r="AL67" s="44">
        <v>18</v>
      </c>
      <c r="AM67" s="41">
        <f t="shared" si="48"/>
        <v>0.004860000000000001</v>
      </c>
      <c r="AN67" s="50">
        <f t="shared" si="49"/>
        <v>0.009720000000000001</v>
      </c>
      <c r="AO67" s="71">
        <v>30</v>
      </c>
      <c r="AP67" s="71">
        <v>12</v>
      </c>
      <c r="AQ67" s="51">
        <f t="shared" si="50"/>
        <v>1.7496</v>
      </c>
      <c r="AR67" s="86">
        <f t="shared" si="51"/>
        <v>3.4992</v>
      </c>
      <c r="AS67" s="132"/>
      <c r="AT67" s="132"/>
      <c r="AU67" s="132"/>
      <c r="AV67" s="137">
        <f t="shared" si="5"/>
        <v>3.0000000000000004</v>
      </c>
      <c r="AW67" s="137">
        <f t="shared" si="6"/>
        <v>6.000000000000001</v>
      </c>
      <c r="AX67" s="136">
        <f t="shared" si="7"/>
        <v>0.025</v>
      </c>
      <c r="AY67" s="79">
        <v>18</v>
      </c>
      <c r="AZ67" s="125">
        <f t="shared" si="8"/>
        <v>0.004860000000000001</v>
      </c>
      <c r="BA67" s="125">
        <f t="shared" si="9"/>
        <v>0.009720000000000001</v>
      </c>
      <c r="BB67" s="79">
        <v>30</v>
      </c>
      <c r="BC67" s="79">
        <v>12</v>
      </c>
      <c r="BD67" s="125">
        <f t="shared" si="10"/>
        <v>1.7496</v>
      </c>
      <c r="BE67" s="125">
        <f t="shared" si="11"/>
        <v>3.4992</v>
      </c>
      <c r="BF67" s="130">
        <v>90</v>
      </c>
      <c r="BG67" s="130">
        <v>90</v>
      </c>
      <c r="BH67" s="136">
        <f t="shared" si="28"/>
        <v>0.025</v>
      </c>
      <c r="BI67" s="130">
        <v>18</v>
      </c>
      <c r="BJ67" s="125">
        <f t="shared" si="12"/>
        <v>0.14579999999999999</v>
      </c>
      <c r="BK67" s="125">
        <f t="shared" si="13"/>
        <v>0.14579999999999999</v>
      </c>
      <c r="BL67" s="130">
        <v>30</v>
      </c>
      <c r="BM67" s="130">
        <v>12</v>
      </c>
      <c r="BN67" s="142">
        <f t="shared" si="14"/>
        <v>52.488</v>
      </c>
      <c r="BO67" s="142">
        <f t="shared" si="15"/>
        <v>52.488</v>
      </c>
      <c r="BP67" s="180">
        <f t="shared" si="16"/>
        <v>27.1188</v>
      </c>
      <c r="BQ67" s="180">
        <f t="shared" si="17"/>
        <v>27.9936</v>
      </c>
      <c r="BR67" s="197">
        <f t="shared" si="18"/>
        <v>60</v>
      </c>
      <c r="BS67" s="197">
        <f t="shared" si="19"/>
        <v>60</v>
      </c>
      <c r="BT67" s="197">
        <f t="shared" si="20"/>
        <v>30</v>
      </c>
      <c r="BU67" s="197">
        <f t="shared" si="21"/>
        <v>30</v>
      </c>
      <c r="BV67" s="197">
        <f t="shared" si="22"/>
        <v>30</v>
      </c>
      <c r="BW67" s="197">
        <f t="shared" si="23"/>
        <v>30</v>
      </c>
      <c r="BX67" s="197">
        <f t="shared" si="24"/>
        <v>30</v>
      </c>
      <c r="BY67" s="197">
        <f t="shared" si="25"/>
        <v>30</v>
      </c>
      <c r="BZ67" s="197">
        <f t="shared" si="26"/>
        <v>30</v>
      </c>
      <c r="CA67" s="197">
        <f t="shared" si="27"/>
        <v>30</v>
      </c>
      <c r="CC67" s="214"/>
    </row>
    <row r="68" spans="1:81" s="21" customFormat="1" ht="97.5" customHeight="1">
      <c r="A68" s="8">
        <v>93</v>
      </c>
      <c r="B68" s="4" t="s">
        <v>50</v>
      </c>
      <c r="C68" s="4" t="s">
        <v>19</v>
      </c>
      <c r="D68" s="4">
        <v>2</v>
      </c>
      <c r="E68" s="74" t="s">
        <v>589</v>
      </c>
      <c r="F68" s="74" t="s">
        <v>590</v>
      </c>
      <c r="G68" s="48" t="s">
        <v>639</v>
      </c>
      <c r="H68" s="75" t="s">
        <v>11</v>
      </c>
      <c r="I68" s="26" t="s">
        <v>67</v>
      </c>
      <c r="J68" s="26" t="s">
        <v>67</v>
      </c>
      <c r="K68" s="26" t="s">
        <v>67</v>
      </c>
      <c r="L68" s="26" t="s">
        <v>67</v>
      </c>
      <c r="M68" s="26" t="s">
        <v>67</v>
      </c>
      <c r="N68" s="26" t="s">
        <v>67</v>
      </c>
      <c r="O68" s="8" t="s">
        <v>51</v>
      </c>
      <c r="P68" s="8" t="s">
        <v>55</v>
      </c>
      <c r="Q68" s="8" t="s">
        <v>768</v>
      </c>
      <c r="R68" s="8" t="s">
        <v>907</v>
      </c>
      <c r="S68" s="4"/>
      <c r="T68" s="4">
        <v>1</v>
      </c>
      <c r="U68" s="4"/>
      <c r="V68" s="124">
        <f>'Estandarización parámetros SJB'!$C$62</f>
        <v>32</v>
      </c>
      <c r="W68" s="124">
        <f>'Estandarización parámetros SJB'!$C$113</f>
        <v>21</v>
      </c>
      <c r="X68" s="112">
        <f>T68*'Estandarización parámetros SJB'!$C$3</f>
        <v>0.018222222222222223</v>
      </c>
      <c r="Y68" s="44">
        <v>18</v>
      </c>
      <c r="Z68" s="7">
        <f t="shared" si="44"/>
        <v>0.0377856</v>
      </c>
      <c r="AA68" s="7">
        <f t="shared" si="45"/>
        <v>0.0247968</v>
      </c>
      <c r="AB68" s="71">
        <v>30</v>
      </c>
      <c r="AC68" s="71">
        <v>12</v>
      </c>
      <c r="AD68" s="51">
        <f t="shared" si="46"/>
        <v>13.602816</v>
      </c>
      <c r="AE68" s="51">
        <f t="shared" si="47"/>
        <v>8.926848</v>
      </c>
      <c r="AF68" s="4" t="s">
        <v>641</v>
      </c>
      <c r="AG68" s="4">
        <v>1</v>
      </c>
      <c r="AH68" s="40">
        <f t="shared" si="43"/>
        <v>0.0466</v>
      </c>
      <c r="AI68" s="186">
        <f>'Estandarización parámetros SJB'!$F$62</f>
        <v>18</v>
      </c>
      <c r="AJ68" s="44">
        <v>84</v>
      </c>
      <c r="AK68" s="8">
        <v>0.0466</v>
      </c>
      <c r="AL68" s="44">
        <v>18</v>
      </c>
      <c r="AM68" s="7">
        <f t="shared" si="48"/>
        <v>0.05435424</v>
      </c>
      <c r="AN68" s="7">
        <f t="shared" si="49"/>
        <v>0.25365311999999995</v>
      </c>
      <c r="AO68" s="71">
        <v>30</v>
      </c>
      <c r="AP68" s="71">
        <v>12</v>
      </c>
      <c r="AQ68" s="51">
        <f t="shared" si="50"/>
        <v>19.5675264</v>
      </c>
      <c r="AR68" s="86">
        <f t="shared" si="51"/>
        <v>91.31512319999999</v>
      </c>
      <c r="AS68" s="132"/>
      <c r="AT68" s="132"/>
      <c r="AU68" s="132"/>
      <c r="AV68" s="137">
        <f aca="true" t="shared" si="52" ref="AV68:AV90">(V68*X68+AI68*AK68)/(X68+AK68)</f>
        <v>21.935550222831676</v>
      </c>
      <c r="AW68" s="137">
        <f aca="true" t="shared" si="53" ref="AW68:AW90">(W68*X68+AJ68*AK68)/(X68+AK68)</f>
        <v>66.29002399725745</v>
      </c>
      <c r="AX68" s="136">
        <f aca="true" t="shared" si="54" ref="AX68:AX90">AVERAGE(X68,AK68)</f>
        <v>0.03241111111111111</v>
      </c>
      <c r="AY68" s="79">
        <v>18</v>
      </c>
      <c r="AZ68" s="125">
        <f aca="true" t="shared" si="55" ref="AZ68:AZ90">AX68*AV68*AY68*0.0036</f>
        <v>0.04606992</v>
      </c>
      <c r="BA68" s="125">
        <f aca="true" t="shared" si="56" ref="BA68:BA90">AX68*AW68*AY68*0.0036</f>
        <v>0.13922496</v>
      </c>
      <c r="BB68" s="79">
        <v>30</v>
      </c>
      <c r="BC68" s="79">
        <v>12</v>
      </c>
      <c r="BD68" s="125">
        <f aca="true" t="shared" si="57" ref="BD68:BD90">AZ68*BB68*BC68</f>
        <v>16.5851712</v>
      </c>
      <c r="BE68" s="125">
        <f aca="true" t="shared" si="58" ref="BE68:BE90">BA68*BB68*BC68</f>
        <v>50.120985600000004</v>
      </c>
      <c r="BF68" s="130">
        <v>90</v>
      </c>
      <c r="BG68" s="130">
        <v>90</v>
      </c>
      <c r="BH68" s="136">
        <f t="shared" si="28"/>
        <v>0.03241111111111111</v>
      </c>
      <c r="BI68" s="130">
        <v>18</v>
      </c>
      <c r="BJ68" s="125">
        <f aca="true" t="shared" si="59" ref="BJ68:BJ90">BH68*BF68*BI68*0.0036</f>
        <v>0.1890216</v>
      </c>
      <c r="BK68" s="125">
        <f aca="true" t="shared" si="60" ref="BK68:BK90">BH68*BG68*BI68*0.0036</f>
        <v>0.1890216</v>
      </c>
      <c r="BL68" s="130">
        <v>30</v>
      </c>
      <c r="BM68" s="130">
        <v>12</v>
      </c>
      <c r="BN68" s="142">
        <f aca="true" t="shared" si="61" ref="BN68:BN90">BJ68*BL68*BM68</f>
        <v>68.047776</v>
      </c>
      <c r="BO68" s="142">
        <f aca="true" t="shared" si="62" ref="BO68:BO90">BK68*BL68*BM68</f>
        <v>68.047776</v>
      </c>
      <c r="BP68" s="180">
        <f aca="true" t="shared" si="63" ref="BP68:BP90">AVERAGE(BD68,BN68)</f>
        <v>42.3164736</v>
      </c>
      <c r="BQ68" s="180">
        <f aca="true" t="shared" si="64" ref="BQ68:BQ90">AVERAGE(BE68,BO68)</f>
        <v>59.084380800000005</v>
      </c>
      <c r="BR68" s="197">
        <f aca="true" t="shared" si="65" ref="BR68:BR90">ROUNDUP(BN68,-1)</f>
        <v>70</v>
      </c>
      <c r="BS68" s="197">
        <f aca="true" t="shared" si="66" ref="BS68:BS90">ROUNDUP(BO68,-1)</f>
        <v>70</v>
      </c>
      <c r="BT68" s="197">
        <f aca="true" t="shared" si="67" ref="BT68:BT90">ROUNDUP(BP68,-1)</f>
        <v>50</v>
      </c>
      <c r="BU68" s="197">
        <f aca="true" t="shared" si="68" ref="BU68:BU90">ROUNDUP(BQ68,-1)</f>
        <v>60</v>
      </c>
      <c r="BV68" s="197">
        <f aca="true" t="shared" si="69" ref="BV68:BV90">BT68</f>
        <v>50</v>
      </c>
      <c r="BW68" s="197">
        <f aca="true" t="shared" si="70" ref="BW68:BW90">BU68</f>
        <v>60</v>
      </c>
      <c r="BX68" s="197">
        <f aca="true" t="shared" si="71" ref="BX68:BX90">BV68</f>
        <v>50</v>
      </c>
      <c r="BY68" s="197">
        <f aca="true" t="shared" si="72" ref="BY68:BY90">BW68</f>
        <v>60</v>
      </c>
      <c r="BZ68" s="197">
        <f aca="true" t="shared" si="73" ref="BZ68:BZ90">BX68</f>
        <v>50</v>
      </c>
      <c r="CA68" s="197">
        <f aca="true" t="shared" si="74" ref="CA68:CA90">BY68</f>
        <v>60</v>
      </c>
      <c r="CC68" s="214"/>
    </row>
    <row r="69" spans="1:81" s="21" customFormat="1" ht="97.5" customHeight="1">
      <c r="A69" s="8">
        <v>94</v>
      </c>
      <c r="B69" s="4" t="s">
        <v>50</v>
      </c>
      <c r="C69" s="4" t="s">
        <v>19</v>
      </c>
      <c r="D69" s="4">
        <v>2</v>
      </c>
      <c r="E69" s="74" t="s">
        <v>591</v>
      </c>
      <c r="F69" s="74" t="s">
        <v>620</v>
      </c>
      <c r="G69" s="48" t="s">
        <v>642</v>
      </c>
      <c r="H69" s="75" t="s">
        <v>11</v>
      </c>
      <c r="I69" s="26" t="s">
        <v>67</v>
      </c>
      <c r="J69" s="26" t="s">
        <v>67</v>
      </c>
      <c r="K69" s="26" t="s">
        <v>67</v>
      </c>
      <c r="L69" s="26" t="s">
        <v>67</v>
      </c>
      <c r="M69" s="26" t="s">
        <v>67</v>
      </c>
      <c r="N69" s="26" t="s">
        <v>67</v>
      </c>
      <c r="O69" s="8" t="s">
        <v>51</v>
      </c>
      <c r="P69" s="8" t="s">
        <v>55</v>
      </c>
      <c r="Q69" s="8" t="s">
        <v>769</v>
      </c>
      <c r="R69" s="8" t="s">
        <v>908</v>
      </c>
      <c r="S69" s="4"/>
      <c r="T69" s="4">
        <v>4</v>
      </c>
      <c r="U69" s="4"/>
      <c r="V69" s="124">
        <f>'Estandarización parámetros SJB'!$C$62</f>
        <v>32</v>
      </c>
      <c r="W69" s="124">
        <f>'Estandarización parámetros SJB'!$C$113</f>
        <v>21</v>
      </c>
      <c r="X69" s="112">
        <f>T69*'Estandarización parámetros SJB'!$C$3</f>
        <v>0.07288888888888889</v>
      </c>
      <c r="Y69" s="44">
        <v>18</v>
      </c>
      <c r="Z69" s="7">
        <f t="shared" si="44"/>
        <v>0.1511424</v>
      </c>
      <c r="AA69" s="7">
        <f t="shared" si="45"/>
        <v>0.0991872</v>
      </c>
      <c r="AB69" s="71">
        <v>30</v>
      </c>
      <c r="AC69" s="71">
        <v>12</v>
      </c>
      <c r="AD69" s="51">
        <f t="shared" si="46"/>
        <v>54.411264</v>
      </c>
      <c r="AE69" s="51">
        <f t="shared" si="47"/>
        <v>35.707392</v>
      </c>
      <c r="AF69" s="4" t="s">
        <v>640</v>
      </c>
      <c r="AG69" s="4">
        <v>4</v>
      </c>
      <c r="AH69" s="40">
        <f t="shared" si="43"/>
        <v>0.017</v>
      </c>
      <c r="AI69" s="8">
        <v>78</v>
      </c>
      <c r="AJ69" s="44">
        <v>63</v>
      </c>
      <c r="AK69" s="8">
        <v>0.068</v>
      </c>
      <c r="AL69" s="44">
        <v>18</v>
      </c>
      <c r="AM69" s="7">
        <f t="shared" si="48"/>
        <v>0.34369920000000004</v>
      </c>
      <c r="AN69" s="7">
        <f t="shared" si="49"/>
        <v>0.27760320000000005</v>
      </c>
      <c r="AO69" s="71">
        <v>30</v>
      </c>
      <c r="AP69" s="71">
        <v>12</v>
      </c>
      <c r="AQ69" s="51">
        <f t="shared" si="50"/>
        <v>123.73171200000002</v>
      </c>
      <c r="AR69" s="86">
        <f t="shared" si="51"/>
        <v>99.93715200000003</v>
      </c>
      <c r="AS69" s="132"/>
      <c r="AT69" s="132"/>
      <c r="AU69" s="132"/>
      <c r="AV69" s="137">
        <f t="shared" si="52"/>
        <v>54.201892744479494</v>
      </c>
      <c r="AW69" s="137">
        <f t="shared" si="53"/>
        <v>41.27129337539433</v>
      </c>
      <c r="AX69" s="136">
        <f t="shared" si="54"/>
        <v>0.07044444444444445</v>
      </c>
      <c r="AY69" s="79">
        <v>18</v>
      </c>
      <c r="AZ69" s="125">
        <f t="shared" si="55"/>
        <v>0.24742080000000002</v>
      </c>
      <c r="BA69" s="125">
        <f t="shared" si="56"/>
        <v>0.18839520000000004</v>
      </c>
      <c r="BB69" s="79">
        <v>30</v>
      </c>
      <c r="BC69" s="79">
        <v>12</v>
      </c>
      <c r="BD69" s="125">
        <f t="shared" si="57"/>
        <v>89.07148800000002</v>
      </c>
      <c r="BE69" s="125">
        <f t="shared" si="58"/>
        <v>67.82227200000001</v>
      </c>
      <c r="BF69" s="130">
        <v>90</v>
      </c>
      <c r="BG69" s="130">
        <v>90</v>
      </c>
      <c r="BH69" s="136">
        <f aca="true" t="shared" si="75" ref="BH69:BH90">AX69</f>
        <v>0.07044444444444445</v>
      </c>
      <c r="BI69" s="130">
        <v>18</v>
      </c>
      <c r="BJ69" s="125">
        <f t="shared" si="59"/>
        <v>0.41083200000000003</v>
      </c>
      <c r="BK69" s="125">
        <f t="shared" si="60"/>
        <v>0.41083200000000003</v>
      </c>
      <c r="BL69" s="130">
        <v>30</v>
      </c>
      <c r="BM69" s="130">
        <v>12</v>
      </c>
      <c r="BN69" s="142">
        <f t="shared" si="61"/>
        <v>147.89952</v>
      </c>
      <c r="BO69" s="142">
        <f t="shared" si="62"/>
        <v>147.89952</v>
      </c>
      <c r="BP69" s="180">
        <f t="shared" si="63"/>
        <v>118.485504</v>
      </c>
      <c r="BQ69" s="180">
        <f t="shared" si="64"/>
        <v>107.860896</v>
      </c>
      <c r="BR69" s="197">
        <f t="shared" si="65"/>
        <v>150</v>
      </c>
      <c r="BS69" s="197">
        <f t="shared" si="66"/>
        <v>150</v>
      </c>
      <c r="BT69" s="197">
        <f t="shared" si="67"/>
        <v>120</v>
      </c>
      <c r="BU69" s="197">
        <f t="shared" si="68"/>
        <v>110</v>
      </c>
      <c r="BV69" s="197">
        <f t="shared" si="69"/>
        <v>120</v>
      </c>
      <c r="BW69" s="197">
        <f t="shared" si="70"/>
        <v>110</v>
      </c>
      <c r="BX69" s="197">
        <f t="shared" si="71"/>
        <v>120</v>
      </c>
      <c r="BY69" s="197">
        <f t="shared" si="72"/>
        <v>110</v>
      </c>
      <c r="BZ69" s="197">
        <f t="shared" si="73"/>
        <v>120</v>
      </c>
      <c r="CA69" s="197">
        <f t="shared" si="74"/>
        <v>110</v>
      </c>
      <c r="CC69" s="214"/>
    </row>
    <row r="70" spans="1:81" s="21" customFormat="1" ht="97.5" customHeight="1">
      <c r="A70" s="8">
        <v>95</v>
      </c>
      <c r="B70" s="4" t="s">
        <v>50</v>
      </c>
      <c r="C70" s="4" t="s">
        <v>19</v>
      </c>
      <c r="D70" s="4">
        <v>2</v>
      </c>
      <c r="E70" s="74" t="s">
        <v>684</v>
      </c>
      <c r="F70" s="74" t="s">
        <v>621</v>
      </c>
      <c r="G70" s="48" t="s">
        <v>642</v>
      </c>
      <c r="H70" s="75" t="s">
        <v>11</v>
      </c>
      <c r="I70" s="26" t="s">
        <v>67</v>
      </c>
      <c r="J70" s="26" t="s">
        <v>67</v>
      </c>
      <c r="K70" s="26" t="s">
        <v>67</v>
      </c>
      <c r="L70" s="26" t="s">
        <v>67</v>
      </c>
      <c r="M70" s="26" t="s">
        <v>67</v>
      </c>
      <c r="N70" s="26" t="s">
        <v>67</v>
      </c>
      <c r="O70" s="8" t="s">
        <v>51</v>
      </c>
      <c r="P70" s="8" t="s">
        <v>55</v>
      </c>
      <c r="Q70" s="8" t="s">
        <v>770</v>
      </c>
      <c r="R70" s="8" t="s">
        <v>909</v>
      </c>
      <c r="S70" s="4"/>
      <c r="T70" s="4">
        <v>8</v>
      </c>
      <c r="U70" s="4"/>
      <c r="V70" s="124">
        <f>'Estandarización parámetros SJB'!$C$62</f>
        <v>32</v>
      </c>
      <c r="W70" s="124">
        <f>'Estandarización parámetros SJB'!$C$113</f>
        <v>21</v>
      </c>
      <c r="X70" s="112">
        <f>T70*'Estandarización parámetros SJB'!$C$3</f>
        <v>0.14577777777777778</v>
      </c>
      <c r="Y70" s="44">
        <v>18</v>
      </c>
      <c r="Z70" s="7">
        <f t="shared" si="44"/>
        <v>0.3022848</v>
      </c>
      <c r="AA70" s="7">
        <f t="shared" si="45"/>
        <v>0.1983744</v>
      </c>
      <c r="AB70" s="71">
        <v>30</v>
      </c>
      <c r="AC70" s="71">
        <v>12</v>
      </c>
      <c r="AD70" s="51">
        <f t="shared" si="46"/>
        <v>108.822528</v>
      </c>
      <c r="AE70" s="51">
        <f t="shared" si="47"/>
        <v>71.414784</v>
      </c>
      <c r="AF70" s="4" t="s">
        <v>644</v>
      </c>
      <c r="AG70" s="4">
        <v>8</v>
      </c>
      <c r="AH70" s="40">
        <f t="shared" si="43"/>
        <v>0.01825</v>
      </c>
      <c r="AI70" s="186">
        <f>'Estandarización parámetros SJB'!$F$62</f>
        <v>18</v>
      </c>
      <c r="AJ70" s="210">
        <f>'Estandarización parámetros SJB'!$F$113</f>
        <v>14</v>
      </c>
      <c r="AK70" s="8">
        <v>0.146</v>
      </c>
      <c r="AL70" s="44">
        <v>18</v>
      </c>
      <c r="AM70" s="7">
        <f t="shared" si="48"/>
        <v>0.17029439999999998</v>
      </c>
      <c r="AN70" s="7">
        <f t="shared" si="49"/>
        <v>0.1324512</v>
      </c>
      <c r="AO70" s="71">
        <v>30</v>
      </c>
      <c r="AP70" s="71">
        <v>12</v>
      </c>
      <c r="AQ70" s="51">
        <f t="shared" si="50"/>
        <v>61.305983999999995</v>
      </c>
      <c r="AR70" s="86">
        <f t="shared" si="51"/>
        <v>47.682432</v>
      </c>
      <c r="AS70" s="132"/>
      <c r="AT70" s="132"/>
      <c r="AU70" s="132"/>
      <c r="AV70" s="137">
        <f t="shared" si="52"/>
        <v>24.994668697638993</v>
      </c>
      <c r="AW70" s="137">
        <f t="shared" si="53"/>
        <v>17.4973343488195</v>
      </c>
      <c r="AX70" s="136">
        <f t="shared" si="54"/>
        <v>0.1458888888888889</v>
      </c>
      <c r="AY70" s="79">
        <v>18</v>
      </c>
      <c r="AZ70" s="125">
        <f t="shared" si="55"/>
        <v>0.2362896</v>
      </c>
      <c r="BA70" s="125">
        <f t="shared" si="56"/>
        <v>0.16541280000000003</v>
      </c>
      <c r="BB70" s="79">
        <v>30</v>
      </c>
      <c r="BC70" s="79">
        <v>12</v>
      </c>
      <c r="BD70" s="125">
        <f t="shared" si="57"/>
        <v>85.064256</v>
      </c>
      <c r="BE70" s="125">
        <f t="shared" si="58"/>
        <v>59.548608000000016</v>
      </c>
      <c r="BF70" s="130">
        <v>90</v>
      </c>
      <c r="BG70" s="130">
        <v>90</v>
      </c>
      <c r="BH70" s="136">
        <f t="shared" si="75"/>
        <v>0.1458888888888889</v>
      </c>
      <c r="BI70" s="130">
        <v>18</v>
      </c>
      <c r="BJ70" s="125">
        <f t="shared" si="59"/>
        <v>0.850824</v>
      </c>
      <c r="BK70" s="125">
        <f t="shared" si="60"/>
        <v>0.850824</v>
      </c>
      <c r="BL70" s="130">
        <v>30</v>
      </c>
      <c r="BM70" s="130">
        <v>12</v>
      </c>
      <c r="BN70" s="142">
        <f t="shared" si="61"/>
        <v>306.29664</v>
      </c>
      <c r="BO70" s="142">
        <f t="shared" si="62"/>
        <v>306.29664</v>
      </c>
      <c r="BP70" s="180">
        <f t="shared" si="63"/>
        <v>195.680448</v>
      </c>
      <c r="BQ70" s="180">
        <f t="shared" si="64"/>
        <v>182.922624</v>
      </c>
      <c r="BR70" s="197">
        <f t="shared" si="65"/>
        <v>310</v>
      </c>
      <c r="BS70" s="197">
        <f t="shared" si="66"/>
        <v>310</v>
      </c>
      <c r="BT70" s="197">
        <f t="shared" si="67"/>
        <v>200</v>
      </c>
      <c r="BU70" s="197">
        <f t="shared" si="68"/>
        <v>190</v>
      </c>
      <c r="BV70" s="197">
        <f t="shared" si="69"/>
        <v>200</v>
      </c>
      <c r="BW70" s="197">
        <f t="shared" si="70"/>
        <v>190</v>
      </c>
      <c r="BX70" s="197">
        <f t="shared" si="71"/>
        <v>200</v>
      </c>
      <c r="BY70" s="197">
        <f t="shared" si="72"/>
        <v>190</v>
      </c>
      <c r="BZ70" s="197">
        <f t="shared" si="73"/>
        <v>200</v>
      </c>
      <c r="CA70" s="197">
        <f t="shared" si="74"/>
        <v>190</v>
      </c>
      <c r="CC70" s="214"/>
    </row>
    <row r="71" spans="1:81" s="21" customFormat="1" ht="97.5" customHeight="1">
      <c r="A71" s="244">
        <v>96</v>
      </c>
      <c r="B71" s="246" t="s">
        <v>50</v>
      </c>
      <c r="C71" s="246" t="s">
        <v>19</v>
      </c>
      <c r="D71" s="246">
        <v>2</v>
      </c>
      <c r="E71" s="257" t="s">
        <v>595</v>
      </c>
      <c r="F71" s="257" t="s">
        <v>596</v>
      </c>
      <c r="G71" s="256" t="s">
        <v>21</v>
      </c>
      <c r="H71" s="247" t="s">
        <v>11</v>
      </c>
      <c r="I71" s="243" t="s">
        <v>67</v>
      </c>
      <c r="J71" s="243" t="s">
        <v>67</v>
      </c>
      <c r="K71" s="243" t="s">
        <v>67</v>
      </c>
      <c r="L71" s="243" t="s">
        <v>67</v>
      </c>
      <c r="M71" s="243" t="s">
        <v>67</v>
      </c>
      <c r="N71" s="243" t="s">
        <v>67</v>
      </c>
      <c r="O71" s="244" t="s">
        <v>51</v>
      </c>
      <c r="P71" s="244" t="s">
        <v>55</v>
      </c>
      <c r="Q71" s="8" t="s">
        <v>1095</v>
      </c>
      <c r="R71" s="8" t="s">
        <v>1096</v>
      </c>
      <c r="S71" s="246"/>
      <c r="T71" s="4">
        <v>2</v>
      </c>
      <c r="U71" s="4"/>
      <c r="V71" s="124">
        <f>'Estandarización parámetros SJB'!$C$62</f>
        <v>32</v>
      </c>
      <c r="W71" s="124">
        <f>'Estandarización parámetros SJB'!$C$113</f>
        <v>21</v>
      </c>
      <c r="X71" s="112">
        <f>T71*'Estandarización parámetros SJB'!$C$3</f>
        <v>0.036444444444444446</v>
      </c>
      <c r="Y71" s="44">
        <v>18</v>
      </c>
      <c r="Z71" s="7">
        <f t="shared" si="44"/>
        <v>0.0755712</v>
      </c>
      <c r="AA71" s="7">
        <f t="shared" si="45"/>
        <v>0.0495936</v>
      </c>
      <c r="AB71" s="71">
        <v>30</v>
      </c>
      <c r="AC71" s="71">
        <v>12</v>
      </c>
      <c r="AD71" s="51">
        <f t="shared" si="46"/>
        <v>27.205632</v>
      </c>
      <c r="AE71" s="51">
        <f t="shared" si="47"/>
        <v>17.853696</v>
      </c>
      <c r="AF71" s="246" t="s">
        <v>646</v>
      </c>
      <c r="AG71" s="4">
        <v>2</v>
      </c>
      <c r="AH71" s="40">
        <f t="shared" si="43"/>
        <v>0.0125</v>
      </c>
      <c r="AI71" s="8">
        <v>11</v>
      </c>
      <c r="AJ71" s="44">
        <v>26</v>
      </c>
      <c r="AK71" s="8">
        <v>0.025</v>
      </c>
      <c r="AL71" s="44">
        <v>18</v>
      </c>
      <c r="AM71" s="7">
        <f t="shared" si="48"/>
        <v>0.01782</v>
      </c>
      <c r="AN71" s="7">
        <f t="shared" si="49"/>
        <v>0.042120000000000005</v>
      </c>
      <c r="AO71" s="71">
        <v>30</v>
      </c>
      <c r="AP71" s="71">
        <v>12</v>
      </c>
      <c r="AQ71" s="51">
        <f t="shared" si="50"/>
        <v>6.4152</v>
      </c>
      <c r="AR71" s="86">
        <f t="shared" si="51"/>
        <v>15.1632</v>
      </c>
      <c r="AS71" s="132"/>
      <c r="AT71" s="132"/>
      <c r="AU71" s="132"/>
      <c r="AV71" s="137">
        <f t="shared" si="52"/>
        <v>23.455696202531644</v>
      </c>
      <c r="AW71" s="137">
        <f t="shared" si="53"/>
        <v>23.034358047016273</v>
      </c>
      <c r="AX71" s="136">
        <f t="shared" si="54"/>
        <v>0.030722222222222224</v>
      </c>
      <c r="AY71" s="79">
        <v>18</v>
      </c>
      <c r="AZ71" s="125">
        <f t="shared" si="55"/>
        <v>0.0466956</v>
      </c>
      <c r="BA71" s="125">
        <f t="shared" si="56"/>
        <v>0.045856799999999996</v>
      </c>
      <c r="BB71" s="79">
        <v>30</v>
      </c>
      <c r="BC71" s="79">
        <v>12</v>
      </c>
      <c r="BD71" s="125">
        <f t="shared" si="57"/>
        <v>16.810416</v>
      </c>
      <c r="BE71" s="125">
        <f t="shared" si="58"/>
        <v>16.508447999999998</v>
      </c>
      <c r="BF71" s="130">
        <v>90</v>
      </c>
      <c r="BG71" s="130">
        <v>90</v>
      </c>
      <c r="BH71" s="136">
        <f t="shared" si="75"/>
        <v>0.030722222222222224</v>
      </c>
      <c r="BI71" s="130">
        <v>18</v>
      </c>
      <c r="BJ71" s="125">
        <f t="shared" si="59"/>
        <v>0.179172</v>
      </c>
      <c r="BK71" s="125">
        <f t="shared" si="60"/>
        <v>0.179172</v>
      </c>
      <c r="BL71" s="130">
        <v>30</v>
      </c>
      <c r="BM71" s="130">
        <v>12</v>
      </c>
      <c r="BN71" s="142">
        <f t="shared" si="61"/>
        <v>64.50192</v>
      </c>
      <c r="BO71" s="142">
        <f t="shared" si="62"/>
        <v>64.50192</v>
      </c>
      <c r="BP71" s="180">
        <f t="shared" si="63"/>
        <v>40.656168</v>
      </c>
      <c r="BQ71" s="180">
        <f t="shared" si="64"/>
        <v>40.505184</v>
      </c>
      <c r="BR71" s="197">
        <f t="shared" si="65"/>
        <v>70</v>
      </c>
      <c r="BS71" s="197">
        <f t="shared" si="66"/>
        <v>70</v>
      </c>
      <c r="BT71" s="197">
        <f t="shared" si="67"/>
        <v>50</v>
      </c>
      <c r="BU71" s="197">
        <f t="shared" si="68"/>
        <v>50</v>
      </c>
      <c r="BV71" s="197">
        <f t="shared" si="69"/>
        <v>50</v>
      </c>
      <c r="BW71" s="197">
        <f t="shared" si="70"/>
        <v>50</v>
      </c>
      <c r="BX71" s="197">
        <f t="shared" si="71"/>
        <v>50</v>
      </c>
      <c r="BY71" s="197">
        <f t="shared" si="72"/>
        <v>50</v>
      </c>
      <c r="BZ71" s="197">
        <f t="shared" si="73"/>
        <v>50</v>
      </c>
      <c r="CA71" s="197">
        <f t="shared" si="74"/>
        <v>50</v>
      </c>
      <c r="CC71" s="214"/>
    </row>
    <row r="72" spans="1:81" s="21" customFormat="1" ht="97.5" customHeight="1">
      <c r="A72" s="244"/>
      <c r="B72" s="246"/>
      <c r="C72" s="246"/>
      <c r="D72" s="246"/>
      <c r="E72" s="257"/>
      <c r="F72" s="257"/>
      <c r="G72" s="256"/>
      <c r="H72" s="247"/>
      <c r="I72" s="243"/>
      <c r="J72" s="243"/>
      <c r="K72" s="243"/>
      <c r="L72" s="243"/>
      <c r="M72" s="243"/>
      <c r="N72" s="243"/>
      <c r="O72" s="244"/>
      <c r="P72" s="244"/>
      <c r="Q72" s="8" t="s">
        <v>1097</v>
      </c>
      <c r="R72" s="8" t="s">
        <v>1098</v>
      </c>
      <c r="S72" s="246"/>
      <c r="T72" s="4">
        <v>2</v>
      </c>
      <c r="U72" s="4"/>
      <c r="V72" s="124">
        <f>'Estandarización parámetros SJB'!$C$62</f>
        <v>32</v>
      </c>
      <c r="W72" s="124">
        <f>'Estandarización parámetros SJB'!$C$113</f>
        <v>21</v>
      </c>
      <c r="X72" s="112">
        <f>T72*'Estandarización parámetros SJB'!$C$3</f>
        <v>0.036444444444444446</v>
      </c>
      <c r="Y72" s="44">
        <v>18</v>
      </c>
      <c r="Z72" s="7">
        <f t="shared" si="44"/>
        <v>0.0755712</v>
      </c>
      <c r="AA72" s="7">
        <f t="shared" si="45"/>
        <v>0.0495936</v>
      </c>
      <c r="AB72" s="71">
        <v>30</v>
      </c>
      <c r="AC72" s="71">
        <v>12</v>
      </c>
      <c r="AD72" s="51">
        <f t="shared" si="46"/>
        <v>27.205632</v>
      </c>
      <c r="AE72" s="51">
        <f t="shared" si="47"/>
        <v>17.853696</v>
      </c>
      <c r="AF72" s="246"/>
      <c r="AG72" s="4">
        <v>2</v>
      </c>
      <c r="AH72" s="40">
        <f t="shared" si="43"/>
        <v>0.012</v>
      </c>
      <c r="AI72" s="8">
        <v>6</v>
      </c>
      <c r="AJ72" s="44">
        <v>21</v>
      </c>
      <c r="AK72" s="8">
        <v>0.024</v>
      </c>
      <c r="AL72" s="44">
        <v>18</v>
      </c>
      <c r="AM72" s="7">
        <f t="shared" si="48"/>
        <v>0.009331200000000001</v>
      </c>
      <c r="AN72" s="7">
        <f t="shared" si="49"/>
        <v>0.0326592</v>
      </c>
      <c r="AO72" s="71">
        <v>30</v>
      </c>
      <c r="AP72" s="71">
        <v>12</v>
      </c>
      <c r="AQ72" s="51">
        <f t="shared" si="50"/>
        <v>3.3592320000000004</v>
      </c>
      <c r="AR72" s="86">
        <f t="shared" si="51"/>
        <v>11.757311999999999</v>
      </c>
      <c r="AS72" s="132"/>
      <c r="AT72" s="132"/>
      <c r="AU72" s="132"/>
      <c r="AV72" s="137">
        <f t="shared" si="52"/>
        <v>21.676470588235297</v>
      </c>
      <c r="AW72" s="137">
        <f t="shared" si="53"/>
        <v>21</v>
      </c>
      <c r="AX72" s="136">
        <f t="shared" si="54"/>
        <v>0.030222222222222223</v>
      </c>
      <c r="AY72" s="79">
        <v>18</v>
      </c>
      <c r="AZ72" s="125">
        <f t="shared" si="55"/>
        <v>0.0424512</v>
      </c>
      <c r="BA72" s="125">
        <f t="shared" si="56"/>
        <v>0.0411264</v>
      </c>
      <c r="BB72" s="79">
        <v>30</v>
      </c>
      <c r="BC72" s="79">
        <v>12</v>
      </c>
      <c r="BD72" s="125">
        <f t="shared" si="57"/>
        <v>15.282432</v>
      </c>
      <c r="BE72" s="125">
        <f t="shared" si="58"/>
        <v>14.805503999999999</v>
      </c>
      <c r="BF72" s="130">
        <v>90</v>
      </c>
      <c r="BG72" s="130">
        <v>90</v>
      </c>
      <c r="BH72" s="136">
        <f t="shared" si="75"/>
        <v>0.030222222222222223</v>
      </c>
      <c r="BI72" s="130">
        <v>18</v>
      </c>
      <c r="BJ72" s="125">
        <f t="shared" si="59"/>
        <v>0.176256</v>
      </c>
      <c r="BK72" s="125">
        <f t="shared" si="60"/>
        <v>0.176256</v>
      </c>
      <c r="BL72" s="130">
        <v>30</v>
      </c>
      <c r="BM72" s="130">
        <v>12</v>
      </c>
      <c r="BN72" s="142">
        <f t="shared" si="61"/>
        <v>63.45216</v>
      </c>
      <c r="BO72" s="142">
        <f t="shared" si="62"/>
        <v>63.45216</v>
      </c>
      <c r="BP72" s="180">
        <f t="shared" si="63"/>
        <v>39.367295999999996</v>
      </c>
      <c r="BQ72" s="180">
        <f t="shared" si="64"/>
        <v>39.128832</v>
      </c>
      <c r="BR72" s="197">
        <f t="shared" si="65"/>
        <v>70</v>
      </c>
      <c r="BS72" s="197">
        <f t="shared" si="66"/>
        <v>70</v>
      </c>
      <c r="BT72" s="197">
        <f t="shared" si="67"/>
        <v>40</v>
      </c>
      <c r="BU72" s="197">
        <f t="shared" si="68"/>
        <v>40</v>
      </c>
      <c r="BV72" s="197">
        <f t="shared" si="69"/>
        <v>40</v>
      </c>
      <c r="BW72" s="197">
        <f t="shared" si="70"/>
        <v>40</v>
      </c>
      <c r="BX72" s="197">
        <f t="shared" si="71"/>
        <v>40</v>
      </c>
      <c r="BY72" s="197">
        <f t="shared" si="72"/>
        <v>40</v>
      </c>
      <c r="BZ72" s="197">
        <f t="shared" si="73"/>
        <v>40</v>
      </c>
      <c r="CA72" s="197">
        <f t="shared" si="74"/>
        <v>40</v>
      </c>
      <c r="CC72" s="214"/>
    </row>
    <row r="73" spans="1:81" s="21" customFormat="1" ht="97.5" customHeight="1">
      <c r="A73" s="8">
        <v>97</v>
      </c>
      <c r="B73" s="4" t="s">
        <v>648</v>
      </c>
      <c r="C73" s="4" t="s">
        <v>19</v>
      </c>
      <c r="D73" s="4">
        <v>2</v>
      </c>
      <c r="E73" s="74" t="s">
        <v>597</v>
      </c>
      <c r="F73" s="74" t="s">
        <v>598</v>
      </c>
      <c r="G73" s="65" t="s">
        <v>21</v>
      </c>
      <c r="H73" s="75" t="s">
        <v>11</v>
      </c>
      <c r="I73" s="26" t="s">
        <v>67</v>
      </c>
      <c r="J73" s="26" t="s">
        <v>67</v>
      </c>
      <c r="K73" s="26" t="s">
        <v>67</v>
      </c>
      <c r="L73" s="26" t="s">
        <v>67</v>
      </c>
      <c r="M73" s="26" t="s">
        <v>67</v>
      </c>
      <c r="N73" s="26" t="s">
        <v>67</v>
      </c>
      <c r="O73" s="8" t="s">
        <v>51</v>
      </c>
      <c r="P73" s="8" t="s">
        <v>55</v>
      </c>
      <c r="Q73" s="8" t="s">
        <v>771</v>
      </c>
      <c r="R73" s="8" t="s">
        <v>910</v>
      </c>
      <c r="S73" s="4"/>
      <c r="T73" s="4">
        <v>4</v>
      </c>
      <c r="U73" s="4"/>
      <c r="V73" s="124">
        <f>'Estandarización parámetros SJB'!$C$62</f>
        <v>32</v>
      </c>
      <c r="W73" s="124">
        <f>'Estandarización parámetros SJB'!$C$113</f>
        <v>21</v>
      </c>
      <c r="X73" s="112">
        <f>T73*'Estandarización parámetros SJB'!$C$3</f>
        <v>0.07288888888888889</v>
      </c>
      <c r="Y73" s="44"/>
      <c r="Z73" s="7">
        <f>X73*V73*Y73*0.0036</f>
        <v>0</v>
      </c>
      <c r="AA73" s="7">
        <f>X73*W73*Y73*0.0036</f>
        <v>0</v>
      </c>
      <c r="AB73" s="71">
        <v>30</v>
      </c>
      <c r="AC73" s="71">
        <v>12</v>
      </c>
      <c r="AD73" s="51">
        <f t="shared" si="46"/>
        <v>0</v>
      </c>
      <c r="AE73" s="51">
        <f t="shared" si="47"/>
        <v>0</v>
      </c>
      <c r="AF73" s="4" t="s">
        <v>647</v>
      </c>
      <c r="AG73" s="4">
        <v>2</v>
      </c>
      <c r="AH73" s="4"/>
      <c r="AI73" s="39">
        <f>'Estandarización parámetros SJB'!$F$62</f>
        <v>18</v>
      </c>
      <c r="AJ73" s="39">
        <f>'Estandarización parámetros SJB'!$F$113</f>
        <v>14</v>
      </c>
      <c r="AK73" s="112">
        <f>AG73*'Estandarización parámetros SJB'!$F$3</f>
        <v>0.0325</v>
      </c>
      <c r="AL73" s="44"/>
      <c r="AM73" s="50">
        <f>50*4*2/1000</f>
        <v>0.4</v>
      </c>
      <c r="AN73" s="50">
        <f>50*4*2/1000</f>
        <v>0.4</v>
      </c>
      <c r="AO73" s="71">
        <v>30</v>
      </c>
      <c r="AP73" s="71">
        <v>12</v>
      </c>
      <c r="AQ73" s="51">
        <f t="shared" si="50"/>
        <v>144</v>
      </c>
      <c r="AR73" s="86">
        <f t="shared" si="51"/>
        <v>144</v>
      </c>
      <c r="AS73" s="132"/>
      <c r="AT73" s="132"/>
      <c r="AU73" s="132"/>
      <c r="AV73" s="137">
        <f t="shared" si="52"/>
        <v>27.682656826568266</v>
      </c>
      <c r="AW73" s="137">
        <f t="shared" si="53"/>
        <v>18.841328413284135</v>
      </c>
      <c r="AX73" s="136">
        <f t="shared" si="54"/>
        <v>0.052694444444444447</v>
      </c>
      <c r="AY73" s="79">
        <v>18</v>
      </c>
      <c r="AZ73" s="125">
        <f t="shared" si="55"/>
        <v>0.0945252</v>
      </c>
      <c r="BA73" s="125">
        <f t="shared" si="56"/>
        <v>0.0643356</v>
      </c>
      <c r="BB73" s="79">
        <v>30</v>
      </c>
      <c r="BC73" s="79">
        <v>12</v>
      </c>
      <c r="BD73" s="125">
        <f t="shared" si="57"/>
        <v>34.029072</v>
      </c>
      <c r="BE73" s="125">
        <f t="shared" si="58"/>
        <v>23.160816</v>
      </c>
      <c r="BF73" s="130">
        <v>90</v>
      </c>
      <c r="BG73" s="130">
        <v>90</v>
      </c>
      <c r="BH73" s="136">
        <f t="shared" si="75"/>
        <v>0.052694444444444447</v>
      </c>
      <c r="BI73" s="130">
        <v>18</v>
      </c>
      <c r="BJ73" s="125">
        <f t="shared" si="59"/>
        <v>0.30731400000000003</v>
      </c>
      <c r="BK73" s="125">
        <f t="shared" si="60"/>
        <v>0.30731400000000003</v>
      </c>
      <c r="BL73" s="130">
        <v>30</v>
      </c>
      <c r="BM73" s="130">
        <v>12</v>
      </c>
      <c r="BN73" s="142">
        <f t="shared" si="61"/>
        <v>110.63304000000002</v>
      </c>
      <c r="BO73" s="142">
        <f t="shared" si="62"/>
        <v>110.63304000000002</v>
      </c>
      <c r="BP73" s="180">
        <f t="shared" si="63"/>
        <v>72.33105600000002</v>
      </c>
      <c r="BQ73" s="180">
        <f t="shared" si="64"/>
        <v>66.89692800000002</v>
      </c>
      <c r="BR73" s="197">
        <f t="shared" si="65"/>
        <v>120</v>
      </c>
      <c r="BS73" s="197">
        <f t="shared" si="66"/>
        <v>120</v>
      </c>
      <c r="BT73" s="197">
        <f t="shared" si="67"/>
        <v>80</v>
      </c>
      <c r="BU73" s="197">
        <f t="shared" si="68"/>
        <v>70</v>
      </c>
      <c r="BV73" s="197">
        <f t="shared" si="69"/>
        <v>80</v>
      </c>
      <c r="BW73" s="197">
        <f t="shared" si="70"/>
        <v>70</v>
      </c>
      <c r="BX73" s="197">
        <f t="shared" si="71"/>
        <v>80</v>
      </c>
      <c r="BY73" s="197">
        <f t="shared" si="72"/>
        <v>70</v>
      </c>
      <c r="BZ73" s="197">
        <f t="shared" si="73"/>
        <v>80</v>
      </c>
      <c r="CA73" s="197">
        <f t="shared" si="74"/>
        <v>70</v>
      </c>
      <c r="CC73" s="214"/>
    </row>
    <row r="74" spans="1:81" s="21" customFormat="1" ht="97.5" customHeight="1">
      <c r="A74" s="8">
        <v>98</v>
      </c>
      <c r="B74" s="4" t="s">
        <v>648</v>
      </c>
      <c r="C74" s="4" t="s">
        <v>19</v>
      </c>
      <c r="D74" s="4">
        <v>2</v>
      </c>
      <c r="E74" s="74" t="s">
        <v>649</v>
      </c>
      <c r="F74" s="74" t="s">
        <v>599</v>
      </c>
      <c r="G74" s="9" t="s">
        <v>10</v>
      </c>
      <c r="H74" s="9" t="s">
        <v>11</v>
      </c>
      <c r="I74" s="26" t="s">
        <v>67</v>
      </c>
      <c r="J74" s="26" t="s">
        <v>67</v>
      </c>
      <c r="K74" s="26" t="s">
        <v>67</v>
      </c>
      <c r="L74" s="26" t="s">
        <v>67</v>
      </c>
      <c r="M74" s="26" t="s">
        <v>67</v>
      </c>
      <c r="N74" s="26" t="s">
        <v>67</v>
      </c>
      <c r="O74" s="8" t="s">
        <v>51</v>
      </c>
      <c r="P74" s="8" t="s">
        <v>55</v>
      </c>
      <c r="Q74" s="8" t="s">
        <v>772</v>
      </c>
      <c r="R74" s="8" t="s">
        <v>911</v>
      </c>
      <c r="S74" s="4"/>
      <c r="T74" s="4">
        <v>4</v>
      </c>
      <c r="U74" s="4">
        <f>X74/T74</f>
        <v>0.00575</v>
      </c>
      <c r="V74" s="8">
        <v>18</v>
      </c>
      <c r="W74" s="44">
        <v>9</v>
      </c>
      <c r="X74" s="7">
        <v>0.023</v>
      </c>
      <c r="Y74" s="44">
        <v>18</v>
      </c>
      <c r="Z74" s="7">
        <f>X74*V74*Y74*0.0036</f>
        <v>0.0268272</v>
      </c>
      <c r="AA74" s="7">
        <f>X74*W74*Y74*0.0036</f>
        <v>0.0134136</v>
      </c>
      <c r="AB74" s="71">
        <v>30</v>
      </c>
      <c r="AC74" s="71">
        <v>12</v>
      </c>
      <c r="AD74" s="51">
        <f t="shared" si="46"/>
        <v>9.657792</v>
      </c>
      <c r="AE74" s="51">
        <f t="shared" si="47"/>
        <v>4.828896</v>
      </c>
      <c r="AF74" s="4" t="s">
        <v>1109</v>
      </c>
      <c r="AG74" s="4">
        <v>4</v>
      </c>
      <c r="AH74" s="40">
        <f t="shared" si="43"/>
        <v>0.00575</v>
      </c>
      <c r="AI74" s="8">
        <v>18</v>
      </c>
      <c r="AJ74" s="44">
        <v>9</v>
      </c>
      <c r="AK74" s="7">
        <v>0.023</v>
      </c>
      <c r="AL74" s="44">
        <v>18</v>
      </c>
      <c r="AM74" s="7">
        <f>AK74*AI74*AL74*0.0036</f>
        <v>0.0268272</v>
      </c>
      <c r="AN74" s="7">
        <f>AK74*AJ74*AL74*0.0036</f>
        <v>0.0134136</v>
      </c>
      <c r="AO74" s="71">
        <v>30</v>
      </c>
      <c r="AP74" s="71">
        <v>12</v>
      </c>
      <c r="AQ74" s="51">
        <f t="shared" si="50"/>
        <v>9.657792</v>
      </c>
      <c r="AR74" s="86">
        <f t="shared" si="51"/>
        <v>4.828896</v>
      </c>
      <c r="AS74" s="132"/>
      <c r="AT74" s="132"/>
      <c r="AU74" s="132"/>
      <c r="AV74" s="137">
        <f t="shared" si="52"/>
        <v>18</v>
      </c>
      <c r="AW74" s="137">
        <f t="shared" si="53"/>
        <v>9</v>
      </c>
      <c r="AX74" s="136">
        <f t="shared" si="54"/>
        <v>0.023</v>
      </c>
      <c r="AY74" s="79">
        <v>18</v>
      </c>
      <c r="AZ74" s="125">
        <f t="shared" si="55"/>
        <v>0.0268272</v>
      </c>
      <c r="BA74" s="125">
        <f t="shared" si="56"/>
        <v>0.0134136</v>
      </c>
      <c r="BB74" s="79">
        <v>30</v>
      </c>
      <c r="BC74" s="79">
        <v>12</v>
      </c>
      <c r="BD74" s="125">
        <f t="shared" si="57"/>
        <v>9.657792</v>
      </c>
      <c r="BE74" s="125">
        <f t="shared" si="58"/>
        <v>4.828896</v>
      </c>
      <c r="BF74" s="130">
        <v>90</v>
      </c>
      <c r="BG74" s="130">
        <v>90</v>
      </c>
      <c r="BH74" s="136">
        <f t="shared" si="75"/>
        <v>0.023</v>
      </c>
      <c r="BI74" s="130">
        <v>18</v>
      </c>
      <c r="BJ74" s="125">
        <f t="shared" si="59"/>
        <v>0.13413599999999998</v>
      </c>
      <c r="BK74" s="125">
        <f t="shared" si="60"/>
        <v>0.13413599999999998</v>
      </c>
      <c r="BL74" s="130">
        <v>30</v>
      </c>
      <c r="BM74" s="130">
        <v>12</v>
      </c>
      <c r="BN74" s="142">
        <f t="shared" si="61"/>
        <v>48.288959999999996</v>
      </c>
      <c r="BO74" s="142">
        <f t="shared" si="62"/>
        <v>48.288959999999996</v>
      </c>
      <c r="BP74" s="180">
        <f t="shared" si="63"/>
        <v>28.973376</v>
      </c>
      <c r="BQ74" s="180">
        <f t="shared" si="64"/>
        <v>26.558927999999998</v>
      </c>
      <c r="BR74" s="197">
        <f t="shared" si="65"/>
        <v>50</v>
      </c>
      <c r="BS74" s="197">
        <f t="shared" si="66"/>
        <v>50</v>
      </c>
      <c r="BT74" s="197">
        <f t="shared" si="67"/>
        <v>30</v>
      </c>
      <c r="BU74" s="197">
        <f t="shared" si="68"/>
        <v>30</v>
      </c>
      <c r="BV74" s="197">
        <f t="shared" si="69"/>
        <v>30</v>
      </c>
      <c r="BW74" s="197">
        <f t="shared" si="70"/>
        <v>30</v>
      </c>
      <c r="BX74" s="197">
        <f t="shared" si="71"/>
        <v>30</v>
      </c>
      <c r="BY74" s="197">
        <f t="shared" si="72"/>
        <v>30</v>
      </c>
      <c r="BZ74" s="197">
        <f t="shared" si="73"/>
        <v>30</v>
      </c>
      <c r="CA74" s="197">
        <f t="shared" si="74"/>
        <v>30</v>
      </c>
      <c r="CC74" s="214"/>
    </row>
    <row r="75" spans="1:81" s="21" customFormat="1" ht="97.5" customHeight="1">
      <c r="A75" s="8">
        <v>99</v>
      </c>
      <c r="B75" s="4" t="s">
        <v>648</v>
      </c>
      <c r="C75" s="4" t="s">
        <v>19</v>
      </c>
      <c r="D75" s="4">
        <v>2</v>
      </c>
      <c r="E75" s="74" t="s">
        <v>600</v>
      </c>
      <c r="F75" s="74" t="s">
        <v>601</v>
      </c>
      <c r="G75" s="65" t="s">
        <v>650</v>
      </c>
      <c r="H75" s="9" t="s">
        <v>11</v>
      </c>
      <c r="I75" s="26" t="s">
        <v>67</v>
      </c>
      <c r="J75" s="26" t="s">
        <v>67</v>
      </c>
      <c r="K75" s="26" t="s">
        <v>67</v>
      </c>
      <c r="L75" s="26" t="s">
        <v>67</v>
      </c>
      <c r="M75" s="26" t="s">
        <v>67</v>
      </c>
      <c r="N75" s="26" t="s">
        <v>67</v>
      </c>
      <c r="O75" s="8" t="s">
        <v>51</v>
      </c>
      <c r="P75" s="8" t="s">
        <v>55</v>
      </c>
      <c r="Q75" s="8" t="s">
        <v>773</v>
      </c>
      <c r="R75" s="8" t="s">
        <v>912</v>
      </c>
      <c r="S75" s="4"/>
      <c r="T75" s="4">
        <v>4</v>
      </c>
      <c r="U75" s="4"/>
      <c r="V75" s="124">
        <f>'Estandarización parámetros SJB'!$C$62</f>
        <v>32</v>
      </c>
      <c r="W75" s="124">
        <f>'Estandarización parámetros SJB'!$C$113</f>
        <v>21</v>
      </c>
      <c r="X75" s="112">
        <f>T75*'Estandarización parámetros SJB'!$C$3</f>
        <v>0.07288888888888889</v>
      </c>
      <c r="Y75" s="44"/>
      <c r="Z75" s="7">
        <f>X75*V75*Y75*0.0036</f>
        <v>0</v>
      </c>
      <c r="AA75" s="7">
        <f>X75*W75*Y75*0.0036</f>
        <v>0</v>
      </c>
      <c r="AB75" s="71">
        <v>30</v>
      </c>
      <c r="AC75" s="71">
        <v>12</v>
      </c>
      <c r="AD75" s="51">
        <f t="shared" si="46"/>
        <v>0</v>
      </c>
      <c r="AE75" s="51">
        <f t="shared" si="47"/>
        <v>0</v>
      </c>
      <c r="AF75" s="4" t="s">
        <v>1110</v>
      </c>
      <c r="AG75" s="4">
        <v>4</v>
      </c>
      <c r="AH75" s="4"/>
      <c r="AI75" s="39">
        <f>'Estandarización parámetros SJB'!$F$62</f>
        <v>18</v>
      </c>
      <c r="AJ75" s="39">
        <f>'Estandarización parámetros SJB'!$F$113</f>
        <v>14</v>
      </c>
      <c r="AK75" s="112">
        <f>AG75*'Estandarización parámetros SJB'!$F$3</f>
        <v>0.065</v>
      </c>
      <c r="AL75" s="44"/>
      <c r="AM75" s="50">
        <f>50*4*4/1000</f>
        <v>0.8</v>
      </c>
      <c r="AN75" s="50">
        <f>50*4*4/1000</f>
        <v>0.8</v>
      </c>
      <c r="AO75" s="71">
        <v>30</v>
      </c>
      <c r="AP75" s="71">
        <v>12</v>
      </c>
      <c r="AQ75" s="51">
        <f t="shared" si="50"/>
        <v>288</v>
      </c>
      <c r="AR75" s="86">
        <f t="shared" si="51"/>
        <v>288</v>
      </c>
      <c r="AS75" s="132"/>
      <c r="AT75" s="132"/>
      <c r="AU75" s="132"/>
      <c r="AV75" s="137">
        <f t="shared" si="52"/>
        <v>25.400483481063656</v>
      </c>
      <c r="AW75" s="137">
        <f t="shared" si="53"/>
        <v>17.70024174053183</v>
      </c>
      <c r="AX75" s="136">
        <f t="shared" si="54"/>
        <v>0.06894444444444445</v>
      </c>
      <c r="AY75" s="79">
        <v>18</v>
      </c>
      <c r="AZ75" s="125">
        <f t="shared" si="55"/>
        <v>0.11347919999999997</v>
      </c>
      <c r="BA75" s="125">
        <f t="shared" si="56"/>
        <v>0.0790776</v>
      </c>
      <c r="BB75" s="79">
        <v>30</v>
      </c>
      <c r="BC75" s="79">
        <v>12</v>
      </c>
      <c r="BD75" s="125">
        <f t="shared" si="57"/>
        <v>40.85251199999999</v>
      </c>
      <c r="BE75" s="125">
        <f t="shared" si="58"/>
        <v>28.467936</v>
      </c>
      <c r="BF75" s="130">
        <v>90</v>
      </c>
      <c r="BG75" s="130">
        <v>90</v>
      </c>
      <c r="BH75" s="136">
        <f t="shared" si="75"/>
        <v>0.06894444444444445</v>
      </c>
      <c r="BI75" s="130">
        <v>18</v>
      </c>
      <c r="BJ75" s="125">
        <f t="shared" si="59"/>
        <v>0.402084</v>
      </c>
      <c r="BK75" s="125">
        <f t="shared" si="60"/>
        <v>0.402084</v>
      </c>
      <c r="BL75" s="130">
        <v>30</v>
      </c>
      <c r="BM75" s="130">
        <v>12</v>
      </c>
      <c r="BN75" s="142">
        <f t="shared" si="61"/>
        <v>144.75024</v>
      </c>
      <c r="BO75" s="142">
        <f t="shared" si="62"/>
        <v>144.75024</v>
      </c>
      <c r="BP75" s="180">
        <f t="shared" si="63"/>
        <v>92.80137599999999</v>
      </c>
      <c r="BQ75" s="180">
        <f t="shared" si="64"/>
        <v>86.609088</v>
      </c>
      <c r="BR75" s="197">
        <f t="shared" si="65"/>
        <v>150</v>
      </c>
      <c r="BS75" s="197">
        <f t="shared" si="66"/>
        <v>150</v>
      </c>
      <c r="BT75" s="197">
        <f t="shared" si="67"/>
        <v>100</v>
      </c>
      <c r="BU75" s="197">
        <f t="shared" si="68"/>
        <v>90</v>
      </c>
      <c r="BV75" s="197">
        <f t="shared" si="69"/>
        <v>100</v>
      </c>
      <c r="BW75" s="197">
        <f t="shared" si="70"/>
        <v>90</v>
      </c>
      <c r="BX75" s="197">
        <f t="shared" si="71"/>
        <v>100</v>
      </c>
      <c r="BY75" s="197">
        <f t="shared" si="72"/>
        <v>90</v>
      </c>
      <c r="BZ75" s="197">
        <f t="shared" si="73"/>
        <v>100</v>
      </c>
      <c r="CA75" s="197">
        <f t="shared" si="74"/>
        <v>90</v>
      </c>
      <c r="CC75" s="214"/>
    </row>
    <row r="76" spans="1:81" s="21" customFormat="1" ht="97.5" customHeight="1">
      <c r="A76" s="8">
        <v>100</v>
      </c>
      <c r="B76" s="4" t="s">
        <v>50</v>
      </c>
      <c r="C76" s="4" t="s">
        <v>19</v>
      </c>
      <c r="D76" s="4">
        <v>2</v>
      </c>
      <c r="E76" s="74" t="s">
        <v>1306</v>
      </c>
      <c r="F76" s="74" t="s">
        <v>602</v>
      </c>
      <c r="G76" s="65" t="s">
        <v>21</v>
      </c>
      <c r="H76" s="75" t="s">
        <v>11</v>
      </c>
      <c r="I76" s="26" t="s">
        <v>67</v>
      </c>
      <c r="J76" s="26" t="s">
        <v>67</v>
      </c>
      <c r="K76" s="26" t="s">
        <v>67</v>
      </c>
      <c r="L76" s="26" t="s">
        <v>67</v>
      </c>
      <c r="M76" s="26" t="s">
        <v>67</v>
      </c>
      <c r="N76" s="26" t="s">
        <v>67</v>
      </c>
      <c r="O76" s="8" t="s">
        <v>51</v>
      </c>
      <c r="P76" s="8" t="s">
        <v>55</v>
      </c>
      <c r="Q76" s="8" t="s">
        <v>774</v>
      </c>
      <c r="R76" s="8" t="s">
        <v>913</v>
      </c>
      <c r="S76" s="4"/>
      <c r="T76" s="4">
        <v>4</v>
      </c>
      <c r="U76" s="4">
        <f>X76/T76</f>
        <v>0.011</v>
      </c>
      <c r="V76" s="8">
        <v>30</v>
      </c>
      <c r="W76" s="44">
        <v>14</v>
      </c>
      <c r="X76" s="8">
        <v>0.044</v>
      </c>
      <c r="Y76" s="44">
        <v>18</v>
      </c>
      <c r="Z76" s="7">
        <f aca="true" t="shared" si="76" ref="Z76:Z90">X76*V76*Y76*0.0036</f>
        <v>0.08553599999999999</v>
      </c>
      <c r="AA76" s="7">
        <f aca="true" t="shared" si="77" ref="AA76:AA90">X76*W76*Y76*0.0036</f>
        <v>0.039916799999999995</v>
      </c>
      <c r="AB76" s="71">
        <v>30</v>
      </c>
      <c r="AC76" s="71">
        <v>12</v>
      </c>
      <c r="AD76" s="51">
        <f t="shared" si="46"/>
        <v>30.792959999999994</v>
      </c>
      <c r="AE76" s="51">
        <f t="shared" si="47"/>
        <v>14.370047999999999</v>
      </c>
      <c r="AF76" s="4" t="s">
        <v>651</v>
      </c>
      <c r="AG76" s="4">
        <v>4</v>
      </c>
      <c r="AH76" s="40">
        <f t="shared" si="43"/>
        <v>0.011</v>
      </c>
      <c r="AI76" s="8">
        <v>30</v>
      </c>
      <c r="AJ76" s="44">
        <v>14</v>
      </c>
      <c r="AK76" s="8">
        <v>0.044</v>
      </c>
      <c r="AL76" s="44">
        <v>18</v>
      </c>
      <c r="AM76" s="7">
        <f aca="true" t="shared" si="78" ref="AM76:AM90">AK76*AI76*AL76*0.0036</f>
        <v>0.08553599999999999</v>
      </c>
      <c r="AN76" s="7">
        <f aca="true" t="shared" si="79" ref="AN76:AN90">AK76*AJ76*AL76*0.0036</f>
        <v>0.039916799999999995</v>
      </c>
      <c r="AO76" s="71">
        <v>30</v>
      </c>
      <c r="AP76" s="71">
        <v>12</v>
      </c>
      <c r="AQ76" s="51">
        <f t="shared" si="50"/>
        <v>30.792959999999994</v>
      </c>
      <c r="AR76" s="86">
        <f t="shared" si="51"/>
        <v>14.370047999999999</v>
      </c>
      <c r="AS76" s="132"/>
      <c r="AT76" s="132"/>
      <c r="AU76" s="132"/>
      <c r="AV76" s="137">
        <f t="shared" si="52"/>
        <v>29.999999999999996</v>
      </c>
      <c r="AW76" s="137">
        <f t="shared" si="53"/>
        <v>14</v>
      </c>
      <c r="AX76" s="136">
        <f t="shared" si="54"/>
        <v>0.044</v>
      </c>
      <c r="AY76" s="79">
        <v>18</v>
      </c>
      <c r="AZ76" s="125">
        <f t="shared" si="55"/>
        <v>0.08553599999999999</v>
      </c>
      <c r="BA76" s="125">
        <f t="shared" si="56"/>
        <v>0.039916799999999995</v>
      </c>
      <c r="BB76" s="79">
        <v>30</v>
      </c>
      <c r="BC76" s="79">
        <v>12</v>
      </c>
      <c r="BD76" s="125">
        <f t="shared" si="57"/>
        <v>30.792959999999994</v>
      </c>
      <c r="BE76" s="125">
        <f t="shared" si="58"/>
        <v>14.370047999999999</v>
      </c>
      <c r="BF76" s="130">
        <v>90</v>
      </c>
      <c r="BG76" s="130">
        <v>90</v>
      </c>
      <c r="BH76" s="136">
        <f t="shared" si="75"/>
        <v>0.044</v>
      </c>
      <c r="BI76" s="130">
        <v>18</v>
      </c>
      <c r="BJ76" s="125">
        <f t="shared" si="59"/>
        <v>0.256608</v>
      </c>
      <c r="BK76" s="125">
        <f t="shared" si="60"/>
        <v>0.256608</v>
      </c>
      <c r="BL76" s="130">
        <v>30</v>
      </c>
      <c r="BM76" s="130">
        <v>12</v>
      </c>
      <c r="BN76" s="142">
        <f t="shared" si="61"/>
        <v>92.37888000000001</v>
      </c>
      <c r="BO76" s="142">
        <f t="shared" si="62"/>
        <v>92.37888000000001</v>
      </c>
      <c r="BP76" s="180">
        <f t="shared" si="63"/>
        <v>61.58592</v>
      </c>
      <c r="BQ76" s="180">
        <f t="shared" si="64"/>
        <v>53.374464</v>
      </c>
      <c r="BR76" s="197">
        <f t="shared" si="65"/>
        <v>100</v>
      </c>
      <c r="BS76" s="197">
        <f t="shared" si="66"/>
        <v>100</v>
      </c>
      <c r="BT76" s="197">
        <f t="shared" si="67"/>
        <v>70</v>
      </c>
      <c r="BU76" s="197">
        <f t="shared" si="68"/>
        <v>60</v>
      </c>
      <c r="BV76" s="197">
        <f t="shared" si="69"/>
        <v>70</v>
      </c>
      <c r="BW76" s="197">
        <f t="shared" si="70"/>
        <v>60</v>
      </c>
      <c r="BX76" s="197">
        <f t="shared" si="71"/>
        <v>70</v>
      </c>
      <c r="BY76" s="197">
        <f t="shared" si="72"/>
        <v>60</v>
      </c>
      <c r="BZ76" s="197">
        <f t="shared" si="73"/>
        <v>70</v>
      </c>
      <c r="CA76" s="197">
        <f t="shared" si="74"/>
        <v>60</v>
      </c>
      <c r="CC76" s="214"/>
    </row>
    <row r="77" spans="1:81" s="21" customFormat="1" ht="97.5" customHeight="1">
      <c r="A77" s="8">
        <v>101</v>
      </c>
      <c r="B77" s="4" t="s">
        <v>50</v>
      </c>
      <c r="C77" s="4" t="s">
        <v>19</v>
      </c>
      <c r="D77" s="4">
        <v>2</v>
      </c>
      <c r="E77" s="74" t="s">
        <v>1307</v>
      </c>
      <c r="F77" s="74" t="s">
        <v>622</v>
      </c>
      <c r="G77" s="66" t="s">
        <v>652</v>
      </c>
      <c r="H77" s="76" t="s">
        <v>227</v>
      </c>
      <c r="I77" s="75" t="s">
        <v>653</v>
      </c>
      <c r="J77" s="77">
        <v>44336</v>
      </c>
      <c r="K77" s="77">
        <v>44342</v>
      </c>
      <c r="L77" s="77">
        <v>44358</v>
      </c>
      <c r="M77" s="75" t="s">
        <v>74</v>
      </c>
      <c r="N77" s="77">
        <v>46183</v>
      </c>
      <c r="O77" s="8" t="s">
        <v>51</v>
      </c>
      <c r="P77" s="8" t="s">
        <v>55</v>
      </c>
      <c r="Q77" s="8" t="s">
        <v>775</v>
      </c>
      <c r="R77" s="8" t="s">
        <v>914</v>
      </c>
      <c r="S77" s="4"/>
      <c r="T77" s="4">
        <v>4</v>
      </c>
      <c r="U77" s="4">
        <f>X77/T77</f>
        <v>0.00625</v>
      </c>
      <c r="V77" s="8">
        <v>20</v>
      </c>
      <c r="W77" s="44">
        <v>13</v>
      </c>
      <c r="X77" s="8">
        <v>0.025</v>
      </c>
      <c r="Y77" s="44">
        <v>18</v>
      </c>
      <c r="Z77" s="7">
        <f t="shared" si="76"/>
        <v>0.0324</v>
      </c>
      <c r="AA77" s="7">
        <f t="shared" si="77"/>
        <v>0.021060000000000002</v>
      </c>
      <c r="AB77" s="71">
        <v>30</v>
      </c>
      <c r="AC77" s="71">
        <v>12</v>
      </c>
      <c r="AD77" s="51">
        <f t="shared" si="46"/>
        <v>11.664</v>
      </c>
      <c r="AE77" s="51">
        <f t="shared" si="47"/>
        <v>7.5816</v>
      </c>
      <c r="AF77" s="4" t="s">
        <v>654</v>
      </c>
      <c r="AG77" s="4">
        <v>4</v>
      </c>
      <c r="AH77" s="40">
        <f t="shared" si="43"/>
        <v>0.00625</v>
      </c>
      <c r="AI77" s="8">
        <v>20</v>
      </c>
      <c r="AJ77" s="44">
        <v>13</v>
      </c>
      <c r="AK77" s="8">
        <v>0.025</v>
      </c>
      <c r="AL77" s="44">
        <v>18</v>
      </c>
      <c r="AM77" s="7">
        <f t="shared" si="78"/>
        <v>0.0324</v>
      </c>
      <c r="AN77" s="7">
        <f t="shared" si="79"/>
        <v>0.021060000000000002</v>
      </c>
      <c r="AO77" s="71">
        <v>30</v>
      </c>
      <c r="AP77" s="71">
        <v>12</v>
      </c>
      <c r="AQ77" s="51">
        <f t="shared" si="50"/>
        <v>11.664</v>
      </c>
      <c r="AR77" s="86">
        <f t="shared" si="51"/>
        <v>7.5816</v>
      </c>
      <c r="AS77" s="141" t="s">
        <v>1142</v>
      </c>
      <c r="AT77" s="141">
        <v>90</v>
      </c>
      <c r="AU77" s="141">
        <v>90</v>
      </c>
      <c r="AV77" s="137">
        <f t="shared" si="52"/>
        <v>20</v>
      </c>
      <c r="AW77" s="137">
        <f t="shared" si="53"/>
        <v>13</v>
      </c>
      <c r="AX77" s="136">
        <f t="shared" si="54"/>
        <v>0.025</v>
      </c>
      <c r="AY77" s="79">
        <v>18</v>
      </c>
      <c r="AZ77" s="125">
        <f t="shared" si="55"/>
        <v>0.0324</v>
      </c>
      <c r="BA77" s="125">
        <f t="shared" si="56"/>
        <v>0.021060000000000002</v>
      </c>
      <c r="BB77" s="79">
        <v>30</v>
      </c>
      <c r="BC77" s="79">
        <v>12</v>
      </c>
      <c r="BD77" s="125">
        <f t="shared" si="57"/>
        <v>11.664</v>
      </c>
      <c r="BE77" s="125">
        <f t="shared" si="58"/>
        <v>7.5816</v>
      </c>
      <c r="BF77" s="130">
        <v>90</v>
      </c>
      <c r="BG77" s="130">
        <v>90</v>
      </c>
      <c r="BH77" s="136">
        <f t="shared" si="75"/>
        <v>0.025</v>
      </c>
      <c r="BI77" s="130">
        <v>18</v>
      </c>
      <c r="BJ77" s="125">
        <f t="shared" si="59"/>
        <v>0.14579999999999999</v>
      </c>
      <c r="BK77" s="125">
        <f t="shared" si="60"/>
        <v>0.14579999999999999</v>
      </c>
      <c r="BL77" s="130">
        <v>30</v>
      </c>
      <c r="BM77" s="130">
        <v>12</v>
      </c>
      <c r="BN77" s="142">
        <f t="shared" si="61"/>
        <v>52.488</v>
      </c>
      <c r="BO77" s="142">
        <f t="shared" si="62"/>
        <v>52.488</v>
      </c>
      <c r="BP77" s="180">
        <f t="shared" si="63"/>
        <v>32.076</v>
      </c>
      <c r="BQ77" s="180">
        <f t="shared" si="64"/>
        <v>30.0348</v>
      </c>
      <c r="BR77" s="197">
        <f t="shared" si="65"/>
        <v>60</v>
      </c>
      <c r="BS77" s="197">
        <f t="shared" si="66"/>
        <v>60</v>
      </c>
      <c r="BT77" s="197">
        <f t="shared" si="67"/>
        <v>40</v>
      </c>
      <c r="BU77" s="197">
        <f t="shared" si="68"/>
        <v>40</v>
      </c>
      <c r="BV77" s="197">
        <f t="shared" si="69"/>
        <v>40</v>
      </c>
      <c r="BW77" s="197">
        <f t="shared" si="70"/>
        <v>40</v>
      </c>
      <c r="BX77" s="197">
        <f t="shared" si="71"/>
        <v>40</v>
      </c>
      <c r="BY77" s="197">
        <f t="shared" si="72"/>
        <v>40</v>
      </c>
      <c r="BZ77" s="197">
        <f t="shared" si="73"/>
        <v>40</v>
      </c>
      <c r="CA77" s="197">
        <f t="shared" si="74"/>
        <v>40</v>
      </c>
      <c r="CC77" s="214"/>
    </row>
    <row r="78" spans="1:81" s="21" customFormat="1" ht="97.5" customHeight="1">
      <c r="A78" s="8">
        <v>102</v>
      </c>
      <c r="B78" s="4" t="s">
        <v>50</v>
      </c>
      <c r="C78" s="4" t="s">
        <v>19</v>
      </c>
      <c r="D78" s="4">
        <v>2</v>
      </c>
      <c r="E78" s="74" t="s">
        <v>603</v>
      </c>
      <c r="F78" s="74" t="s">
        <v>623</v>
      </c>
      <c r="G78" s="11" t="s">
        <v>655</v>
      </c>
      <c r="H78" s="75" t="s">
        <v>11</v>
      </c>
      <c r="I78" s="26" t="s">
        <v>67</v>
      </c>
      <c r="J78" s="26" t="s">
        <v>67</v>
      </c>
      <c r="K78" s="26" t="s">
        <v>67</v>
      </c>
      <c r="L78" s="26" t="s">
        <v>67</v>
      </c>
      <c r="M78" s="26" t="s">
        <v>67</v>
      </c>
      <c r="N78" s="26" t="s">
        <v>67</v>
      </c>
      <c r="O78" s="8" t="s">
        <v>51</v>
      </c>
      <c r="P78" s="8" t="s">
        <v>55</v>
      </c>
      <c r="Q78" s="8" t="s">
        <v>1099</v>
      </c>
      <c r="R78" s="8" t="s">
        <v>1100</v>
      </c>
      <c r="S78" s="4"/>
      <c r="T78" s="4">
        <v>4</v>
      </c>
      <c r="U78" s="4">
        <f>X78/T78</f>
        <v>0.01725</v>
      </c>
      <c r="V78" s="8">
        <v>60</v>
      </c>
      <c r="W78" s="44">
        <v>10</v>
      </c>
      <c r="X78" s="8">
        <v>0.069</v>
      </c>
      <c r="Y78" s="44">
        <v>18</v>
      </c>
      <c r="Z78" s="7">
        <f t="shared" si="76"/>
        <v>0.268272</v>
      </c>
      <c r="AA78" s="7">
        <f t="shared" si="77"/>
        <v>0.044712</v>
      </c>
      <c r="AB78" s="71">
        <v>30</v>
      </c>
      <c r="AC78" s="71">
        <v>12</v>
      </c>
      <c r="AD78" s="51">
        <f t="shared" si="46"/>
        <v>96.57792</v>
      </c>
      <c r="AE78" s="51">
        <f t="shared" si="47"/>
        <v>16.096320000000002</v>
      </c>
      <c r="AF78" s="4" t="s">
        <v>656</v>
      </c>
      <c r="AG78" s="4">
        <v>4</v>
      </c>
      <c r="AH78" s="40">
        <f t="shared" si="43"/>
        <v>0.01725</v>
      </c>
      <c r="AI78" s="8">
        <v>60</v>
      </c>
      <c r="AJ78" s="44">
        <v>10</v>
      </c>
      <c r="AK78" s="8">
        <v>0.069</v>
      </c>
      <c r="AL78" s="44">
        <v>18</v>
      </c>
      <c r="AM78" s="7">
        <f t="shared" si="78"/>
        <v>0.268272</v>
      </c>
      <c r="AN78" s="7">
        <f t="shared" si="79"/>
        <v>0.044712</v>
      </c>
      <c r="AO78" s="71">
        <v>30</v>
      </c>
      <c r="AP78" s="71">
        <v>12</v>
      </c>
      <c r="AQ78" s="51">
        <f t="shared" si="50"/>
        <v>96.57792</v>
      </c>
      <c r="AR78" s="86">
        <f t="shared" si="51"/>
        <v>16.096320000000002</v>
      </c>
      <c r="AS78" s="132"/>
      <c r="AT78" s="132"/>
      <c r="AU78" s="132"/>
      <c r="AV78" s="137">
        <f t="shared" si="52"/>
        <v>60</v>
      </c>
      <c r="AW78" s="137">
        <f t="shared" si="53"/>
        <v>10</v>
      </c>
      <c r="AX78" s="136">
        <f t="shared" si="54"/>
        <v>0.069</v>
      </c>
      <c r="AY78" s="79">
        <v>18</v>
      </c>
      <c r="AZ78" s="125">
        <f t="shared" si="55"/>
        <v>0.268272</v>
      </c>
      <c r="BA78" s="125">
        <f t="shared" si="56"/>
        <v>0.044712</v>
      </c>
      <c r="BB78" s="79">
        <v>30</v>
      </c>
      <c r="BC78" s="79">
        <v>12</v>
      </c>
      <c r="BD78" s="125">
        <f t="shared" si="57"/>
        <v>96.57792</v>
      </c>
      <c r="BE78" s="125">
        <f t="shared" si="58"/>
        <v>16.096320000000002</v>
      </c>
      <c r="BF78" s="130">
        <v>90</v>
      </c>
      <c r="BG78" s="130">
        <v>90</v>
      </c>
      <c r="BH78" s="136">
        <f t="shared" si="75"/>
        <v>0.069</v>
      </c>
      <c r="BI78" s="130">
        <v>18</v>
      </c>
      <c r="BJ78" s="125">
        <f t="shared" si="59"/>
        <v>0.40240800000000004</v>
      </c>
      <c r="BK78" s="125">
        <f t="shared" si="60"/>
        <v>0.40240800000000004</v>
      </c>
      <c r="BL78" s="130">
        <v>30</v>
      </c>
      <c r="BM78" s="130">
        <v>12</v>
      </c>
      <c r="BN78" s="142">
        <f t="shared" si="61"/>
        <v>144.86688</v>
      </c>
      <c r="BO78" s="142">
        <f t="shared" si="62"/>
        <v>144.86688</v>
      </c>
      <c r="BP78" s="180">
        <f t="shared" si="63"/>
        <v>120.72240000000001</v>
      </c>
      <c r="BQ78" s="180">
        <f t="shared" si="64"/>
        <v>80.4816</v>
      </c>
      <c r="BR78" s="197">
        <f t="shared" si="65"/>
        <v>150</v>
      </c>
      <c r="BS78" s="197">
        <f t="shared" si="66"/>
        <v>150</v>
      </c>
      <c r="BT78" s="197">
        <f t="shared" si="67"/>
        <v>130</v>
      </c>
      <c r="BU78" s="197">
        <f t="shared" si="68"/>
        <v>90</v>
      </c>
      <c r="BV78" s="197">
        <f t="shared" si="69"/>
        <v>130</v>
      </c>
      <c r="BW78" s="197">
        <f t="shared" si="70"/>
        <v>90</v>
      </c>
      <c r="BX78" s="197">
        <f t="shared" si="71"/>
        <v>130</v>
      </c>
      <c r="BY78" s="197">
        <f t="shared" si="72"/>
        <v>90</v>
      </c>
      <c r="BZ78" s="197">
        <f t="shared" si="73"/>
        <v>130</v>
      </c>
      <c r="CA78" s="197">
        <f t="shared" si="74"/>
        <v>90</v>
      </c>
      <c r="CC78" s="214"/>
    </row>
    <row r="79" spans="1:81" s="21" customFormat="1" ht="97.5" customHeight="1">
      <c r="A79" s="8">
        <v>103</v>
      </c>
      <c r="B79" s="4" t="s">
        <v>50</v>
      </c>
      <c r="C79" s="4" t="s">
        <v>19</v>
      </c>
      <c r="D79" s="4">
        <v>2</v>
      </c>
      <c r="E79" s="74" t="s">
        <v>604</v>
      </c>
      <c r="F79" s="74" t="s">
        <v>624</v>
      </c>
      <c r="G79" s="65" t="s">
        <v>21</v>
      </c>
      <c r="H79" s="75" t="s">
        <v>11</v>
      </c>
      <c r="I79" s="26" t="s">
        <v>67</v>
      </c>
      <c r="J79" s="26" t="s">
        <v>67</v>
      </c>
      <c r="K79" s="26" t="s">
        <v>67</v>
      </c>
      <c r="L79" s="26" t="s">
        <v>67</v>
      </c>
      <c r="M79" s="26" t="s">
        <v>67</v>
      </c>
      <c r="N79" s="26" t="s">
        <v>67</v>
      </c>
      <c r="O79" s="8" t="s">
        <v>51</v>
      </c>
      <c r="P79" s="8" t="s">
        <v>55</v>
      </c>
      <c r="Q79" s="8" t="s">
        <v>1101</v>
      </c>
      <c r="R79" s="8" t="s">
        <v>1102</v>
      </c>
      <c r="S79" s="4"/>
      <c r="T79" s="4">
        <v>4</v>
      </c>
      <c r="U79" s="4"/>
      <c r="V79" s="124">
        <f>'Estandarización parámetros SJB'!$C$62</f>
        <v>32</v>
      </c>
      <c r="W79" s="124">
        <f>'Estandarización parámetros SJB'!$C$113</f>
        <v>21</v>
      </c>
      <c r="X79" s="112">
        <f>T79*'Estandarización parámetros SJB'!$C$3</f>
        <v>0.07288888888888889</v>
      </c>
      <c r="Y79" s="44">
        <v>18</v>
      </c>
      <c r="Z79" s="7">
        <f t="shared" si="76"/>
        <v>0.1511424</v>
      </c>
      <c r="AA79" s="7">
        <f t="shared" si="77"/>
        <v>0.0991872</v>
      </c>
      <c r="AB79" s="71">
        <v>30</v>
      </c>
      <c r="AC79" s="71">
        <v>12</v>
      </c>
      <c r="AD79" s="51">
        <f t="shared" si="46"/>
        <v>54.411264</v>
      </c>
      <c r="AE79" s="51">
        <f t="shared" si="47"/>
        <v>35.707392</v>
      </c>
      <c r="AF79" s="4" t="s">
        <v>657</v>
      </c>
      <c r="AG79" s="4">
        <v>4</v>
      </c>
      <c r="AH79" s="40">
        <f t="shared" si="43"/>
        <v>0.12625</v>
      </c>
      <c r="AI79" s="8">
        <v>18</v>
      </c>
      <c r="AJ79" s="44">
        <v>17</v>
      </c>
      <c r="AK79" s="8">
        <v>0.505</v>
      </c>
      <c r="AL79" s="44">
        <v>18</v>
      </c>
      <c r="AM79" s="7">
        <f t="shared" si="78"/>
        <v>0.589032</v>
      </c>
      <c r="AN79" s="7">
        <f t="shared" si="79"/>
        <v>0.5563080000000001</v>
      </c>
      <c r="AO79" s="71">
        <v>30</v>
      </c>
      <c r="AP79" s="71">
        <v>12</v>
      </c>
      <c r="AQ79" s="51">
        <f t="shared" si="50"/>
        <v>212.05152</v>
      </c>
      <c r="AR79" s="86">
        <f t="shared" si="51"/>
        <v>200.27088000000006</v>
      </c>
      <c r="AS79" s="132"/>
      <c r="AT79" s="132"/>
      <c r="AU79" s="132"/>
      <c r="AV79" s="137">
        <f t="shared" si="52"/>
        <v>19.765814266487215</v>
      </c>
      <c r="AW79" s="137">
        <f t="shared" si="53"/>
        <v>17.504518361853492</v>
      </c>
      <c r="AX79" s="136">
        <f t="shared" si="54"/>
        <v>0.28894444444444445</v>
      </c>
      <c r="AY79" s="79">
        <v>18</v>
      </c>
      <c r="AZ79" s="125">
        <f t="shared" si="55"/>
        <v>0.37008719999999995</v>
      </c>
      <c r="BA79" s="125">
        <f t="shared" si="56"/>
        <v>0.32774760000000003</v>
      </c>
      <c r="BB79" s="79">
        <v>30</v>
      </c>
      <c r="BC79" s="79">
        <v>12</v>
      </c>
      <c r="BD79" s="125">
        <f t="shared" si="57"/>
        <v>133.23139199999997</v>
      </c>
      <c r="BE79" s="125">
        <f t="shared" si="58"/>
        <v>117.989136</v>
      </c>
      <c r="BF79" s="130">
        <v>90</v>
      </c>
      <c r="BG79" s="130">
        <v>90</v>
      </c>
      <c r="BH79" s="136">
        <f t="shared" si="75"/>
        <v>0.28894444444444445</v>
      </c>
      <c r="BI79" s="130">
        <v>18</v>
      </c>
      <c r="BJ79" s="125">
        <f t="shared" si="59"/>
        <v>1.6851239999999998</v>
      </c>
      <c r="BK79" s="125">
        <f t="shared" si="60"/>
        <v>1.6851239999999998</v>
      </c>
      <c r="BL79" s="130">
        <v>30</v>
      </c>
      <c r="BM79" s="130">
        <v>12</v>
      </c>
      <c r="BN79" s="142">
        <f t="shared" si="61"/>
        <v>606.64464</v>
      </c>
      <c r="BO79" s="142">
        <f t="shared" si="62"/>
        <v>606.64464</v>
      </c>
      <c r="BP79" s="180">
        <f t="shared" si="63"/>
        <v>369.93801599999995</v>
      </c>
      <c r="BQ79" s="180">
        <f t="shared" si="64"/>
        <v>362.316888</v>
      </c>
      <c r="BR79" s="197">
        <f t="shared" si="65"/>
        <v>610</v>
      </c>
      <c r="BS79" s="197">
        <f t="shared" si="66"/>
        <v>610</v>
      </c>
      <c r="BT79" s="197">
        <f t="shared" si="67"/>
        <v>370</v>
      </c>
      <c r="BU79" s="197">
        <f t="shared" si="68"/>
        <v>370</v>
      </c>
      <c r="BV79" s="197">
        <f t="shared" si="69"/>
        <v>370</v>
      </c>
      <c r="BW79" s="197">
        <f t="shared" si="70"/>
        <v>370</v>
      </c>
      <c r="BX79" s="197">
        <f t="shared" si="71"/>
        <v>370</v>
      </c>
      <c r="BY79" s="197">
        <f t="shared" si="72"/>
        <v>370</v>
      </c>
      <c r="BZ79" s="197">
        <f t="shared" si="73"/>
        <v>370</v>
      </c>
      <c r="CA79" s="197">
        <f t="shared" si="74"/>
        <v>370</v>
      </c>
      <c r="CC79" s="214"/>
    </row>
    <row r="80" spans="1:81" s="21" customFormat="1" ht="97.5" customHeight="1">
      <c r="A80" s="8">
        <v>104</v>
      </c>
      <c r="B80" s="4" t="s">
        <v>50</v>
      </c>
      <c r="C80" s="4" t="s">
        <v>19</v>
      </c>
      <c r="D80" s="4">
        <v>2</v>
      </c>
      <c r="E80" s="74" t="s">
        <v>607</v>
      </c>
      <c r="F80" s="74" t="s">
        <v>625</v>
      </c>
      <c r="G80" s="11" t="s">
        <v>659</v>
      </c>
      <c r="H80" s="75" t="s">
        <v>11</v>
      </c>
      <c r="I80" s="26" t="s">
        <v>67</v>
      </c>
      <c r="J80" s="26" t="s">
        <v>67</v>
      </c>
      <c r="K80" s="26" t="s">
        <v>67</v>
      </c>
      <c r="L80" s="26" t="s">
        <v>67</v>
      </c>
      <c r="M80" s="26" t="s">
        <v>67</v>
      </c>
      <c r="N80" s="26" t="s">
        <v>67</v>
      </c>
      <c r="O80" s="8" t="s">
        <v>51</v>
      </c>
      <c r="P80" s="8" t="s">
        <v>55</v>
      </c>
      <c r="Q80" s="8" t="s">
        <v>1103</v>
      </c>
      <c r="R80" s="8" t="s">
        <v>1104</v>
      </c>
      <c r="S80" s="4"/>
      <c r="T80" s="4">
        <v>4</v>
      </c>
      <c r="U80" s="4"/>
      <c r="V80" s="124">
        <f>'Estandarización parámetros SJB'!$C$62</f>
        <v>32</v>
      </c>
      <c r="W80" s="124">
        <f>'Estandarización parámetros SJB'!$C$113</f>
        <v>21</v>
      </c>
      <c r="X80" s="112">
        <f>T80*'Estandarización parámetros SJB'!$C$3</f>
        <v>0.07288888888888889</v>
      </c>
      <c r="Y80" s="44">
        <v>18</v>
      </c>
      <c r="Z80" s="7">
        <f t="shared" si="76"/>
        <v>0.1511424</v>
      </c>
      <c r="AA80" s="7">
        <f t="shared" si="77"/>
        <v>0.0991872</v>
      </c>
      <c r="AB80" s="71">
        <v>30</v>
      </c>
      <c r="AC80" s="71">
        <v>12</v>
      </c>
      <c r="AD80" s="51">
        <f t="shared" si="46"/>
        <v>54.411264</v>
      </c>
      <c r="AE80" s="51">
        <f t="shared" si="47"/>
        <v>35.707392</v>
      </c>
      <c r="AF80" s="4" t="s">
        <v>662</v>
      </c>
      <c r="AG80" s="4">
        <v>4</v>
      </c>
      <c r="AH80" s="40">
        <f t="shared" si="43"/>
        <v>0.011</v>
      </c>
      <c r="AI80" s="8">
        <v>85</v>
      </c>
      <c r="AJ80" s="44">
        <v>26</v>
      </c>
      <c r="AK80" s="8">
        <v>0.044</v>
      </c>
      <c r="AL80" s="44">
        <v>18</v>
      </c>
      <c r="AM80" s="7">
        <f t="shared" si="78"/>
        <v>0.24235199999999996</v>
      </c>
      <c r="AN80" s="7">
        <f t="shared" si="79"/>
        <v>0.0741312</v>
      </c>
      <c r="AO80" s="71">
        <v>30</v>
      </c>
      <c r="AP80" s="71">
        <v>12</v>
      </c>
      <c r="AQ80" s="51">
        <f t="shared" si="50"/>
        <v>87.24671999999998</v>
      </c>
      <c r="AR80" s="86">
        <f t="shared" si="51"/>
        <v>26.687231999999995</v>
      </c>
      <c r="AS80" s="132"/>
      <c r="AT80" s="132"/>
      <c r="AU80" s="132"/>
      <c r="AV80" s="137">
        <f t="shared" si="52"/>
        <v>51.950570342205324</v>
      </c>
      <c r="AW80" s="137">
        <f t="shared" si="53"/>
        <v>22.88212927756654</v>
      </c>
      <c r="AX80" s="136">
        <f t="shared" si="54"/>
        <v>0.058444444444444445</v>
      </c>
      <c r="AY80" s="79">
        <v>18</v>
      </c>
      <c r="AZ80" s="125">
        <f t="shared" si="55"/>
        <v>0.1967472</v>
      </c>
      <c r="BA80" s="125">
        <f t="shared" si="56"/>
        <v>0.0866592</v>
      </c>
      <c r="BB80" s="79">
        <v>30</v>
      </c>
      <c r="BC80" s="79">
        <v>12</v>
      </c>
      <c r="BD80" s="125">
        <f t="shared" si="57"/>
        <v>70.828992</v>
      </c>
      <c r="BE80" s="125">
        <f t="shared" si="58"/>
        <v>31.197312000000004</v>
      </c>
      <c r="BF80" s="130">
        <v>90</v>
      </c>
      <c r="BG80" s="130">
        <v>90</v>
      </c>
      <c r="BH80" s="136">
        <f t="shared" si="75"/>
        <v>0.058444444444444445</v>
      </c>
      <c r="BI80" s="130">
        <v>18</v>
      </c>
      <c r="BJ80" s="125">
        <f t="shared" si="59"/>
        <v>0.340848</v>
      </c>
      <c r="BK80" s="125">
        <f t="shared" si="60"/>
        <v>0.340848</v>
      </c>
      <c r="BL80" s="130">
        <v>30</v>
      </c>
      <c r="BM80" s="130">
        <v>12</v>
      </c>
      <c r="BN80" s="142">
        <f t="shared" si="61"/>
        <v>122.70527999999999</v>
      </c>
      <c r="BO80" s="142">
        <f t="shared" si="62"/>
        <v>122.70527999999999</v>
      </c>
      <c r="BP80" s="180">
        <f t="shared" si="63"/>
        <v>96.767136</v>
      </c>
      <c r="BQ80" s="180">
        <f t="shared" si="64"/>
        <v>76.951296</v>
      </c>
      <c r="BR80" s="197">
        <f t="shared" si="65"/>
        <v>130</v>
      </c>
      <c r="BS80" s="197">
        <f t="shared" si="66"/>
        <v>130</v>
      </c>
      <c r="BT80" s="197">
        <f t="shared" si="67"/>
        <v>100</v>
      </c>
      <c r="BU80" s="197">
        <f t="shared" si="68"/>
        <v>80</v>
      </c>
      <c r="BV80" s="197">
        <f t="shared" si="69"/>
        <v>100</v>
      </c>
      <c r="BW80" s="197">
        <f t="shared" si="70"/>
        <v>80</v>
      </c>
      <c r="BX80" s="197">
        <f t="shared" si="71"/>
        <v>100</v>
      </c>
      <c r="BY80" s="197">
        <f t="shared" si="72"/>
        <v>80</v>
      </c>
      <c r="BZ80" s="197">
        <f t="shared" si="73"/>
        <v>100</v>
      </c>
      <c r="CA80" s="197">
        <f t="shared" si="74"/>
        <v>80</v>
      </c>
      <c r="CC80" s="214"/>
    </row>
    <row r="81" spans="1:81" s="21" customFormat="1" ht="97.5" customHeight="1">
      <c r="A81" s="244">
        <v>105</v>
      </c>
      <c r="B81" s="246" t="s">
        <v>50</v>
      </c>
      <c r="C81" s="246" t="s">
        <v>19</v>
      </c>
      <c r="D81" s="246">
        <v>2</v>
      </c>
      <c r="E81" s="257" t="s">
        <v>679</v>
      </c>
      <c r="F81" s="257" t="s">
        <v>626</v>
      </c>
      <c r="G81" s="258" t="s">
        <v>660</v>
      </c>
      <c r="H81" s="247" t="s">
        <v>227</v>
      </c>
      <c r="I81" s="247" t="s">
        <v>661</v>
      </c>
      <c r="J81" s="245">
        <v>44327</v>
      </c>
      <c r="K81" s="245">
        <v>44336</v>
      </c>
      <c r="L81" s="245">
        <v>44351</v>
      </c>
      <c r="M81" s="247" t="s">
        <v>74</v>
      </c>
      <c r="N81" s="245">
        <v>46176</v>
      </c>
      <c r="O81" s="8" t="s">
        <v>51</v>
      </c>
      <c r="P81" s="8" t="s">
        <v>55</v>
      </c>
      <c r="Q81" s="8" t="s">
        <v>776</v>
      </c>
      <c r="R81" s="8" t="s">
        <v>915</v>
      </c>
      <c r="S81" s="246"/>
      <c r="T81" s="4">
        <v>4</v>
      </c>
      <c r="U81" s="4">
        <f>X81/T81</f>
        <v>0.01975</v>
      </c>
      <c r="V81" s="8">
        <v>38</v>
      </c>
      <c r="W81" s="44">
        <v>17</v>
      </c>
      <c r="X81" s="8">
        <v>0.079</v>
      </c>
      <c r="Y81" s="44">
        <v>18</v>
      </c>
      <c r="Z81" s="7">
        <f t="shared" si="76"/>
        <v>0.1945296</v>
      </c>
      <c r="AA81" s="7">
        <f t="shared" si="77"/>
        <v>0.08702639999999999</v>
      </c>
      <c r="AB81" s="71">
        <v>30</v>
      </c>
      <c r="AC81" s="71">
        <v>12</v>
      </c>
      <c r="AD81" s="51">
        <f t="shared" si="46"/>
        <v>70.030656</v>
      </c>
      <c r="AE81" s="51">
        <f t="shared" si="47"/>
        <v>31.329503999999993</v>
      </c>
      <c r="AF81" s="246" t="s">
        <v>663</v>
      </c>
      <c r="AG81" s="4">
        <v>4</v>
      </c>
      <c r="AH81" s="40">
        <f t="shared" si="43"/>
        <v>0.01975</v>
      </c>
      <c r="AI81" s="8">
        <v>38</v>
      </c>
      <c r="AJ81" s="44">
        <v>17</v>
      </c>
      <c r="AK81" s="8">
        <v>0.079</v>
      </c>
      <c r="AL81" s="44">
        <v>18</v>
      </c>
      <c r="AM81" s="7">
        <f t="shared" si="78"/>
        <v>0.1945296</v>
      </c>
      <c r="AN81" s="7">
        <f t="shared" si="79"/>
        <v>0.08702639999999999</v>
      </c>
      <c r="AO81" s="71">
        <v>30</v>
      </c>
      <c r="AP81" s="71">
        <v>12</v>
      </c>
      <c r="AQ81" s="51">
        <f t="shared" si="50"/>
        <v>70.030656</v>
      </c>
      <c r="AR81" s="86">
        <f t="shared" si="51"/>
        <v>31.329503999999993</v>
      </c>
      <c r="AS81" s="141" t="s">
        <v>1142</v>
      </c>
      <c r="AT81" s="141">
        <v>90</v>
      </c>
      <c r="AU81" s="141">
        <v>90</v>
      </c>
      <c r="AV81" s="137">
        <f t="shared" si="52"/>
        <v>38</v>
      </c>
      <c r="AW81" s="137">
        <f t="shared" si="53"/>
        <v>17</v>
      </c>
      <c r="AX81" s="136">
        <f t="shared" si="54"/>
        <v>0.079</v>
      </c>
      <c r="AY81" s="79">
        <v>18</v>
      </c>
      <c r="AZ81" s="125">
        <f t="shared" si="55"/>
        <v>0.1945296</v>
      </c>
      <c r="BA81" s="125">
        <f t="shared" si="56"/>
        <v>0.08702639999999999</v>
      </c>
      <c r="BB81" s="79">
        <v>30</v>
      </c>
      <c r="BC81" s="79">
        <v>12</v>
      </c>
      <c r="BD81" s="125">
        <f t="shared" si="57"/>
        <v>70.030656</v>
      </c>
      <c r="BE81" s="125">
        <f t="shared" si="58"/>
        <v>31.329503999999993</v>
      </c>
      <c r="BF81" s="130">
        <v>90</v>
      </c>
      <c r="BG81" s="130">
        <v>90</v>
      </c>
      <c r="BH81" s="136">
        <f t="shared" si="75"/>
        <v>0.079</v>
      </c>
      <c r="BI81" s="130">
        <v>18</v>
      </c>
      <c r="BJ81" s="125">
        <f t="shared" si="59"/>
        <v>0.460728</v>
      </c>
      <c r="BK81" s="125">
        <f t="shared" si="60"/>
        <v>0.460728</v>
      </c>
      <c r="BL81" s="130">
        <v>30</v>
      </c>
      <c r="BM81" s="130">
        <v>12</v>
      </c>
      <c r="BN81" s="142">
        <f t="shared" si="61"/>
        <v>165.86208000000002</v>
      </c>
      <c r="BO81" s="142">
        <f t="shared" si="62"/>
        <v>165.86208000000002</v>
      </c>
      <c r="BP81" s="180">
        <f t="shared" si="63"/>
        <v>117.946368</v>
      </c>
      <c r="BQ81" s="180">
        <f t="shared" si="64"/>
        <v>98.595792</v>
      </c>
      <c r="BR81" s="197">
        <f t="shared" si="65"/>
        <v>170</v>
      </c>
      <c r="BS81" s="197">
        <f t="shared" si="66"/>
        <v>170</v>
      </c>
      <c r="BT81" s="197">
        <f t="shared" si="67"/>
        <v>120</v>
      </c>
      <c r="BU81" s="197">
        <f t="shared" si="68"/>
        <v>100</v>
      </c>
      <c r="BV81" s="197">
        <f t="shared" si="69"/>
        <v>120</v>
      </c>
      <c r="BW81" s="197">
        <f t="shared" si="70"/>
        <v>100</v>
      </c>
      <c r="BX81" s="197">
        <f t="shared" si="71"/>
        <v>120</v>
      </c>
      <c r="BY81" s="197">
        <f t="shared" si="72"/>
        <v>100</v>
      </c>
      <c r="BZ81" s="197">
        <f t="shared" si="73"/>
        <v>120</v>
      </c>
      <c r="CA81" s="197">
        <f t="shared" si="74"/>
        <v>100</v>
      </c>
      <c r="CC81" s="214"/>
    </row>
    <row r="82" spans="1:81" s="21" customFormat="1" ht="97.5" customHeight="1">
      <c r="A82" s="244"/>
      <c r="B82" s="246"/>
      <c r="C82" s="246"/>
      <c r="D82" s="246"/>
      <c r="E82" s="257"/>
      <c r="F82" s="257"/>
      <c r="G82" s="258"/>
      <c r="H82" s="247"/>
      <c r="I82" s="247"/>
      <c r="J82" s="245"/>
      <c r="K82" s="245"/>
      <c r="L82" s="245"/>
      <c r="M82" s="247"/>
      <c r="N82" s="245"/>
      <c r="O82" s="8" t="s">
        <v>51</v>
      </c>
      <c r="P82" s="8" t="s">
        <v>55</v>
      </c>
      <c r="Q82" s="8" t="s">
        <v>777</v>
      </c>
      <c r="R82" s="8" t="s">
        <v>916</v>
      </c>
      <c r="S82" s="246"/>
      <c r="T82" s="4">
        <v>4</v>
      </c>
      <c r="U82" s="4">
        <f>X82/T82</f>
        <v>0.01625</v>
      </c>
      <c r="V82" s="8">
        <v>12</v>
      </c>
      <c r="W82" s="44">
        <v>20</v>
      </c>
      <c r="X82" s="8">
        <v>0.065</v>
      </c>
      <c r="Y82" s="44">
        <v>18</v>
      </c>
      <c r="Z82" s="7">
        <f t="shared" si="76"/>
        <v>0.050544</v>
      </c>
      <c r="AA82" s="7">
        <f t="shared" si="77"/>
        <v>0.08424000000000001</v>
      </c>
      <c r="AB82" s="71">
        <v>30</v>
      </c>
      <c r="AC82" s="71">
        <v>12</v>
      </c>
      <c r="AD82" s="51">
        <f t="shared" si="46"/>
        <v>18.195839999999997</v>
      </c>
      <c r="AE82" s="51">
        <f t="shared" si="47"/>
        <v>30.3264</v>
      </c>
      <c r="AF82" s="246"/>
      <c r="AG82" s="4">
        <v>4</v>
      </c>
      <c r="AH82" s="40">
        <f t="shared" si="43"/>
        <v>0.01625</v>
      </c>
      <c r="AI82" s="8">
        <v>12</v>
      </c>
      <c r="AJ82" s="44">
        <v>20</v>
      </c>
      <c r="AK82" s="8">
        <v>0.065</v>
      </c>
      <c r="AL82" s="44">
        <v>18</v>
      </c>
      <c r="AM82" s="7">
        <f t="shared" si="78"/>
        <v>0.050544</v>
      </c>
      <c r="AN82" s="7">
        <f t="shared" si="79"/>
        <v>0.08424000000000001</v>
      </c>
      <c r="AO82" s="71">
        <v>30</v>
      </c>
      <c r="AP82" s="71">
        <v>12</v>
      </c>
      <c r="AQ82" s="51">
        <f t="shared" si="50"/>
        <v>18.195839999999997</v>
      </c>
      <c r="AR82" s="86">
        <f t="shared" si="51"/>
        <v>30.3264</v>
      </c>
      <c r="AS82" s="132"/>
      <c r="AT82" s="132"/>
      <c r="AU82" s="132"/>
      <c r="AV82" s="137">
        <f t="shared" si="52"/>
        <v>12</v>
      </c>
      <c r="AW82" s="137">
        <f t="shared" si="53"/>
        <v>20</v>
      </c>
      <c r="AX82" s="136">
        <f t="shared" si="54"/>
        <v>0.065</v>
      </c>
      <c r="AY82" s="79">
        <v>18</v>
      </c>
      <c r="AZ82" s="125">
        <f t="shared" si="55"/>
        <v>0.050544</v>
      </c>
      <c r="BA82" s="125">
        <f t="shared" si="56"/>
        <v>0.08424000000000001</v>
      </c>
      <c r="BB82" s="79">
        <v>30</v>
      </c>
      <c r="BC82" s="79">
        <v>12</v>
      </c>
      <c r="BD82" s="125">
        <f t="shared" si="57"/>
        <v>18.195839999999997</v>
      </c>
      <c r="BE82" s="125">
        <f t="shared" si="58"/>
        <v>30.3264</v>
      </c>
      <c r="BF82" s="130">
        <v>90</v>
      </c>
      <c r="BG82" s="130">
        <v>90</v>
      </c>
      <c r="BH82" s="136">
        <f t="shared" si="75"/>
        <v>0.065</v>
      </c>
      <c r="BI82" s="130">
        <v>18</v>
      </c>
      <c r="BJ82" s="125">
        <f t="shared" si="59"/>
        <v>0.37908000000000003</v>
      </c>
      <c r="BK82" s="125">
        <f t="shared" si="60"/>
        <v>0.37908000000000003</v>
      </c>
      <c r="BL82" s="130">
        <v>30</v>
      </c>
      <c r="BM82" s="130">
        <v>12</v>
      </c>
      <c r="BN82" s="142">
        <f t="shared" si="61"/>
        <v>136.46880000000002</v>
      </c>
      <c r="BO82" s="142">
        <f t="shared" si="62"/>
        <v>136.46880000000002</v>
      </c>
      <c r="BP82" s="180">
        <f t="shared" si="63"/>
        <v>77.33232000000001</v>
      </c>
      <c r="BQ82" s="180">
        <f t="shared" si="64"/>
        <v>83.39760000000001</v>
      </c>
      <c r="BR82" s="197">
        <f t="shared" si="65"/>
        <v>140</v>
      </c>
      <c r="BS82" s="197">
        <f t="shared" si="66"/>
        <v>140</v>
      </c>
      <c r="BT82" s="197">
        <f t="shared" si="67"/>
        <v>80</v>
      </c>
      <c r="BU82" s="197">
        <f t="shared" si="68"/>
        <v>90</v>
      </c>
      <c r="BV82" s="197">
        <f t="shared" si="69"/>
        <v>80</v>
      </c>
      <c r="BW82" s="197">
        <f t="shared" si="70"/>
        <v>90</v>
      </c>
      <c r="BX82" s="197">
        <f t="shared" si="71"/>
        <v>80</v>
      </c>
      <c r="BY82" s="197">
        <f t="shared" si="72"/>
        <v>90</v>
      </c>
      <c r="BZ82" s="197">
        <f t="shared" si="73"/>
        <v>80</v>
      </c>
      <c r="CA82" s="197">
        <f t="shared" si="74"/>
        <v>90</v>
      </c>
      <c r="CC82" s="214"/>
    </row>
    <row r="83" spans="1:81" s="21" customFormat="1" ht="97.5" customHeight="1">
      <c r="A83" s="8">
        <v>106</v>
      </c>
      <c r="B83" s="4" t="s">
        <v>50</v>
      </c>
      <c r="C83" s="4" t="s">
        <v>19</v>
      </c>
      <c r="D83" s="4">
        <v>2</v>
      </c>
      <c r="E83" s="74" t="s">
        <v>608</v>
      </c>
      <c r="F83" s="74" t="s">
        <v>627</v>
      </c>
      <c r="G83" s="11" t="s">
        <v>664</v>
      </c>
      <c r="H83" s="75" t="s">
        <v>11</v>
      </c>
      <c r="I83" s="26" t="s">
        <v>67</v>
      </c>
      <c r="J83" s="26" t="s">
        <v>67</v>
      </c>
      <c r="K83" s="26" t="s">
        <v>67</v>
      </c>
      <c r="L83" s="26" t="s">
        <v>67</v>
      </c>
      <c r="M83" s="26" t="s">
        <v>67</v>
      </c>
      <c r="N83" s="26" t="s">
        <v>67</v>
      </c>
      <c r="O83" s="8" t="s">
        <v>51</v>
      </c>
      <c r="P83" s="8" t="s">
        <v>55</v>
      </c>
      <c r="Q83" s="8" t="s">
        <v>1105</v>
      </c>
      <c r="R83" s="8" t="s">
        <v>1106</v>
      </c>
      <c r="S83" s="4"/>
      <c r="T83" s="4">
        <v>4</v>
      </c>
      <c r="U83" s="4"/>
      <c r="V83" s="124">
        <f>'Estandarización parámetros SJB'!$C$62</f>
        <v>32</v>
      </c>
      <c r="W83" s="124">
        <f>'Estandarización parámetros SJB'!$C$113</f>
        <v>21</v>
      </c>
      <c r="X83" s="112">
        <f>T83*'Estandarización parámetros SJB'!$C$3</f>
        <v>0.07288888888888889</v>
      </c>
      <c r="Y83" s="44">
        <v>18</v>
      </c>
      <c r="Z83" s="7">
        <f t="shared" si="76"/>
        <v>0.1511424</v>
      </c>
      <c r="AA83" s="7">
        <f t="shared" si="77"/>
        <v>0.0991872</v>
      </c>
      <c r="AB83" s="71">
        <v>30</v>
      </c>
      <c r="AC83" s="71">
        <v>12</v>
      </c>
      <c r="AD83" s="51">
        <f t="shared" si="46"/>
        <v>54.411264</v>
      </c>
      <c r="AE83" s="51">
        <f t="shared" si="47"/>
        <v>35.707392</v>
      </c>
      <c r="AF83" s="4" t="s">
        <v>665</v>
      </c>
      <c r="AG83" s="4">
        <v>4</v>
      </c>
      <c r="AH83" s="40">
        <f t="shared" si="43"/>
        <v>0.04325</v>
      </c>
      <c r="AI83" s="8">
        <v>14</v>
      </c>
      <c r="AJ83" s="44">
        <v>10</v>
      </c>
      <c r="AK83" s="8">
        <v>0.173</v>
      </c>
      <c r="AL83" s="44">
        <v>18</v>
      </c>
      <c r="AM83" s="7">
        <f t="shared" si="78"/>
        <v>0.1569456</v>
      </c>
      <c r="AN83" s="7">
        <f t="shared" si="79"/>
        <v>0.112104</v>
      </c>
      <c r="AO83" s="71">
        <v>30</v>
      </c>
      <c r="AP83" s="71">
        <v>12</v>
      </c>
      <c r="AQ83" s="51">
        <f t="shared" si="50"/>
        <v>56.500416</v>
      </c>
      <c r="AR83" s="86">
        <f t="shared" si="51"/>
        <v>40.35744</v>
      </c>
      <c r="AS83" s="132"/>
      <c r="AT83" s="132"/>
      <c r="AU83" s="132"/>
      <c r="AV83" s="137">
        <f t="shared" si="52"/>
        <v>19.335743334839584</v>
      </c>
      <c r="AW83" s="137">
        <f t="shared" si="53"/>
        <v>13.260732037957524</v>
      </c>
      <c r="AX83" s="136">
        <f t="shared" si="54"/>
        <v>0.12294444444444444</v>
      </c>
      <c r="AY83" s="79">
        <v>18</v>
      </c>
      <c r="AZ83" s="125">
        <f t="shared" si="55"/>
        <v>0.154044</v>
      </c>
      <c r="BA83" s="125">
        <f t="shared" si="56"/>
        <v>0.10564559999999999</v>
      </c>
      <c r="BB83" s="79">
        <v>30</v>
      </c>
      <c r="BC83" s="79">
        <v>12</v>
      </c>
      <c r="BD83" s="125">
        <f t="shared" si="57"/>
        <v>55.455839999999995</v>
      </c>
      <c r="BE83" s="125">
        <f t="shared" si="58"/>
        <v>38.032416</v>
      </c>
      <c r="BF83" s="130">
        <v>90</v>
      </c>
      <c r="BG83" s="130">
        <v>90</v>
      </c>
      <c r="BH83" s="136">
        <f t="shared" si="75"/>
        <v>0.12294444444444444</v>
      </c>
      <c r="BI83" s="130">
        <v>18</v>
      </c>
      <c r="BJ83" s="125">
        <f t="shared" si="59"/>
        <v>0.717012</v>
      </c>
      <c r="BK83" s="125">
        <f t="shared" si="60"/>
        <v>0.717012</v>
      </c>
      <c r="BL83" s="130">
        <v>30</v>
      </c>
      <c r="BM83" s="130">
        <v>12</v>
      </c>
      <c r="BN83" s="142">
        <f t="shared" si="61"/>
        <v>258.12432</v>
      </c>
      <c r="BO83" s="142">
        <f t="shared" si="62"/>
        <v>258.12432</v>
      </c>
      <c r="BP83" s="180">
        <f t="shared" si="63"/>
        <v>156.79008</v>
      </c>
      <c r="BQ83" s="180">
        <f t="shared" si="64"/>
        <v>148.078368</v>
      </c>
      <c r="BR83" s="197">
        <f t="shared" si="65"/>
        <v>260</v>
      </c>
      <c r="BS83" s="197">
        <f t="shared" si="66"/>
        <v>260</v>
      </c>
      <c r="BT83" s="197">
        <f t="shared" si="67"/>
        <v>160</v>
      </c>
      <c r="BU83" s="197">
        <f t="shared" si="68"/>
        <v>150</v>
      </c>
      <c r="BV83" s="197">
        <f t="shared" si="69"/>
        <v>160</v>
      </c>
      <c r="BW83" s="197">
        <f t="shared" si="70"/>
        <v>150</v>
      </c>
      <c r="BX83" s="197">
        <f t="shared" si="71"/>
        <v>160</v>
      </c>
      <c r="BY83" s="197">
        <f t="shared" si="72"/>
        <v>150</v>
      </c>
      <c r="BZ83" s="197">
        <f t="shared" si="73"/>
        <v>160</v>
      </c>
      <c r="CA83" s="197">
        <f t="shared" si="74"/>
        <v>150</v>
      </c>
      <c r="CC83" s="214"/>
    </row>
    <row r="84" spans="1:81" s="21" customFormat="1" ht="97.5" customHeight="1">
      <c r="A84" s="8">
        <v>107</v>
      </c>
      <c r="B84" s="4" t="s">
        <v>50</v>
      </c>
      <c r="C84" s="4" t="s">
        <v>19</v>
      </c>
      <c r="D84" s="4">
        <v>2</v>
      </c>
      <c r="E84" s="74" t="s">
        <v>667</v>
      </c>
      <c r="F84" s="74" t="s">
        <v>628</v>
      </c>
      <c r="G84" s="65" t="s">
        <v>21</v>
      </c>
      <c r="H84" s="75" t="s">
        <v>11</v>
      </c>
      <c r="I84" s="26" t="s">
        <v>67</v>
      </c>
      <c r="J84" s="26" t="s">
        <v>67</v>
      </c>
      <c r="K84" s="26" t="s">
        <v>67</v>
      </c>
      <c r="L84" s="26" t="s">
        <v>67</v>
      </c>
      <c r="M84" s="26" t="s">
        <v>67</v>
      </c>
      <c r="N84" s="26" t="s">
        <v>67</v>
      </c>
      <c r="O84" s="8" t="s">
        <v>51</v>
      </c>
      <c r="P84" s="8" t="s">
        <v>55</v>
      </c>
      <c r="Q84" s="8" t="s">
        <v>1107</v>
      </c>
      <c r="R84" s="8" t="s">
        <v>1108</v>
      </c>
      <c r="S84" s="4"/>
      <c r="T84" s="4">
        <v>4</v>
      </c>
      <c r="U84" s="4"/>
      <c r="V84" s="124">
        <f>'Estandarización parámetros SJB'!$C$62</f>
        <v>32</v>
      </c>
      <c r="W84" s="124">
        <f>'Estandarización parámetros SJB'!$C$113</f>
        <v>21</v>
      </c>
      <c r="X84" s="112">
        <f>T84*'Estandarización parámetros SJB'!$C$3</f>
        <v>0.07288888888888889</v>
      </c>
      <c r="Y84" s="44">
        <v>18</v>
      </c>
      <c r="Z84" s="7">
        <f t="shared" si="76"/>
        <v>0.1511424</v>
      </c>
      <c r="AA84" s="7">
        <f t="shared" si="77"/>
        <v>0.0991872</v>
      </c>
      <c r="AB84" s="71">
        <v>30</v>
      </c>
      <c r="AC84" s="71">
        <v>12</v>
      </c>
      <c r="AD84" s="51">
        <f t="shared" si="46"/>
        <v>54.411264</v>
      </c>
      <c r="AE84" s="51">
        <f t="shared" si="47"/>
        <v>35.707392</v>
      </c>
      <c r="AF84" s="4" t="s">
        <v>666</v>
      </c>
      <c r="AG84" s="4">
        <v>4</v>
      </c>
      <c r="AH84" s="40">
        <f t="shared" si="43"/>
        <v>0.012</v>
      </c>
      <c r="AI84" s="8">
        <v>10</v>
      </c>
      <c r="AJ84" s="44">
        <v>5</v>
      </c>
      <c r="AK84" s="8">
        <v>0.048</v>
      </c>
      <c r="AL84" s="44">
        <v>18</v>
      </c>
      <c r="AM84" s="7">
        <f t="shared" si="78"/>
        <v>0.031104</v>
      </c>
      <c r="AN84" s="7">
        <f t="shared" si="79"/>
        <v>0.015552</v>
      </c>
      <c r="AO84" s="71">
        <v>30</v>
      </c>
      <c r="AP84" s="71">
        <v>12</v>
      </c>
      <c r="AQ84" s="51">
        <f t="shared" si="50"/>
        <v>11.19744</v>
      </c>
      <c r="AR84" s="86">
        <f t="shared" si="51"/>
        <v>5.59872</v>
      </c>
      <c r="AS84" s="132"/>
      <c r="AT84" s="132"/>
      <c r="AU84" s="132"/>
      <c r="AV84" s="137">
        <f t="shared" si="52"/>
        <v>23.264705882352942</v>
      </c>
      <c r="AW84" s="137">
        <f t="shared" si="53"/>
        <v>14.647058823529413</v>
      </c>
      <c r="AX84" s="136">
        <f t="shared" si="54"/>
        <v>0.060444444444444446</v>
      </c>
      <c r="AY84" s="79">
        <v>18</v>
      </c>
      <c r="AZ84" s="125">
        <f t="shared" si="55"/>
        <v>0.0911232</v>
      </c>
      <c r="BA84" s="125">
        <f t="shared" si="56"/>
        <v>0.05736960000000001</v>
      </c>
      <c r="BB84" s="79">
        <v>30</v>
      </c>
      <c r="BC84" s="79">
        <v>12</v>
      </c>
      <c r="BD84" s="125">
        <f t="shared" si="57"/>
        <v>32.804352</v>
      </c>
      <c r="BE84" s="125">
        <f t="shared" si="58"/>
        <v>20.653056000000003</v>
      </c>
      <c r="BF84" s="130">
        <v>90</v>
      </c>
      <c r="BG84" s="130">
        <v>90</v>
      </c>
      <c r="BH84" s="136">
        <f t="shared" si="75"/>
        <v>0.060444444444444446</v>
      </c>
      <c r="BI84" s="130">
        <v>18</v>
      </c>
      <c r="BJ84" s="125">
        <f t="shared" si="59"/>
        <v>0.352512</v>
      </c>
      <c r="BK84" s="125">
        <f t="shared" si="60"/>
        <v>0.352512</v>
      </c>
      <c r="BL84" s="130">
        <v>30</v>
      </c>
      <c r="BM84" s="130">
        <v>12</v>
      </c>
      <c r="BN84" s="142">
        <f t="shared" si="61"/>
        <v>126.90432</v>
      </c>
      <c r="BO84" s="142">
        <f t="shared" si="62"/>
        <v>126.90432</v>
      </c>
      <c r="BP84" s="180">
        <f t="shared" si="63"/>
        <v>79.854336</v>
      </c>
      <c r="BQ84" s="180">
        <f t="shared" si="64"/>
        <v>73.778688</v>
      </c>
      <c r="BR84" s="197">
        <f t="shared" si="65"/>
        <v>130</v>
      </c>
      <c r="BS84" s="197">
        <f t="shared" si="66"/>
        <v>130</v>
      </c>
      <c r="BT84" s="197">
        <f t="shared" si="67"/>
        <v>80</v>
      </c>
      <c r="BU84" s="197">
        <f t="shared" si="68"/>
        <v>80</v>
      </c>
      <c r="BV84" s="197">
        <f t="shared" si="69"/>
        <v>80</v>
      </c>
      <c r="BW84" s="197">
        <f t="shared" si="70"/>
        <v>80</v>
      </c>
      <c r="BX84" s="197">
        <f t="shared" si="71"/>
        <v>80</v>
      </c>
      <c r="BY84" s="197">
        <f t="shared" si="72"/>
        <v>80</v>
      </c>
      <c r="BZ84" s="197">
        <f t="shared" si="73"/>
        <v>80</v>
      </c>
      <c r="CA84" s="197">
        <f t="shared" si="74"/>
        <v>80</v>
      </c>
      <c r="CC84" s="214"/>
    </row>
    <row r="85" spans="1:81" s="21" customFormat="1" ht="97.5" customHeight="1">
      <c r="A85" s="244">
        <v>108</v>
      </c>
      <c r="B85" s="246" t="s">
        <v>50</v>
      </c>
      <c r="C85" s="246" t="s">
        <v>19</v>
      </c>
      <c r="D85" s="246">
        <v>2</v>
      </c>
      <c r="E85" s="257" t="s">
        <v>609</v>
      </c>
      <c r="F85" s="257" t="s">
        <v>629</v>
      </c>
      <c r="G85" s="256" t="s">
        <v>21</v>
      </c>
      <c r="H85" s="247" t="s">
        <v>11</v>
      </c>
      <c r="I85" s="243" t="s">
        <v>67</v>
      </c>
      <c r="J85" s="243" t="s">
        <v>67</v>
      </c>
      <c r="K85" s="243" t="s">
        <v>67</v>
      </c>
      <c r="L85" s="243" t="s">
        <v>67</v>
      </c>
      <c r="M85" s="243" t="s">
        <v>67</v>
      </c>
      <c r="N85" s="243" t="s">
        <v>67</v>
      </c>
      <c r="O85" s="244" t="s">
        <v>51</v>
      </c>
      <c r="P85" s="244" t="s">
        <v>55</v>
      </c>
      <c r="Q85" s="8" t="s">
        <v>778</v>
      </c>
      <c r="R85" s="8" t="s">
        <v>917</v>
      </c>
      <c r="S85" s="4"/>
      <c r="T85" s="4">
        <v>1</v>
      </c>
      <c r="U85" s="4"/>
      <c r="V85" s="124">
        <f>'Estandarización parámetros SJB'!$C$62</f>
        <v>32</v>
      </c>
      <c r="W85" s="124">
        <f>'Estandarización parámetros SJB'!$C$113</f>
        <v>21</v>
      </c>
      <c r="X85" s="112">
        <f>T85*'Estandarización parámetros SJB'!$C$3</f>
        <v>0.018222222222222223</v>
      </c>
      <c r="Y85" s="44">
        <v>18</v>
      </c>
      <c r="Z85" s="7">
        <f t="shared" si="76"/>
        <v>0.0377856</v>
      </c>
      <c r="AA85" s="7">
        <f t="shared" si="77"/>
        <v>0.0247968</v>
      </c>
      <c r="AB85" s="71">
        <v>30</v>
      </c>
      <c r="AC85" s="71">
        <v>12</v>
      </c>
      <c r="AD85" s="51">
        <f t="shared" si="46"/>
        <v>13.602816</v>
      </c>
      <c r="AE85" s="51">
        <f t="shared" si="47"/>
        <v>8.926848</v>
      </c>
      <c r="AF85" s="4" t="s">
        <v>1111</v>
      </c>
      <c r="AG85" s="4">
        <v>1</v>
      </c>
      <c r="AH85" s="40">
        <f t="shared" si="43"/>
        <v>0.03</v>
      </c>
      <c r="AI85" s="8">
        <v>8</v>
      </c>
      <c r="AJ85" s="44">
        <v>5</v>
      </c>
      <c r="AK85" s="7">
        <v>0.03</v>
      </c>
      <c r="AL85" s="44">
        <v>18</v>
      </c>
      <c r="AM85" s="7">
        <f t="shared" si="78"/>
        <v>0.015552</v>
      </c>
      <c r="AN85" s="7">
        <f t="shared" si="79"/>
        <v>0.00972</v>
      </c>
      <c r="AO85" s="71">
        <v>30</v>
      </c>
      <c r="AP85" s="71">
        <v>12</v>
      </c>
      <c r="AQ85" s="51">
        <f t="shared" si="50"/>
        <v>5.59872</v>
      </c>
      <c r="AR85" s="86">
        <f t="shared" si="51"/>
        <v>3.4991999999999996</v>
      </c>
      <c r="AS85" s="132"/>
      <c r="AT85" s="132"/>
      <c r="AU85" s="132"/>
      <c r="AV85" s="137">
        <f t="shared" si="52"/>
        <v>17.069124423963135</v>
      </c>
      <c r="AW85" s="137">
        <f t="shared" si="53"/>
        <v>11.046082949308758</v>
      </c>
      <c r="AX85" s="136">
        <f t="shared" si="54"/>
        <v>0.02411111111111111</v>
      </c>
      <c r="AY85" s="79">
        <v>18</v>
      </c>
      <c r="AZ85" s="125">
        <f t="shared" si="55"/>
        <v>0.0266688</v>
      </c>
      <c r="BA85" s="125">
        <f t="shared" si="56"/>
        <v>0.0172584</v>
      </c>
      <c r="BB85" s="79">
        <v>30</v>
      </c>
      <c r="BC85" s="79">
        <v>12</v>
      </c>
      <c r="BD85" s="125">
        <f t="shared" si="57"/>
        <v>9.600768</v>
      </c>
      <c r="BE85" s="125">
        <f t="shared" si="58"/>
        <v>6.213024</v>
      </c>
      <c r="BF85" s="130">
        <v>90</v>
      </c>
      <c r="BG85" s="130">
        <v>90</v>
      </c>
      <c r="BH85" s="136">
        <f t="shared" si="75"/>
        <v>0.02411111111111111</v>
      </c>
      <c r="BI85" s="130">
        <v>18</v>
      </c>
      <c r="BJ85" s="125">
        <f t="shared" si="59"/>
        <v>0.140616</v>
      </c>
      <c r="BK85" s="125">
        <f t="shared" si="60"/>
        <v>0.140616</v>
      </c>
      <c r="BL85" s="130">
        <v>30</v>
      </c>
      <c r="BM85" s="130">
        <v>12</v>
      </c>
      <c r="BN85" s="142">
        <f t="shared" si="61"/>
        <v>50.621759999999995</v>
      </c>
      <c r="BO85" s="142">
        <f t="shared" si="62"/>
        <v>50.621759999999995</v>
      </c>
      <c r="BP85" s="180">
        <f t="shared" si="63"/>
        <v>30.111264</v>
      </c>
      <c r="BQ85" s="180">
        <f t="shared" si="64"/>
        <v>28.417391999999996</v>
      </c>
      <c r="BR85" s="197">
        <f t="shared" si="65"/>
        <v>60</v>
      </c>
      <c r="BS85" s="197">
        <f t="shared" si="66"/>
        <v>60</v>
      </c>
      <c r="BT85" s="197">
        <f t="shared" si="67"/>
        <v>40</v>
      </c>
      <c r="BU85" s="197">
        <f t="shared" si="68"/>
        <v>30</v>
      </c>
      <c r="BV85" s="197">
        <f t="shared" si="69"/>
        <v>40</v>
      </c>
      <c r="BW85" s="197">
        <f t="shared" si="70"/>
        <v>30</v>
      </c>
      <c r="BX85" s="197">
        <f t="shared" si="71"/>
        <v>40</v>
      </c>
      <c r="BY85" s="197">
        <f t="shared" si="72"/>
        <v>30</v>
      </c>
      <c r="BZ85" s="197">
        <f t="shared" si="73"/>
        <v>40</v>
      </c>
      <c r="CA85" s="197">
        <f t="shared" si="74"/>
        <v>30</v>
      </c>
      <c r="CC85" s="214"/>
    </row>
    <row r="86" spans="1:81" s="21" customFormat="1" ht="97.5" customHeight="1">
      <c r="A86" s="244"/>
      <c r="B86" s="246"/>
      <c r="C86" s="246"/>
      <c r="D86" s="246"/>
      <c r="E86" s="257"/>
      <c r="F86" s="257"/>
      <c r="G86" s="256"/>
      <c r="H86" s="247"/>
      <c r="I86" s="243"/>
      <c r="J86" s="243"/>
      <c r="K86" s="243"/>
      <c r="L86" s="243"/>
      <c r="M86" s="243"/>
      <c r="N86" s="243"/>
      <c r="O86" s="244"/>
      <c r="P86" s="244"/>
      <c r="Q86" s="8" t="s">
        <v>778</v>
      </c>
      <c r="R86" s="8" t="s">
        <v>917</v>
      </c>
      <c r="S86" s="4"/>
      <c r="T86" s="4">
        <v>1</v>
      </c>
      <c r="U86" s="4"/>
      <c r="V86" s="124">
        <f>'Estandarización parámetros SJB'!$C$62</f>
        <v>32</v>
      </c>
      <c r="W86" s="124">
        <f>'Estandarización parámetros SJB'!$C$113</f>
        <v>21</v>
      </c>
      <c r="X86" s="112">
        <f>T86*'Estandarización parámetros SJB'!$C$3</f>
        <v>0.018222222222222223</v>
      </c>
      <c r="Y86" s="44">
        <v>18</v>
      </c>
      <c r="Z86" s="7">
        <f t="shared" si="76"/>
        <v>0.0377856</v>
      </c>
      <c r="AA86" s="7">
        <f t="shared" si="77"/>
        <v>0.0247968</v>
      </c>
      <c r="AB86" s="71">
        <v>30</v>
      </c>
      <c r="AC86" s="71">
        <v>12</v>
      </c>
      <c r="AD86" s="51">
        <f t="shared" si="46"/>
        <v>13.602816</v>
      </c>
      <c r="AE86" s="51">
        <f t="shared" si="47"/>
        <v>8.926848</v>
      </c>
      <c r="AF86" s="4" t="s">
        <v>1112</v>
      </c>
      <c r="AG86" s="4">
        <v>1</v>
      </c>
      <c r="AH86" s="40">
        <f t="shared" si="43"/>
        <v>0.033</v>
      </c>
      <c r="AI86" s="8">
        <v>8</v>
      </c>
      <c r="AJ86" s="44">
        <v>5</v>
      </c>
      <c r="AK86" s="8">
        <v>0.033</v>
      </c>
      <c r="AL86" s="44">
        <v>18</v>
      </c>
      <c r="AM86" s="7">
        <f t="shared" si="78"/>
        <v>0.017107200000000003</v>
      </c>
      <c r="AN86" s="7">
        <f t="shared" si="79"/>
        <v>0.010692</v>
      </c>
      <c r="AO86" s="71">
        <v>30</v>
      </c>
      <c r="AP86" s="71">
        <v>12</v>
      </c>
      <c r="AQ86" s="51">
        <f t="shared" si="50"/>
        <v>6.158592000000001</v>
      </c>
      <c r="AR86" s="86">
        <f t="shared" si="51"/>
        <v>3.84912</v>
      </c>
      <c r="AS86" s="132"/>
      <c r="AT86" s="132"/>
      <c r="AU86" s="132"/>
      <c r="AV86" s="137">
        <f t="shared" si="52"/>
        <v>16.537960954446856</v>
      </c>
      <c r="AW86" s="137">
        <f t="shared" si="53"/>
        <v>10.691973969631238</v>
      </c>
      <c r="AX86" s="136">
        <f t="shared" si="54"/>
        <v>0.025611111111111112</v>
      </c>
      <c r="AY86" s="79">
        <v>18</v>
      </c>
      <c r="AZ86" s="125">
        <f t="shared" si="55"/>
        <v>0.027446400000000003</v>
      </c>
      <c r="BA86" s="125">
        <f t="shared" si="56"/>
        <v>0.0177444</v>
      </c>
      <c r="BB86" s="79">
        <v>30</v>
      </c>
      <c r="BC86" s="79">
        <v>12</v>
      </c>
      <c r="BD86" s="125">
        <f t="shared" si="57"/>
        <v>9.880704000000001</v>
      </c>
      <c r="BE86" s="125">
        <f t="shared" si="58"/>
        <v>6.387984</v>
      </c>
      <c r="BF86" s="130">
        <v>90</v>
      </c>
      <c r="BG86" s="130">
        <v>90</v>
      </c>
      <c r="BH86" s="136">
        <f t="shared" si="75"/>
        <v>0.025611111111111112</v>
      </c>
      <c r="BI86" s="130">
        <v>18</v>
      </c>
      <c r="BJ86" s="125">
        <f t="shared" si="59"/>
        <v>0.149364</v>
      </c>
      <c r="BK86" s="125">
        <f t="shared" si="60"/>
        <v>0.149364</v>
      </c>
      <c r="BL86" s="130">
        <v>30</v>
      </c>
      <c r="BM86" s="130">
        <v>12</v>
      </c>
      <c r="BN86" s="142">
        <f t="shared" si="61"/>
        <v>53.77104</v>
      </c>
      <c r="BO86" s="142">
        <f t="shared" si="62"/>
        <v>53.77104</v>
      </c>
      <c r="BP86" s="180">
        <f t="shared" si="63"/>
        <v>31.825872</v>
      </c>
      <c r="BQ86" s="180">
        <f t="shared" si="64"/>
        <v>30.079512</v>
      </c>
      <c r="BR86" s="197">
        <f t="shared" si="65"/>
        <v>60</v>
      </c>
      <c r="BS86" s="197">
        <f t="shared" si="66"/>
        <v>60</v>
      </c>
      <c r="BT86" s="197">
        <f t="shared" si="67"/>
        <v>40</v>
      </c>
      <c r="BU86" s="197">
        <f t="shared" si="68"/>
        <v>40</v>
      </c>
      <c r="BV86" s="197">
        <f t="shared" si="69"/>
        <v>40</v>
      </c>
      <c r="BW86" s="197">
        <f t="shared" si="70"/>
        <v>40</v>
      </c>
      <c r="BX86" s="197">
        <f t="shared" si="71"/>
        <v>40</v>
      </c>
      <c r="BY86" s="197">
        <f t="shared" si="72"/>
        <v>40</v>
      </c>
      <c r="BZ86" s="197">
        <f t="shared" si="73"/>
        <v>40</v>
      </c>
      <c r="CA86" s="197">
        <f t="shared" si="74"/>
        <v>40</v>
      </c>
      <c r="CC86" s="214"/>
    </row>
    <row r="87" spans="1:81" s="21" customFormat="1" ht="97.5" customHeight="1">
      <c r="A87" s="8">
        <v>109</v>
      </c>
      <c r="B87" s="4" t="s">
        <v>50</v>
      </c>
      <c r="C87" s="4" t="s">
        <v>19</v>
      </c>
      <c r="D87" s="4">
        <v>2</v>
      </c>
      <c r="E87" s="74" t="s">
        <v>613</v>
      </c>
      <c r="F87" s="74" t="s">
        <v>630</v>
      </c>
      <c r="G87" s="11" t="s">
        <v>21</v>
      </c>
      <c r="H87" s="75" t="s">
        <v>11</v>
      </c>
      <c r="I87" s="26" t="s">
        <v>67</v>
      </c>
      <c r="J87" s="26" t="s">
        <v>67</v>
      </c>
      <c r="K87" s="26" t="s">
        <v>67</v>
      </c>
      <c r="L87" s="26" t="s">
        <v>67</v>
      </c>
      <c r="M87" s="26" t="s">
        <v>67</v>
      </c>
      <c r="N87" s="26" t="s">
        <v>67</v>
      </c>
      <c r="O87" s="8" t="s">
        <v>51</v>
      </c>
      <c r="P87" s="8" t="s">
        <v>55</v>
      </c>
      <c r="Q87" s="8" t="s">
        <v>685</v>
      </c>
      <c r="R87" s="8" t="s">
        <v>989</v>
      </c>
      <c r="S87" s="4"/>
      <c r="T87" s="4">
        <v>4</v>
      </c>
      <c r="U87" s="4"/>
      <c r="V87" s="124">
        <f>'Estandarización parámetros SJB'!$C$62</f>
        <v>32</v>
      </c>
      <c r="W87" s="124">
        <f>'Estandarización parámetros SJB'!$C$113</f>
        <v>21</v>
      </c>
      <c r="X87" s="112">
        <f>T87*'Estandarización parámetros SJB'!$C$3</f>
        <v>0.07288888888888889</v>
      </c>
      <c r="Y87" s="44">
        <v>18</v>
      </c>
      <c r="Z87" s="7">
        <f t="shared" si="76"/>
        <v>0.1511424</v>
      </c>
      <c r="AA87" s="7">
        <f t="shared" si="77"/>
        <v>0.0991872</v>
      </c>
      <c r="AB87" s="71">
        <v>30</v>
      </c>
      <c r="AC87" s="71">
        <v>12</v>
      </c>
      <c r="AD87" s="51">
        <f t="shared" si="46"/>
        <v>54.411264</v>
      </c>
      <c r="AE87" s="51">
        <f t="shared" si="47"/>
        <v>35.707392</v>
      </c>
      <c r="AF87" s="4" t="s">
        <v>987</v>
      </c>
      <c r="AG87" s="4">
        <v>4</v>
      </c>
      <c r="AH87" s="40">
        <f t="shared" si="43"/>
        <v>0.02525</v>
      </c>
      <c r="AI87" s="8">
        <v>8</v>
      </c>
      <c r="AJ87" s="44">
        <v>5</v>
      </c>
      <c r="AK87" s="8">
        <v>0.101</v>
      </c>
      <c r="AL87" s="44">
        <v>18</v>
      </c>
      <c r="AM87" s="7">
        <f t="shared" si="78"/>
        <v>0.0523584</v>
      </c>
      <c r="AN87" s="7">
        <f t="shared" si="79"/>
        <v>0.032723999999999996</v>
      </c>
      <c r="AO87" s="71">
        <v>30</v>
      </c>
      <c r="AP87" s="71">
        <v>12</v>
      </c>
      <c r="AQ87" s="51">
        <f t="shared" si="50"/>
        <v>18.849024</v>
      </c>
      <c r="AR87" s="86">
        <f t="shared" si="51"/>
        <v>11.780639999999998</v>
      </c>
      <c r="AS87" s="132"/>
      <c r="AT87" s="132"/>
      <c r="AU87" s="132"/>
      <c r="AV87" s="137">
        <f t="shared" si="52"/>
        <v>18.060063897763577</v>
      </c>
      <c r="AW87" s="137">
        <f t="shared" si="53"/>
        <v>11.706709265175718</v>
      </c>
      <c r="AX87" s="136">
        <f t="shared" si="54"/>
        <v>0.08694444444444445</v>
      </c>
      <c r="AY87" s="79">
        <v>18</v>
      </c>
      <c r="AZ87" s="125">
        <f t="shared" si="55"/>
        <v>0.10175039999999999</v>
      </c>
      <c r="BA87" s="125">
        <f t="shared" si="56"/>
        <v>0.0659556</v>
      </c>
      <c r="BB87" s="79">
        <v>30</v>
      </c>
      <c r="BC87" s="79">
        <v>12</v>
      </c>
      <c r="BD87" s="125">
        <f t="shared" si="57"/>
        <v>36.630143999999994</v>
      </c>
      <c r="BE87" s="125">
        <f t="shared" si="58"/>
        <v>23.744016000000002</v>
      </c>
      <c r="BF87" s="130">
        <v>90</v>
      </c>
      <c r="BG87" s="130">
        <v>90</v>
      </c>
      <c r="BH87" s="136">
        <f t="shared" si="75"/>
        <v>0.08694444444444445</v>
      </c>
      <c r="BI87" s="130">
        <v>18</v>
      </c>
      <c r="BJ87" s="125">
        <f t="shared" si="59"/>
        <v>0.50706</v>
      </c>
      <c r="BK87" s="125">
        <f t="shared" si="60"/>
        <v>0.50706</v>
      </c>
      <c r="BL87" s="130">
        <v>30</v>
      </c>
      <c r="BM87" s="130">
        <v>12</v>
      </c>
      <c r="BN87" s="142">
        <f t="shared" si="61"/>
        <v>182.5416</v>
      </c>
      <c r="BO87" s="142">
        <f t="shared" si="62"/>
        <v>182.5416</v>
      </c>
      <c r="BP87" s="180">
        <f t="shared" si="63"/>
        <v>109.585872</v>
      </c>
      <c r="BQ87" s="180">
        <f t="shared" si="64"/>
        <v>103.142808</v>
      </c>
      <c r="BR87" s="197">
        <f t="shared" si="65"/>
        <v>190</v>
      </c>
      <c r="BS87" s="197">
        <f t="shared" si="66"/>
        <v>190</v>
      </c>
      <c r="BT87" s="197">
        <f t="shared" si="67"/>
        <v>110</v>
      </c>
      <c r="BU87" s="197">
        <f t="shared" si="68"/>
        <v>110</v>
      </c>
      <c r="BV87" s="197">
        <f t="shared" si="69"/>
        <v>110</v>
      </c>
      <c r="BW87" s="197">
        <f t="shared" si="70"/>
        <v>110</v>
      </c>
      <c r="BX87" s="197">
        <f t="shared" si="71"/>
        <v>110</v>
      </c>
      <c r="BY87" s="197">
        <f t="shared" si="72"/>
        <v>110</v>
      </c>
      <c r="BZ87" s="197">
        <f t="shared" si="73"/>
        <v>110</v>
      </c>
      <c r="CA87" s="197">
        <f t="shared" si="74"/>
        <v>110</v>
      </c>
      <c r="CC87" s="214"/>
    </row>
    <row r="88" spans="1:81" s="21" customFormat="1" ht="97.5" customHeight="1">
      <c r="A88" s="8">
        <v>110</v>
      </c>
      <c r="B88" s="4" t="s">
        <v>50</v>
      </c>
      <c r="C88" s="4" t="s">
        <v>19</v>
      </c>
      <c r="D88" s="4">
        <v>2</v>
      </c>
      <c r="E88" s="74" t="s">
        <v>614</v>
      </c>
      <c r="F88" s="74" t="s">
        <v>631</v>
      </c>
      <c r="G88" s="11" t="s">
        <v>21</v>
      </c>
      <c r="H88" s="75" t="s">
        <v>11</v>
      </c>
      <c r="I88" s="26" t="s">
        <v>67</v>
      </c>
      <c r="J88" s="26" t="s">
        <v>67</v>
      </c>
      <c r="K88" s="26" t="s">
        <v>67</v>
      </c>
      <c r="L88" s="26" t="s">
        <v>67</v>
      </c>
      <c r="M88" s="26" t="s">
        <v>67</v>
      </c>
      <c r="N88" s="26" t="s">
        <v>67</v>
      </c>
      <c r="O88" s="8" t="s">
        <v>51</v>
      </c>
      <c r="P88" s="8" t="s">
        <v>55</v>
      </c>
      <c r="Q88" s="8" t="s">
        <v>985</v>
      </c>
      <c r="R88" s="8" t="s">
        <v>986</v>
      </c>
      <c r="S88" s="4"/>
      <c r="T88" s="4">
        <v>3</v>
      </c>
      <c r="U88" s="4"/>
      <c r="V88" s="124">
        <f>'Estandarización parámetros SJB'!$C$62</f>
        <v>32</v>
      </c>
      <c r="W88" s="124">
        <f>'Estandarización parámetros SJB'!$C$113</f>
        <v>21</v>
      </c>
      <c r="X88" s="112">
        <f>T88*'Estandarización parámetros SJB'!$C$3</f>
        <v>0.05466666666666667</v>
      </c>
      <c r="Y88" s="44">
        <v>18</v>
      </c>
      <c r="Z88" s="7">
        <f t="shared" si="76"/>
        <v>0.1133568</v>
      </c>
      <c r="AA88" s="7">
        <f t="shared" si="77"/>
        <v>0.07439040000000001</v>
      </c>
      <c r="AB88" s="71">
        <v>30</v>
      </c>
      <c r="AC88" s="71">
        <v>12</v>
      </c>
      <c r="AD88" s="51">
        <f t="shared" si="46"/>
        <v>40.808448</v>
      </c>
      <c r="AE88" s="51">
        <f t="shared" si="47"/>
        <v>26.780544000000006</v>
      </c>
      <c r="AF88" s="4" t="s">
        <v>988</v>
      </c>
      <c r="AG88" s="4">
        <v>3</v>
      </c>
      <c r="AH88" s="40">
        <f t="shared" si="43"/>
        <v>0.009666666666666667</v>
      </c>
      <c r="AI88" s="8">
        <v>6</v>
      </c>
      <c r="AJ88" s="44">
        <v>5</v>
      </c>
      <c r="AK88" s="8">
        <v>0.029</v>
      </c>
      <c r="AL88" s="44">
        <v>18</v>
      </c>
      <c r="AM88" s="7">
        <f t="shared" si="78"/>
        <v>0.0112752</v>
      </c>
      <c r="AN88" s="7">
        <f t="shared" si="79"/>
        <v>0.009396000000000002</v>
      </c>
      <c r="AO88" s="71">
        <v>30</v>
      </c>
      <c r="AP88" s="71">
        <v>12</v>
      </c>
      <c r="AQ88" s="51">
        <f t="shared" si="50"/>
        <v>4.0590720000000005</v>
      </c>
      <c r="AR88" s="86">
        <f t="shared" si="51"/>
        <v>3.3825600000000002</v>
      </c>
      <c r="AS88" s="132"/>
      <c r="AT88" s="132"/>
      <c r="AU88" s="132"/>
      <c r="AV88" s="137">
        <f t="shared" si="52"/>
        <v>22.98804780876494</v>
      </c>
      <c r="AW88" s="137">
        <f t="shared" si="53"/>
        <v>15.454183266932272</v>
      </c>
      <c r="AX88" s="136">
        <f t="shared" si="54"/>
        <v>0.041833333333333333</v>
      </c>
      <c r="AY88" s="79">
        <v>18</v>
      </c>
      <c r="AZ88" s="125">
        <f t="shared" si="55"/>
        <v>0.062315999999999996</v>
      </c>
      <c r="BA88" s="125">
        <f t="shared" si="56"/>
        <v>0.0418932</v>
      </c>
      <c r="BB88" s="79">
        <v>30</v>
      </c>
      <c r="BC88" s="79">
        <v>12</v>
      </c>
      <c r="BD88" s="125">
        <f t="shared" si="57"/>
        <v>22.43376</v>
      </c>
      <c r="BE88" s="125">
        <f t="shared" si="58"/>
        <v>15.081552</v>
      </c>
      <c r="BF88" s="130">
        <v>90</v>
      </c>
      <c r="BG88" s="130">
        <v>90</v>
      </c>
      <c r="BH88" s="136">
        <f t="shared" si="75"/>
        <v>0.041833333333333333</v>
      </c>
      <c r="BI88" s="130">
        <v>18</v>
      </c>
      <c r="BJ88" s="125">
        <f t="shared" si="59"/>
        <v>0.24397199999999997</v>
      </c>
      <c r="BK88" s="125">
        <f t="shared" si="60"/>
        <v>0.24397199999999997</v>
      </c>
      <c r="BL88" s="130">
        <v>30</v>
      </c>
      <c r="BM88" s="130">
        <v>12</v>
      </c>
      <c r="BN88" s="142">
        <f t="shared" si="61"/>
        <v>87.82991999999999</v>
      </c>
      <c r="BO88" s="142">
        <f t="shared" si="62"/>
        <v>87.82991999999999</v>
      </c>
      <c r="BP88" s="180">
        <f t="shared" si="63"/>
        <v>55.13184</v>
      </c>
      <c r="BQ88" s="180">
        <f t="shared" si="64"/>
        <v>51.455735999999995</v>
      </c>
      <c r="BR88" s="197">
        <f t="shared" si="65"/>
        <v>90</v>
      </c>
      <c r="BS88" s="197">
        <f t="shared" si="66"/>
        <v>90</v>
      </c>
      <c r="BT88" s="197">
        <f t="shared" si="67"/>
        <v>60</v>
      </c>
      <c r="BU88" s="197">
        <f t="shared" si="68"/>
        <v>60</v>
      </c>
      <c r="BV88" s="197">
        <f t="shared" si="69"/>
        <v>60</v>
      </c>
      <c r="BW88" s="197">
        <f t="shared" si="70"/>
        <v>60</v>
      </c>
      <c r="BX88" s="197">
        <f t="shared" si="71"/>
        <v>60</v>
      </c>
      <c r="BY88" s="197">
        <f t="shared" si="72"/>
        <v>60</v>
      </c>
      <c r="BZ88" s="197">
        <f t="shared" si="73"/>
        <v>60</v>
      </c>
      <c r="CA88" s="197">
        <f t="shared" si="74"/>
        <v>60</v>
      </c>
      <c r="CC88" s="214"/>
    </row>
    <row r="89" spans="1:81" s="21" customFormat="1" ht="97.5" customHeight="1">
      <c r="A89" s="8">
        <v>111</v>
      </c>
      <c r="B89" s="4" t="s">
        <v>50</v>
      </c>
      <c r="C89" s="4" t="s">
        <v>19</v>
      </c>
      <c r="D89" s="4">
        <v>2</v>
      </c>
      <c r="E89" s="74" t="s">
        <v>615</v>
      </c>
      <c r="F89" s="74" t="s">
        <v>632</v>
      </c>
      <c r="G89" s="11" t="s">
        <v>670</v>
      </c>
      <c r="H89" s="75" t="s">
        <v>11</v>
      </c>
      <c r="I89" s="26" t="s">
        <v>67</v>
      </c>
      <c r="J89" s="26" t="s">
        <v>67</v>
      </c>
      <c r="K89" s="26" t="s">
        <v>67</v>
      </c>
      <c r="L89" s="26" t="s">
        <v>67</v>
      </c>
      <c r="M89" s="26" t="s">
        <v>67</v>
      </c>
      <c r="N89" s="26" t="s">
        <v>67</v>
      </c>
      <c r="O89" s="8" t="s">
        <v>51</v>
      </c>
      <c r="P89" s="8" t="s">
        <v>55</v>
      </c>
      <c r="Q89" s="8" t="s">
        <v>694</v>
      </c>
      <c r="R89" s="8" t="s">
        <v>918</v>
      </c>
      <c r="S89" s="4"/>
      <c r="T89" s="4">
        <v>4</v>
      </c>
      <c r="U89" s="4"/>
      <c r="V89" s="124">
        <f>'Estandarización parámetros SJB'!$C$62</f>
        <v>32</v>
      </c>
      <c r="W89" s="124">
        <f>'Estandarización parámetros SJB'!$C$113</f>
        <v>21</v>
      </c>
      <c r="X89" s="112">
        <f>T89*'Estandarización parámetros SJB'!$C$3</f>
        <v>0.07288888888888889</v>
      </c>
      <c r="Y89" s="44">
        <v>18</v>
      </c>
      <c r="Z89" s="7">
        <f t="shared" si="76"/>
        <v>0.1511424</v>
      </c>
      <c r="AA89" s="7">
        <f t="shared" si="77"/>
        <v>0.0991872</v>
      </c>
      <c r="AB89" s="71">
        <v>30</v>
      </c>
      <c r="AC89" s="71">
        <v>12</v>
      </c>
      <c r="AD89" s="51">
        <f t="shared" si="46"/>
        <v>54.411264</v>
      </c>
      <c r="AE89" s="51">
        <f t="shared" si="47"/>
        <v>35.707392</v>
      </c>
      <c r="AF89" s="4" t="s">
        <v>1113</v>
      </c>
      <c r="AG89" s="4">
        <v>4</v>
      </c>
      <c r="AH89" s="40">
        <f t="shared" si="43"/>
        <v>0.00175</v>
      </c>
      <c r="AI89" s="8">
        <v>2</v>
      </c>
      <c r="AJ89" s="44">
        <v>6</v>
      </c>
      <c r="AK89" s="8">
        <v>0.007</v>
      </c>
      <c r="AL89" s="44">
        <v>18</v>
      </c>
      <c r="AM89" s="7">
        <f t="shared" si="78"/>
        <v>0.0009071999999999999</v>
      </c>
      <c r="AN89" s="7">
        <f t="shared" si="79"/>
        <v>0.0027216</v>
      </c>
      <c r="AO89" s="71">
        <v>30</v>
      </c>
      <c r="AP89" s="71">
        <v>12</v>
      </c>
      <c r="AQ89" s="51">
        <f t="shared" si="50"/>
        <v>0.326592</v>
      </c>
      <c r="AR89" s="86">
        <f t="shared" si="51"/>
        <v>0.979776</v>
      </c>
      <c r="AS89" s="132"/>
      <c r="AT89" s="132"/>
      <c r="AU89" s="132"/>
      <c r="AV89" s="137">
        <f t="shared" si="52"/>
        <v>29.371349095966615</v>
      </c>
      <c r="AW89" s="137">
        <f t="shared" si="53"/>
        <v>19.68567454798331</v>
      </c>
      <c r="AX89" s="136">
        <f t="shared" si="54"/>
        <v>0.03994444444444445</v>
      </c>
      <c r="AY89" s="79">
        <v>18</v>
      </c>
      <c r="AZ89" s="125">
        <f t="shared" si="55"/>
        <v>0.07602479999999999</v>
      </c>
      <c r="BA89" s="125">
        <f t="shared" si="56"/>
        <v>0.050954400000000004</v>
      </c>
      <c r="BB89" s="79">
        <v>30</v>
      </c>
      <c r="BC89" s="79">
        <v>12</v>
      </c>
      <c r="BD89" s="125">
        <f t="shared" si="57"/>
        <v>27.368927999999997</v>
      </c>
      <c r="BE89" s="125">
        <f t="shared" si="58"/>
        <v>18.343584000000003</v>
      </c>
      <c r="BF89" s="130">
        <v>90</v>
      </c>
      <c r="BG89" s="130">
        <v>90</v>
      </c>
      <c r="BH89" s="136">
        <f t="shared" si="75"/>
        <v>0.03994444444444445</v>
      </c>
      <c r="BI89" s="130">
        <v>18</v>
      </c>
      <c r="BJ89" s="125">
        <f t="shared" si="59"/>
        <v>0.23295600000000002</v>
      </c>
      <c r="BK89" s="125">
        <f t="shared" si="60"/>
        <v>0.23295600000000002</v>
      </c>
      <c r="BL89" s="130">
        <v>30</v>
      </c>
      <c r="BM89" s="130">
        <v>12</v>
      </c>
      <c r="BN89" s="142">
        <f t="shared" si="61"/>
        <v>83.86416</v>
      </c>
      <c r="BO89" s="142">
        <f t="shared" si="62"/>
        <v>83.86416</v>
      </c>
      <c r="BP89" s="180">
        <f t="shared" si="63"/>
        <v>55.616544</v>
      </c>
      <c r="BQ89" s="180">
        <f t="shared" si="64"/>
        <v>51.103872</v>
      </c>
      <c r="BR89" s="197">
        <f t="shared" si="65"/>
        <v>90</v>
      </c>
      <c r="BS89" s="197">
        <f t="shared" si="66"/>
        <v>90</v>
      </c>
      <c r="BT89" s="197">
        <f t="shared" si="67"/>
        <v>60</v>
      </c>
      <c r="BU89" s="197">
        <f t="shared" si="68"/>
        <v>60</v>
      </c>
      <c r="BV89" s="197">
        <f t="shared" si="69"/>
        <v>60</v>
      </c>
      <c r="BW89" s="197">
        <f t="shared" si="70"/>
        <v>60</v>
      </c>
      <c r="BX89" s="197">
        <f t="shared" si="71"/>
        <v>60</v>
      </c>
      <c r="BY89" s="197">
        <f t="shared" si="72"/>
        <v>60</v>
      </c>
      <c r="BZ89" s="197">
        <f t="shared" si="73"/>
        <v>60</v>
      </c>
      <c r="CA89" s="197">
        <f t="shared" si="74"/>
        <v>60</v>
      </c>
      <c r="CC89" s="214"/>
    </row>
    <row r="90" spans="1:81" s="21" customFormat="1" ht="97.5" customHeight="1">
      <c r="A90" s="8">
        <v>112</v>
      </c>
      <c r="B90" s="4" t="s">
        <v>50</v>
      </c>
      <c r="C90" s="4" t="s">
        <v>19</v>
      </c>
      <c r="D90" s="4">
        <v>2</v>
      </c>
      <c r="E90" s="74" t="s">
        <v>680</v>
      </c>
      <c r="F90" s="74" t="s">
        <v>616</v>
      </c>
      <c r="G90" s="65" t="s">
        <v>21</v>
      </c>
      <c r="H90" s="75" t="s">
        <v>11</v>
      </c>
      <c r="I90" s="26" t="s">
        <v>67</v>
      </c>
      <c r="J90" s="26" t="s">
        <v>67</v>
      </c>
      <c r="K90" s="26" t="s">
        <v>67</v>
      </c>
      <c r="L90" s="26" t="s">
        <v>67</v>
      </c>
      <c r="M90" s="26" t="s">
        <v>67</v>
      </c>
      <c r="N90" s="26" t="s">
        <v>67</v>
      </c>
      <c r="O90" s="8" t="s">
        <v>51</v>
      </c>
      <c r="P90" s="8" t="s">
        <v>55</v>
      </c>
      <c r="Q90" s="8" t="s">
        <v>779</v>
      </c>
      <c r="R90" s="8" t="s">
        <v>919</v>
      </c>
      <c r="S90" s="4"/>
      <c r="T90" s="4">
        <v>4</v>
      </c>
      <c r="U90" s="4"/>
      <c r="V90" s="124">
        <f>'Estandarización parámetros SJB'!$C$62</f>
        <v>32</v>
      </c>
      <c r="W90" s="124">
        <f>'Estandarización parámetros SJB'!$C$113</f>
        <v>21</v>
      </c>
      <c r="X90" s="112">
        <f>T90*'Estandarización parámetros SJB'!$C$3</f>
        <v>0.07288888888888889</v>
      </c>
      <c r="Y90" s="44">
        <v>18</v>
      </c>
      <c r="Z90" s="7">
        <f t="shared" si="76"/>
        <v>0.1511424</v>
      </c>
      <c r="AA90" s="7">
        <f t="shared" si="77"/>
        <v>0.0991872</v>
      </c>
      <c r="AB90" s="71">
        <v>30</v>
      </c>
      <c r="AC90" s="71">
        <v>12</v>
      </c>
      <c r="AD90" s="51">
        <f t="shared" si="46"/>
        <v>54.411264</v>
      </c>
      <c r="AE90" s="51">
        <f t="shared" si="47"/>
        <v>35.707392</v>
      </c>
      <c r="AF90" s="4" t="s">
        <v>1114</v>
      </c>
      <c r="AG90" s="4">
        <v>4</v>
      </c>
      <c r="AH90" s="40">
        <f t="shared" si="43"/>
        <v>0.01275</v>
      </c>
      <c r="AI90" s="8">
        <v>9</v>
      </c>
      <c r="AJ90" s="44">
        <v>5</v>
      </c>
      <c r="AK90" s="8">
        <v>0.051</v>
      </c>
      <c r="AL90" s="44">
        <v>18</v>
      </c>
      <c r="AM90" s="7">
        <f t="shared" si="78"/>
        <v>0.029743199999999994</v>
      </c>
      <c r="AN90" s="7">
        <f t="shared" si="79"/>
        <v>0.016524</v>
      </c>
      <c r="AO90" s="71">
        <v>30</v>
      </c>
      <c r="AP90" s="71">
        <v>12</v>
      </c>
      <c r="AQ90" s="51">
        <f t="shared" si="50"/>
        <v>10.707551999999998</v>
      </c>
      <c r="AR90" s="86">
        <f t="shared" si="51"/>
        <v>5.94864</v>
      </c>
      <c r="AS90" s="132"/>
      <c r="AT90" s="132"/>
      <c r="AU90" s="132"/>
      <c r="AV90" s="137">
        <f t="shared" si="52"/>
        <v>22.531838565022426</v>
      </c>
      <c r="AW90" s="137">
        <f t="shared" si="53"/>
        <v>14.413452914798208</v>
      </c>
      <c r="AX90" s="136">
        <f t="shared" si="54"/>
        <v>0.06194444444444444</v>
      </c>
      <c r="AY90" s="79">
        <v>18</v>
      </c>
      <c r="AZ90" s="125">
        <f t="shared" si="55"/>
        <v>0.0904428</v>
      </c>
      <c r="BA90" s="125">
        <f t="shared" si="56"/>
        <v>0.05785560000000001</v>
      </c>
      <c r="BB90" s="79">
        <v>30</v>
      </c>
      <c r="BC90" s="79">
        <v>12</v>
      </c>
      <c r="BD90" s="125">
        <f t="shared" si="57"/>
        <v>32.559408000000005</v>
      </c>
      <c r="BE90" s="125">
        <f t="shared" si="58"/>
        <v>20.828016</v>
      </c>
      <c r="BF90" s="130">
        <v>90</v>
      </c>
      <c r="BG90" s="130">
        <v>90</v>
      </c>
      <c r="BH90" s="136">
        <f t="shared" si="75"/>
        <v>0.06194444444444444</v>
      </c>
      <c r="BI90" s="130">
        <v>18</v>
      </c>
      <c r="BJ90" s="125">
        <f t="shared" si="59"/>
        <v>0.36125999999999997</v>
      </c>
      <c r="BK90" s="125">
        <f t="shared" si="60"/>
        <v>0.36125999999999997</v>
      </c>
      <c r="BL90" s="130">
        <v>30</v>
      </c>
      <c r="BM90" s="130">
        <v>12</v>
      </c>
      <c r="BN90" s="142">
        <f t="shared" si="61"/>
        <v>130.0536</v>
      </c>
      <c r="BO90" s="142">
        <f t="shared" si="62"/>
        <v>130.0536</v>
      </c>
      <c r="BP90" s="180">
        <f t="shared" si="63"/>
        <v>81.30650399999999</v>
      </c>
      <c r="BQ90" s="180">
        <f t="shared" si="64"/>
        <v>75.44080799999999</v>
      </c>
      <c r="BR90" s="197">
        <f t="shared" si="65"/>
        <v>140</v>
      </c>
      <c r="BS90" s="197">
        <f t="shared" si="66"/>
        <v>140</v>
      </c>
      <c r="BT90" s="197">
        <f t="shared" si="67"/>
        <v>90</v>
      </c>
      <c r="BU90" s="197">
        <f t="shared" si="68"/>
        <v>80</v>
      </c>
      <c r="BV90" s="197">
        <f t="shared" si="69"/>
        <v>90</v>
      </c>
      <c r="BW90" s="197">
        <f t="shared" si="70"/>
        <v>80</v>
      </c>
      <c r="BX90" s="197">
        <f t="shared" si="71"/>
        <v>90</v>
      </c>
      <c r="BY90" s="197">
        <f t="shared" si="72"/>
        <v>80</v>
      </c>
      <c r="BZ90" s="197">
        <f t="shared" si="73"/>
        <v>90</v>
      </c>
      <c r="CA90" s="197">
        <f t="shared" si="74"/>
        <v>80</v>
      </c>
      <c r="CC90" s="214"/>
    </row>
    <row r="91" spans="48:49" ht="12.75">
      <c r="AV91" s="138"/>
      <c r="AW91" s="123"/>
    </row>
    <row r="92" spans="48:49" ht="12.75">
      <c r="AV92" s="123"/>
      <c r="AW92" s="123"/>
    </row>
    <row r="95" spans="78:79" ht="12.75">
      <c r="BZ95" s="227"/>
      <c r="CA95" s="227"/>
    </row>
  </sheetData>
  <sheetProtection/>
  <mergeCells count="228">
    <mergeCell ref="BP2:BP3"/>
    <mergeCell ref="BQ2:BQ3"/>
    <mergeCell ref="BP1:BQ1"/>
    <mergeCell ref="BR2:BS2"/>
    <mergeCell ref="BT2:BU2"/>
    <mergeCell ref="BV2:BW2"/>
    <mergeCell ref="BX2:BY2"/>
    <mergeCell ref="BZ2:CA2"/>
    <mergeCell ref="BR1:CA1"/>
    <mergeCell ref="S1:AE1"/>
    <mergeCell ref="AF1:AR1"/>
    <mergeCell ref="AS1:AU1"/>
    <mergeCell ref="AV1:BE1"/>
    <mergeCell ref="V2:V3"/>
    <mergeCell ref="W2:W3"/>
    <mergeCell ref="X2:X3"/>
    <mergeCell ref="A2:A3"/>
    <mergeCell ref="B2:B3"/>
    <mergeCell ref="C2:C3"/>
    <mergeCell ref="D2:D3"/>
    <mergeCell ref="E2:E3"/>
    <mergeCell ref="F2:F3"/>
    <mergeCell ref="S33:S34"/>
    <mergeCell ref="G2:G3"/>
    <mergeCell ref="H2:N2"/>
    <mergeCell ref="O2:O3"/>
    <mergeCell ref="P2:P3"/>
    <mergeCell ref="Q2:R2"/>
    <mergeCell ref="S2:S3"/>
    <mergeCell ref="G23:G24"/>
    <mergeCell ref="H23:H24"/>
    <mergeCell ref="J23:J24"/>
    <mergeCell ref="Y2:Y3"/>
    <mergeCell ref="Z2:Z3"/>
    <mergeCell ref="AA2:AA3"/>
    <mergeCell ref="AB2:AB3"/>
    <mergeCell ref="AC2:AC3"/>
    <mergeCell ref="AD2:AD3"/>
    <mergeCell ref="AE2:AE3"/>
    <mergeCell ref="AF2:AF3"/>
    <mergeCell ref="AI2:AI3"/>
    <mergeCell ref="AG2:AG3"/>
    <mergeCell ref="AH2:AH3"/>
    <mergeCell ref="AJ2:AJ3"/>
    <mergeCell ref="AK2:AK3"/>
    <mergeCell ref="AL2:AL3"/>
    <mergeCell ref="AM2:AM3"/>
    <mergeCell ref="AN2:AN3"/>
    <mergeCell ref="AO2:AO3"/>
    <mergeCell ref="AP2:AP3"/>
    <mergeCell ref="AQ2:AQ3"/>
    <mergeCell ref="AR2:AR3"/>
    <mergeCell ref="AS2:AS3"/>
    <mergeCell ref="AT2:AT3"/>
    <mergeCell ref="AU2:AU3"/>
    <mergeCell ref="AV2:AV3"/>
    <mergeCell ref="AW2:AW3"/>
    <mergeCell ref="AX2:AX3"/>
    <mergeCell ref="AY2:AY3"/>
    <mergeCell ref="AZ2:AZ3"/>
    <mergeCell ref="BA2:BA3"/>
    <mergeCell ref="BB2:BB3"/>
    <mergeCell ref="BC2:BC3"/>
    <mergeCell ref="BD2:BD3"/>
    <mergeCell ref="BE2:BE3"/>
    <mergeCell ref="A23:A24"/>
    <mergeCell ref="B23:B24"/>
    <mergeCell ref="C23:C24"/>
    <mergeCell ref="D23:D24"/>
    <mergeCell ref="E23:E24"/>
    <mergeCell ref="F23:F24"/>
    <mergeCell ref="I23:I24"/>
    <mergeCell ref="K23:K24"/>
    <mergeCell ref="L23:L24"/>
    <mergeCell ref="M23:M24"/>
    <mergeCell ref="N23:N24"/>
    <mergeCell ref="M26:M28"/>
    <mergeCell ref="G26:G28"/>
    <mergeCell ref="O23:O24"/>
    <mergeCell ref="P23:P24"/>
    <mergeCell ref="A26:A28"/>
    <mergeCell ref="B26:B28"/>
    <mergeCell ref="C26:C28"/>
    <mergeCell ref="D26:D28"/>
    <mergeCell ref="E26:E28"/>
    <mergeCell ref="F26:F28"/>
    <mergeCell ref="N26:N28"/>
    <mergeCell ref="O26:O28"/>
    <mergeCell ref="A29:A30"/>
    <mergeCell ref="B29:B30"/>
    <mergeCell ref="C29:C30"/>
    <mergeCell ref="D29:D30"/>
    <mergeCell ref="E29:E30"/>
    <mergeCell ref="H26:H28"/>
    <mergeCell ref="F29:F30"/>
    <mergeCell ref="P26:P28"/>
    <mergeCell ref="AF26:AF28"/>
    <mergeCell ref="S26:S28"/>
    <mergeCell ref="I26:I28"/>
    <mergeCell ref="J26:J28"/>
    <mergeCell ref="K26:K28"/>
    <mergeCell ref="L26:L28"/>
    <mergeCell ref="L29:L30"/>
    <mergeCell ref="M29:M30"/>
    <mergeCell ref="N29:N30"/>
    <mergeCell ref="O29:O30"/>
    <mergeCell ref="P29:P30"/>
    <mergeCell ref="G29:G30"/>
    <mergeCell ref="H29:H30"/>
    <mergeCell ref="I29:I30"/>
    <mergeCell ref="J29:J30"/>
    <mergeCell ref="G33:G34"/>
    <mergeCell ref="S29:S30"/>
    <mergeCell ref="AF29:AF30"/>
    <mergeCell ref="A33:A34"/>
    <mergeCell ref="B33:B34"/>
    <mergeCell ref="C33:C34"/>
    <mergeCell ref="D33:D34"/>
    <mergeCell ref="E33:E34"/>
    <mergeCell ref="F33:F34"/>
    <mergeCell ref="K29:K30"/>
    <mergeCell ref="H33:H34"/>
    <mergeCell ref="I33:I34"/>
    <mergeCell ref="J33:J34"/>
    <mergeCell ref="K33:K34"/>
    <mergeCell ref="L33:L34"/>
    <mergeCell ref="M33:M34"/>
    <mergeCell ref="N33:N34"/>
    <mergeCell ref="O33:O34"/>
    <mergeCell ref="P33:P34"/>
    <mergeCell ref="AF33:AF34"/>
    <mergeCell ref="A40:A41"/>
    <mergeCell ref="B40:B41"/>
    <mergeCell ref="C40:C41"/>
    <mergeCell ref="D40:D41"/>
    <mergeCell ref="E40:E41"/>
    <mergeCell ref="F40:F41"/>
    <mergeCell ref="A55:A57"/>
    <mergeCell ref="B55:B57"/>
    <mergeCell ref="C55:C57"/>
    <mergeCell ref="D55:D57"/>
    <mergeCell ref="E55:E57"/>
    <mergeCell ref="F55:F57"/>
    <mergeCell ref="M40:M41"/>
    <mergeCell ref="N40:N41"/>
    <mergeCell ref="O40:O41"/>
    <mergeCell ref="P40:P41"/>
    <mergeCell ref="G40:G41"/>
    <mergeCell ref="H40:H41"/>
    <mergeCell ref="I40:I41"/>
    <mergeCell ref="J40:J41"/>
    <mergeCell ref="K40:K41"/>
    <mergeCell ref="L40:L41"/>
    <mergeCell ref="L55:L57"/>
    <mergeCell ref="M55:M57"/>
    <mergeCell ref="N55:N57"/>
    <mergeCell ref="Q55:Q57"/>
    <mergeCell ref="G55:G57"/>
    <mergeCell ref="H55:H57"/>
    <mergeCell ref="I55:I57"/>
    <mergeCell ref="J55:J57"/>
    <mergeCell ref="K55:K57"/>
    <mergeCell ref="A71:A72"/>
    <mergeCell ref="B71:B72"/>
    <mergeCell ref="C71:C72"/>
    <mergeCell ref="D71:D72"/>
    <mergeCell ref="E71:E72"/>
    <mergeCell ref="F71:F72"/>
    <mergeCell ref="P71:P72"/>
    <mergeCell ref="G71:G72"/>
    <mergeCell ref="H71:H72"/>
    <mergeCell ref="I71:I72"/>
    <mergeCell ref="J71:J72"/>
    <mergeCell ref="K71:K72"/>
    <mergeCell ref="L71:L72"/>
    <mergeCell ref="M71:M72"/>
    <mergeCell ref="N71:N72"/>
    <mergeCell ref="O71:O72"/>
    <mergeCell ref="I81:I82"/>
    <mergeCell ref="G81:G82"/>
    <mergeCell ref="J81:J82"/>
    <mergeCell ref="K81:K82"/>
    <mergeCell ref="L81:L82"/>
    <mergeCell ref="F85:F86"/>
    <mergeCell ref="H81:H82"/>
    <mergeCell ref="A81:A82"/>
    <mergeCell ref="B81:B82"/>
    <mergeCell ref="C81:C82"/>
    <mergeCell ref="D81:D82"/>
    <mergeCell ref="E81:E82"/>
    <mergeCell ref="F81:F82"/>
    <mergeCell ref="BM2:BM3"/>
    <mergeCell ref="U2:U3"/>
    <mergeCell ref="G85:G86"/>
    <mergeCell ref="S71:S72"/>
    <mergeCell ref="AF71:AF72"/>
    <mergeCell ref="A85:A86"/>
    <mergeCell ref="B85:B86"/>
    <mergeCell ref="C85:C86"/>
    <mergeCell ref="D85:D86"/>
    <mergeCell ref="E85:E86"/>
    <mergeCell ref="AF81:AF82"/>
    <mergeCell ref="T2:T3"/>
    <mergeCell ref="H85:H86"/>
    <mergeCell ref="I85:I86"/>
    <mergeCell ref="J85:J86"/>
    <mergeCell ref="K85:K86"/>
    <mergeCell ref="L85:L86"/>
    <mergeCell ref="R55:R57"/>
    <mergeCell ref="O55:O57"/>
    <mergeCell ref="P55:P57"/>
    <mergeCell ref="M85:M86"/>
    <mergeCell ref="N85:N86"/>
    <mergeCell ref="O85:O86"/>
    <mergeCell ref="P85:P86"/>
    <mergeCell ref="N81:N82"/>
    <mergeCell ref="S81:S82"/>
    <mergeCell ref="M81:M82"/>
    <mergeCell ref="BF1:BO1"/>
    <mergeCell ref="BF2:BF3"/>
    <mergeCell ref="BG2:BG3"/>
    <mergeCell ref="BH2:BH3"/>
    <mergeCell ref="BI2:BI3"/>
    <mergeCell ref="BJ2:BJ3"/>
    <mergeCell ref="BK2:BK3"/>
    <mergeCell ref="BL2:BL3"/>
    <mergeCell ref="BN2:BN3"/>
    <mergeCell ref="BO2:BO3"/>
  </mergeCells>
  <conditionalFormatting sqref="E33">
    <cfRule type="duplicateValues" priority="5" dxfId="5">
      <formula>AND(COUNTIF($E$33:$E$33,E33)&gt;1,NOT(ISBLANK(E33)))</formula>
    </cfRule>
  </conditionalFormatting>
  <conditionalFormatting sqref="E35">
    <cfRule type="duplicateValues" priority="4" dxfId="5">
      <formula>AND(COUNTIF($E$35:$E$35,E35)&gt;1,NOT(ISBLANK(E35)))</formula>
    </cfRule>
  </conditionalFormatting>
  <conditionalFormatting sqref="E32">
    <cfRule type="duplicateValues" priority="3" dxfId="5">
      <formula>AND(COUNTIF($E$32:$E$32,E32)&gt;1,NOT(ISBLANK(E32)))</formula>
    </cfRule>
  </conditionalFormatting>
  <conditionalFormatting sqref="E36">
    <cfRule type="duplicateValues" priority="2" dxfId="5">
      <formula>AND(COUNTIF($E$36:$E$36,E36)&gt;1,NOT(ISBLANK(E36)))</formula>
    </cfRule>
  </conditionalFormatting>
  <printOptions/>
  <pageMargins left="0.7" right="0.7" top="0.75" bottom="0.75" header="0.3" footer="0.3"/>
  <pageSetup orientation="portrait" r:id="rId1"/>
  <ignoredErrors>
    <ignoredError sqref="Z5:AA14 AM5:AN14 AM73:AN73 AH6 AH8 AH13 AM17:AN17 AK8 AM25:AN25 Z25:AA25 Z51:AA51 X8 X15 X36 AM75:AN75" formula="1"/>
  </ignoredErrors>
</worksheet>
</file>

<file path=xl/worksheets/sheet10.xml><?xml version="1.0" encoding="utf-8"?>
<worksheet xmlns="http://schemas.openxmlformats.org/spreadsheetml/2006/main" xmlns:r="http://schemas.openxmlformats.org/officeDocument/2006/relationships">
  <dimension ref="C3:N19"/>
  <sheetViews>
    <sheetView zoomScalePageLayoutView="0" workbookViewId="0" topLeftCell="A1">
      <selection activeCell="A1" sqref="A1"/>
    </sheetView>
  </sheetViews>
  <sheetFormatPr defaultColWidth="11.421875" defaultRowHeight="15"/>
  <cols>
    <col min="3" max="3" width="20.7109375" style="0" customWidth="1"/>
    <col min="4" max="4" width="14.140625" style="0" customWidth="1"/>
    <col min="5" max="5" width="17.8515625" style="0" customWidth="1"/>
    <col min="6" max="6" width="16.00390625" style="0" customWidth="1"/>
  </cols>
  <sheetData>
    <row r="1" s="183" customFormat="1" ht="15"/>
    <row r="2" s="183" customFormat="1" ht="15.75" thickBot="1"/>
    <row r="3" spans="3:6" ht="17.25" thickBot="1">
      <c r="C3" s="368" t="s">
        <v>1294</v>
      </c>
      <c r="D3" s="368" t="s">
        <v>1295</v>
      </c>
      <c r="E3" s="370">
        <v>2025</v>
      </c>
      <c r="F3" s="371"/>
    </row>
    <row r="4" spans="3:6" ht="39" customHeight="1" thickBot="1">
      <c r="C4" s="369"/>
      <c r="D4" s="369"/>
      <c r="E4" s="224" t="s">
        <v>1303</v>
      </c>
      <c r="F4" s="224" t="s">
        <v>1298</v>
      </c>
    </row>
    <row r="5" spans="3:14" ht="17.25" thickBot="1">
      <c r="C5" s="365" t="s">
        <v>19</v>
      </c>
      <c r="D5" s="220">
        <v>1</v>
      </c>
      <c r="E5" s="221">
        <v>59000</v>
      </c>
      <c r="F5" s="221">
        <v>34000</v>
      </c>
      <c r="M5" s="226"/>
      <c r="N5" s="226"/>
    </row>
    <row r="6" spans="3:14" ht="17.25" thickBot="1">
      <c r="C6" s="367"/>
      <c r="D6" s="222">
        <v>2</v>
      </c>
      <c r="E6" s="223">
        <v>77820</v>
      </c>
      <c r="F6" s="223">
        <v>365000</v>
      </c>
      <c r="M6" s="226"/>
      <c r="N6" s="226"/>
    </row>
    <row r="7" spans="3:14" ht="17.25" thickBot="1">
      <c r="C7" s="365" t="s">
        <v>1296</v>
      </c>
      <c r="D7" s="220">
        <v>1</v>
      </c>
      <c r="E7" s="221">
        <v>1210</v>
      </c>
      <c r="F7" s="221">
        <v>950</v>
      </c>
      <c r="M7" s="226"/>
      <c r="N7" s="226"/>
    </row>
    <row r="8" spans="3:14" ht="17.25" thickBot="1">
      <c r="C8" s="366"/>
      <c r="D8" s="222">
        <v>2</v>
      </c>
      <c r="E8" s="221">
        <v>0</v>
      </c>
      <c r="F8" s="221">
        <v>0</v>
      </c>
      <c r="M8" s="226"/>
      <c r="N8" s="226"/>
    </row>
    <row r="9" spans="3:14" ht="17.25" thickBot="1">
      <c r="C9" s="366"/>
      <c r="D9" s="220">
        <v>3</v>
      </c>
      <c r="E9" s="221">
        <v>416000</v>
      </c>
      <c r="F9" s="221">
        <v>278000</v>
      </c>
      <c r="M9" s="226"/>
      <c r="N9" s="226"/>
    </row>
    <row r="10" spans="3:14" ht="17.25" thickBot="1">
      <c r="C10" s="367"/>
      <c r="D10" s="222">
        <v>4</v>
      </c>
      <c r="E10" s="221">
        <v>1435000</v>
      </c>
      <c r="F10" s="221">
        <v>790000</v>
      </c>
      <c r="M10" s="226"/>
      <c r="N10" s="226"/>
    </row>
    <row r="11" spans="3:14" ht="17.25" thickBot="1">
      <c r="C11" s="365" t="s">
        <v>1297</v>
      </c>
      <c r="D11" s="220">
        <v>1</v>
      </c>
      <c r="E11" s="221">
        <v>0</v>
      </c>
      <c r="F11" s="221">
        <v>0</v>
      </c>
      <c r="M11" s="226"/>
      <c r="N11" s="226"/>
    </row>
    <row r="12" spans="3:14" ht="17.25" thickBot="1">
      <c r="C12" s="366"/>
      <c r="D12" s="222">
        <v>2</v>
      </c>
      <c r="E12" s="221">
        <v>42000</v>
      </c>
      <c r="F12" s="221">
        <v>11000</v>
      </c>
      <c r="M12" s="226"/>
      <c r="N12" s="226"/>
    </row>
    <row r="13" spans="3:14" ht="17.25" thickBot="1">
      <c r="C13" s="366"/>
      <c r="D13" s="220">
        <v>3</v>
      </c>
      <c r="E13" s="221">
        <v>165000</v>
      </c>
      <c r="F13" s="221">
        <v>40000</v>
      </c>
      <c r="M13" s="226"/>
      <c r="N13" s="226"/>
    </row>
    <row r="14" spans="3:14" ht="17.25" thickBot="1">
      <c r="C14" s="367"/>
      <c r="D14" s="222">
        <v>4</v>
      </c>
      <c r="E14" s="221">
        <v>9044000</v>
      </c>
      <c r="F14" s="221">
        <v>6498000</v>
      </c>
      <c r="M14" s="226"/>
      <c r="N14" s="226"/>
    </row>
    <row r="15" spans="3:14" ht="17.25" thickBot="1">
      <c r="C15" s="365" t="s">
        <v>246</v>
      </c>
      <c r="D15" s="220">
        <v>1</v>
      </c>
      <c r="E15" s="221">
        <v>4500</v>
      </c>
      <c r="F15" s="221">
        <v>3000</v>
      </c>
      <c r="M15" s="226"/>
      <c r="N15" s="226"/>
    </row>
    <row r="16" spans="3:14" ht="17.25" thickBot="1">
      <c r="C16" s="366"/>
      <c r="D16" s="222">
        <v>2</v>
      </c>
      <c r="E16" s="223">
        <v>73500</v>
      </c>
      <c r="F16" s="223">
        <v>176500</v>
      </c>
      <c r="M16" s="226"/>
      <c r="N16" s="226"/>
    </row>
    <row r="17" spans="3:14" ht="17.25" thickBot="1">
      <c r="C17" s="366"/>
      <c r="D17" s="220">
        <v>3</v>
      </c>
      <c r="E17" s="221">
        <v>3008680</v>
      </c>
      <c r="F17" s="221">
        <v>2317090</v>
      </c>
      <c r="M17" s="226"/>
      <c r="N17" s="226"/>
    </row>
    <row r="18" spans="3:14" ht="17.25" thickBot="1">
      <c r="C18" s="367"/>
      <c r="D18" s="222">
        <v>4</v>
      </c>
      <c r="E18" s="223">
        <v>1975000</v>
      </c>
      <c r="F18" s="223">
        <v>1481000</v>
      </c>
      <c r="M18" s="226"/>
      <c r="N18" s="226"/>
    </row>
    <row r="19" spans="13:14" ht="15">
      <c r="M19" s="226"/>
      <c r="N19" s="226"/>
    </row>
  </sheetData>
  <sheetProtection/>
  <mergeCells count="7">
    <mergeCell ref="C15:C18"/>
    <mergeCell ref="C3:C4"/>
    <mergeCell ref="D3:D4"/>
    <mergeCell ref="E3:F3"/>
    <mergeCell ref="C5:C6"/>
    <mergeCell ref="C7:C10"/>
    <mergeCell ref="C11:C1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67"/>
  <sheetViews>
    <sheetView zoomScale="90" zoomScaleNormal="90" zoomScalePageLayoutView="0" workbookViewId="0" topLeftCell="A82">
      <selection activeCell="G127" sqref="G127"/>
    </sheetView>
  </sheetViews>
  <sheetFormatPr defaultColWidth="11.421875" defaultRowHeight="15"/>
  <cols>
    <col min="1" max="3" width="11.421875" style="122" customWidth="1"/>
    <col min="4" max="5" width="11.421875" style="2" customWidth="1"/>
    <col min="6" max="6" width="15.28125" style="2" customWidth="1"/>
    <col min="7" max="16384" width="11.421875" style="2" customWidth="1"/>
  </cols>
  <sheetData>
    <row r="1" spans="1:6" ht="13.5" thickBot="1">
      <c r="A1" s="297">
        <v>2019</v>
      </c>
      <c r="B1" s="298"/>
      <c r="C1" s="299"/>
      <c r="D1" s="297">
        <v>2020</v>
      </c>
      <c r="E1" s="298"/>
      <c r="F1" s="299"/>
    </row>
    <row r="2" spans="1:6" ht="25.5">
      <c r="A2" s="99" t="s">
        <v>1144</v>
      </c>
      <c r="B2" s="100" t="s">
        <v>1140</v>
      </c>
      <c r="C2" s="101" t="s">
        <v>1221</v>
      </c>
      <c r="D2" s="99" t="s">
        <v>1144</v>
      </c>
      <c r="E2" s="100" t="s">
        <v>1140</v>
      </c>
      <c r="F2" s="101" t="s">
        <v>1221</v>
      </c>
    </row>
    <row r="3" spans="2:6" ht="12.75">
      <c r="B3" s="98">
        <v>0.0025499999999999997</v>
      </c>
      <c r="C3" s="135">
        <f>MEDIAN(B3:B27)</f>
        <v>0.018222222222222223</v>
      </c>
      <c r="D3" s="99"/>
      <c r="E3" s="117">
        <v>0.0025499999999999997</v>
      </c>
      <c r="F3" s="102">
        <f>MEDIAN(E3:E59)</f>
        <v>0.01625</v>
      </c>
    </row>
    <row r="4" spans="2:6" ht="12.75">
      <c r="B4" s="98">
        <v>0.06471428571428571</v>
      </c>
      <c r="D4" s="99"/>
      <c r="E4" s="117">
        <v>0.06471428571428571</v>
      </c>
      <c r="F4" s="101">
        <f>AVERAGE(E3:E59)</f>
        <v>0.05266016113516114</v>
      </c>
    </row>
    <row r="5" spans="2:6" ht="12.75">
      <c r="B5" s="98">
        <v>0.1875</v>
      </c>
      <c r="D5" s="99"/>
      <c r="E5" s="117">
        <v>0.1875</v>
      </c>
      <c r="F5" s="101"/>
    </row>
    <row r="6" spans="2:6" ht="12.75">
      <c r="B6" s="98">
        <v>0.01</v>
      </c>
      <c r="D6" s="99"/>
      <c r="E6" s="117">
        <v>0.01</v>
      </c>
      <c r="F6" s="101"/>
    </row>
    <row r="7" spans="2:6" ht="12.75">
      <c r="B7" s="98">
        <v>0.06365656565656565</v>
      </c>
      <c r="D7" s="99"/>
      <c r="E7" s="117">
        <v>0.06365656565656565</v>
      </c>
      <c r="F7" s="101"/>
    </row>
    <row r="8" spans="2:6" ht="12.75">
      <c r="B8" s="98">
        <v>0.037</v>
      </c>
      <c r="D8" s="99"/>
      <c r="E8" s="117">
        <v>0.002125</v>
      </c>
      <c r="F8" s="101"/>
    </row>
    <row r="9" spans="2:6" ht="12.75">
      <c r="B9" s="98">
        <v>0.07200000000000001</v>
      </c>
      <c r="D9" s="99"/>
      <c r="E9" s="117">
        <v>0.07200000000000001</v>
      </c>
      <c r="F9" s="101"/>
    </row>
    <row r="10" spans="2:6" ht="12.75">
      <c r="B10" s="98">
        <v>0.1075</v>
      </c>
      <c r="D10" s="99"/>
      <c r="E10" s="117">
        <v>0.007666666666666666</v>
      </c>
      <c r="F10" s="101"/>
    </row>
    <row r="11" spans="2:6" ht="12.75">
      <c r="B11" s="98">
        <v>0.07450000000000001</v>
      </c>
      <c r="D11" s="99"/>
      <c r="E11" s="117">
        <v>0.1075</v>
      </c>
      <c r="F11" s="101"/>
    </row>
    <row r="12" spans="2:6" ht="12.75">
      <c r="B12" s="98">
        <v>0.021555555555555553</v>
      </c>
      <c r="D12" s="99"/>
      <c r="E12" s="117">
        <v>0.00325</v>
      </c>
      <c r="F12" s="101"/>
    </row>
    <row r="13" spans="2:6" ht="12.75">
      <c r="B13" s="98">
        <v>0.018222222222222223</v>
      </c>
      <c r="D13" s="99"/>
      <c r="E13" s="117">
        <v>0.0035</v>
      </c>
      <c r="F13" s="101"/>
    </row>
    <row r="14" spans="2:6" ht="12.75">
      <c r="B14" s="98">
        <v>0.007530303030303034</v>
      </c>
      <c r="D14" s="99"/>
      <c r="E14" s="117">
        <v>0.008</v>
      </c>
      <c r="F14" s="101"/>
    </row>
    <row r="15" spans="2:6" ht="12.75">
      <c r="B15" s="98">
        <v>0.012147058823529414</v>
      </c>
      <c r="D15" s="99"/>
      <c r="E15" s="117">
        <v>0.087</v>
      </c>
      <c r="F15" s="101"/>
    </row>
    <row r="16" spans="2:6" ht="12.75">
      <c r="B16" s="98">
        <v>0.02673529411764707</v>
      </c>
      <c r="D16" s="99"/>
      <c r="E16" s="117">
        <v>0.068</v>
      </c>
      <c r="F16" s="101"/>
    </row>
    <row r="17" spans="2:6" ht="12.75">
      <c r="B17" s="98">
        <v>0.00575</v>
      </c>
      <c r="D17" s="99"/>
      <c r="E17" s="117">
        <v>0.043</v>
      </c>
      <c r="F17" s="101"/>
    </row>
    <row r="18" spans="2:6" ht="12.75">
      <c r="B18" s="98">
        <v>0.01615</v>
      </c>
      <c r="D18" s="99"/>
      <c r="E18" s="117">
        <v>0.00475</v>
      </c>
      <c r="F18" s="101"/>
    </row>
    <row r="19" spans="2:6" ht="12.75">
      <c r="B19" s="98">
        <v>0.0925</v>
      </c>
      <c r="D19" s="99"/>
      <c r="E19" s="117">
        <v>0.02575</v>
      </c>
      <c r="F19" s="101"/>
    </row>
    <row r="20" spans="2:6" ht="12.75">
      <c r="B20" s="98">
        <v>0.01025</v>
      </c>
      <c r="D20" s="99"/>
      <c r="E20" s="117">
        <v>0.034</v>
      </c>
      <c r="F20" s="101"/>
    </row>
    <row r="21" spans="2:6" ht="12.75">
      <c r="B21" s="122">
        <v>0.011</v>
      </c>
      <c r="D21" s="99"/>
      <c r="E21" s="117">
        <v>0.0065</v>
      </c>
      <c r="F21" s="101"/>
    </row>
    <row r="22" spans="2:6" ht="12.75">
      <c r="B22" s="122">
        <v>0.025</v>
      </c>
      <c r="D22" s="99"/>
      <c r="E22" s="117">
        <v>0.019</v>
      </c>
      <c r="F22" s="101"/>
    </row>
    <row r="23" spans="2:6" ht="12.75">
      <c r="B23" s="122">
        <v>0.00575</v>
      </c>
      <c r="D23" s="99"/>
      <c r="E23" s="117">
        <v>0.00875</v>
      </c>
      <c r="F23" s="101"/>
    </row>
    <row r="24" spans="2:6" ht="12.75">
      <c r="B24" s="122">
        <v>0.00625</v>
      </c>
      <c r="D24" s="99"/>
      <c r="E24" s="117">
        <v>0.00575</v>
      </c>
      <c r="F24" s="101"/>
    </row>
    <row r="25" spans="2:6" ht="12.75">
      <c r="B25" s="122">
        <v>0.01725</v>
      </c>
      <c r="D25" s="99"/>
      <c r="E25" s="117">
        <v>0.0035</v>
      </c>
      <c r="F25" s="101"/>
    </row>
    <row r="26" spans="2:6" ht="12.75">
      <c r="B26" s="122">
        <v>0.01975</v>
      </c>
      <c r="D26" s="99"/>
      <c r="E26" s="117">
        <v>0.00325</v>
      </c>
      <c r="F26" s="101"/>
    </row>
    <row r="27" spans="2:6" ht="12.75">
      <c r="B27" s="122">
        <v>0.01625</v>
      </c>
      <c r="D27" s="99"/>
      <c r="E27" s="117">
        <v>0.013</v>
      </c>
      <c r="F27" s="101"/>
    </row>
    <row r="28" spans="4:6" ht="12.75">
      <c r="D28" s="99"/>
      <c r="E28" s="117">
        <v>1.259</v>
      </c>
      <c r="F28" s="101"/>
    </row>
    <row r="29" spans="4:6" ht="12.75">
      <c r="D29" s="99"/>
      <c r="E29" s="117">
        <v>0.175</v>
      </c>
      <c r="F29" s="101"/>
    </row>
    <row r="30" spans="4:6" ht="12.75">
      <c r="D30" s="99"/>
      <c r="E30" s="117">
        <v>0.01615</v>
      </c>
      <c r="F30" s="101"/>
    </row>
    <row r="31" spans="4:6" ht="12.75">
      <c r="D31" s="99"/>
      <c r="E31" s="117">
        <v>0.0925</v>
      </c>
      <c r="F31" s="101"/>
    </row>
    <row r="32" spans="4:6" ht="12.75">
      <c r="D32" s="99"/>
      <c r="E32" s="117">
        <v>0.01025</v>
      </c>
      <c r="F32" s="101"/>
    </row>
    <row r="33" spans="4:6" ht="12.75">
      <c r="D33" s="99"/>
      <c r="E33" s="117">
        <v>0.0195</v>
      </c>
      <c r="F33" s="101"/>
    </row>
    <row r="34" spans="4:6" ht="12.75">
      <c r="D34" s="99"/>
      <c r="E34" s="117">
        <v>0.004</v>
      </c>
      <c r="F34" s="101"/>
    </row>
    <row r="35" spans="4:6" ht="12.75">
      <c r="D35" s="99"/>
      <c r="E35" s="117">
        <v>0.0275</v>
      </c>
      <c r="F35" s="101"/>
    </row>
    <row r="36" spans="4:6" ht="12.75">
      <c r="D36" s="99"/>
      <c r="E36" s="117">
        <v>0.02075</v>
      </c>
      <c r="F36" s="101"/>
    </row>
    <row r="37" spans="4:6" ht="12.75">
      <c r="D37" s="99"/>
      <c r="E37" s="117">
        <v>0.00975</v>
      </c>
      <c r="F37" s="101"/>
    </row>
    <row r="38" spans="4:6" ht="12.75">
      <c r="D38" s="99"/>
      <c r="E38" s="117">
        <v>0.025</v>
      </c>
      <c r="F38" s="101"/>
    </row>
    <row r="39" spans="4:6" ht="12.75">
      <c r="D39" s="99"/>
      <c r="E39" s="117">
        <v>0.0466</v>
      </c>
      <c r="F39" s="101"/>
    </row>
    <row r="40" spans="4:6" ht="12.75">
      <c r="D40" s="99"/>
      <c r="E40" s="117">
        <v>0.017</v>
      </c>
      <c r="F40" s="101"/>
    </row>
    <row r="41" spans="4:6" ht="12.75">
      <c r="D41" s="99"/>
      <c r="E41" s="117">
        <v>0.01825</v>
      </c>
      <c r="F41" s="101"/>
    </row>
    <row r="42" spans="4:6" ht="12.75">
      <c r="D42" s="99"/>
      <c r="E42" s="117">
        <v>0.0125</v>
      </c>
      <c r="F42" s="101"/>
    </row>
    <row r="43" spans="4:6" ht="12.75">
      <c r="D43" s="99"/>
      <c r="E43" s="117">
        <v>0.012</v>
      </c>
      <c r="F43" s="101"/>
    </row>
    <row r="44" spans="4:6" ht="12.75">
      <c r="D44" s="99"/>
      <c r="E44" s="117">
        <v>0.00575</v>
      </c>
      <c r="F44" s="101"/>
    </row>
    <row r="45" spans="4:6" ht="12.75">
      <c r="D45" s="99"/>
      <c r="E45" s="117">
        <v>0.011</v>
      </c>
      <c r="F45" s="101"/>
    </row>
    <row r="46" spans="4:6" ht="12.75">
      <c r="D46" s="99"/>
      <c r="E46" s="117">
        <v>0.00625</v>
      </c>
      <c r="F46" s="101"/>
    </row>
    <row r="47" spans="4:6" ht="12.75">
      <c r="D47" s="99"/>
      <c r="E47" s="117">
        <v>0.01725</v>
      </c>
      <c r="F47" s="101"/>
    </row>
    <row r="48" spans="4:6" ht="12.75">
      <c r="D48" s="99"/>
      <c r="E48" s="117">
        <v>0.12625</v>
      </c>
      <c r="F48" s="101"/>
    </row>
    <row r="49" spans="4:6" ht="12.75">
      <c r="D49" s="99"/>
      <c r="E49" s="117">
        <v>0.011</v>
      </c>
      <c r="F49" s="101"/>
    </row>
    <row r="50" spans="4:6" ht="12.75">
      <c r="D50" s="99"/>
      <c r="E50" s="117">
        <v>0.01975</v>
      </c>
      <c r="F50" s="101"/>
    </row>
    <row r="51" spans="4:6" ht="12.75">
      <c r="D51" s="99"/>
      <c r="E51" s="117">
        <v>0.01625</v>
      </c>
      <c r="F51" s="101"/>
    </row>
    <row r="52" spans="4:6" ht="12.75">
      <c r="D52" s="99"/>
      <c r="E52" s="117">
        <v>0.04325</v>
      </c>
      <c r="F52" s="101"/>
    </row>
    <row r="53" spans="4:6" ht="12.75">
      <c r="D53" s="99"/>
      <c r="E53" s="117">
        <v>0.012</v>
      </c>
      <c r="F53" s="101"/>
    </row>
    <row r="54" spans="4:6" ht="12.75">
      <c r="D54" s="99"/>
      <c r="E54" s="117">
        <v>0.03</v>
      </c>
      <c r="F54" s="101"/>
    </row>
    <row r="55" spans="4:6" ht="12.75">
      <c r="D55" s="99"/>
      <c r="E55" s="117">
        <v>0.033</v>
      </c>
      <c r="F55" s="101"/>
    </row>
    <row r="56" spans="4:6" ht="12.75">
      <c r="D56" s="99"/>
      <c r="E56" s="117">
        <v>0.02525</v>
      </c>
      <c r="F56" s="101"/>
    </row>
    <row r="57" spans="4:6" ht="12.75">
      <c r="D57" s="99"/>
      <c r="E57" s="117">
        <v>0.009666666666666667</v>
      </c>
      <c r="F57" s="101"/>
    </row>
    <row r="58" spans="4:6" ht="12.75">
      <c r="D58" s="99"/>
      <c r="E58" s="117">
        <v>0.00175</v>
      </c>
      <c r="F58" s="101"/>
    </row>
    <row r="59" spans="4:6" ht="12.75">
      <c r="D59" s="99"/>
      <c r="E59" s="117">
        <v>0.01275</v>
      </c>
      <c r="F59" s="101"/>
    </row>
    <row r="60" spans="4:6" ht="13.5" thickBot="1">
      <c r="D60" s="99"/>
      <c r="E60" s="14"/>
      <c r="F60" s="101"/>
    </row>
    <row r="61" spans="1:6" ht="12.75">
      <c r="A61" s="145" t="s">
        <v>1145</v>
      </c>
      <c r="B61" s="146" t="s">
        <v>1146</v>
      </c>
      <c r="C61" s="147" t="s">
        <v>1279</v>
      </c>
      <c r="D61" s="145" t="s">
        <v>1145</v>
      </c>
      <c r="E61" s="146" t="s">
        <v>1146</v>
      </c>
      <c r="F61" s="147" t="s">
        <v>1279</v>
      </c>
    </row>
    <row r="62" spans="1:6" ht="12.75">
      <c r="A62" s="99"/>
      <c r="B62" s="123">
        <v>7</v>
      </c>
      <c r="C62" s="157">
        <f>MEDIAN(B62:B84)</f>
        <v>32</v>
      </c>
      <c r="D62" s="99"/>
      <c r="E62" s="123">
        <v>7</v>
      </c>
      <c r="F62" s="102">
        <f>MEDIAN(E62:E111)</f>
        <v>18</v>
      </c>
    </row>
    <row r="63" spans="1:6" ht="12.75">
      <c r="A63" s="99"/>
      <c r="B63" s="123">
        <v>4.9</v>
      </c>
      <c r="C63" s="123"/>
      <c r="D63" s="99"/>
      <c r="E63" s="123">
        <v>4.9</v>
      </c>
      <c r="F63" s="103">
        <f>AVERAGE(E62:E110)</f>
        <v>29.581632653061224</v>
      </c>
    </row>
    <row r="64" spans="1:6" ht="12.75">
      <c r="A64" s="99"/>
      <c r="B64" s="123">
        <v>29</v>
      </c>
      <c r="C64" s="123"/>
      <c r="D64" s="99"/>
      <c r="E64" s="123">
        <v>29</v>
      </c>
      <c r="F64" s="101"/>
    </row>
    <row r="65" spans="1:6" ht="12.75">
      <c r="A65" s="99"/>
      <c r="B65" s="123">
        <v>63</v>
      </c>
      <c r="C65" s="123"/>
      <c r="D65" s="99"/>
      <c r="E65" s="123">
        <v>63</v>
      </c>
      <c r="F65" s="101"/>
    </row>
    <row r="66" spans="1:6" ht="12.75">
      <c r="A66" s="99"/>
      <c r="B66" s="123">
        <v>51</v>
      </c>
      <c r="C66" s="123"/>
      <c r="D66" s="99"/>
      <c r="E66" s="123">
        <v>70</v>
      </c>
      <c r="F66" s="101"/>
    </row>
    <row r="67" spans="1:6" ht="12.75">
      <c r="A67" s="99"/>
      <c r="B67" s="123">
        <v>25.8</v>
      </c>
      <c r="C67" s="123"/>
      <c r="D67" s="99"/>
      <c r="E67" s="123">
        <v>25.8</v>
      </c>
      <c r="F67" s="101"/>
    </row>
    <row r="68" spans="1:6" ht="12.75">
      <c r="A68" s="99"/>
      <c r="B68" s="123">
        <v>21.8</v>
      </c>
      <c r="C68" s="123"/>
      <c r="D68" s="99"/>
      <c r="E68" s="123">
        <v>11</v>
      </c>
      <c r="F68" s="101"/>
    </row>
    <row r="69" spans="1:6" ht="12.75">
      <c r="A69" s="99"/>
      <c r="B69" s="123">
        <v>32</v>
      </c>
      <c r="C69" s="123"/>
      <c r="D69" s="99"/>
      <c r="E69" s="123">
        <v>21.8</v>
      </c>
      <c r="F69" s="101"/>
    </row>
    <row r="70" spans="1:6" ht="12.75">
      <c r="A70" s="99"/>
      <c r="B70" s="123">
        <v>54</v>
      </c>
      <c r="C70" s="123"/>
      <c r="D70" s="99"/>
      <c r="E70" s="123">
        <v>15</v>
      </c>
      <c r="F70" s="101"/>
    </row>
    <row r="71" spans="1:6" ht="12.75">
      <c r="A71" s="99"/>
      <c r="B71" s="123">
        <v>50</v>
      </c>
      <c r="C71" s="123"/>
      <c r="D71" s="99"/>
      <c r="E71" s="123">
        <v>89</v>
      </c>
      <c r="F71" s="101"/>
    </row>
    <row r="72" spans="1:6" ht="12.75">
      <c r="A72" s="99"/>
      <c r="B72" s="123">
        <v>83</v>
      </c>
      <c r="C72" s="123"/>
      <c r="D72" s="99"/>
      <c r="E72" s="123">
        <v>59</v>
      </c>
      <c r="F72" s="101"/>
    </row>
    <row r="73" spans="1:6" ht="12.75">
      <c r="A73" s="99"/>
      <c r="B73" s="123">
        <v>65</v>
      </c>
      <c r="C73" s="123"/>
      <c r="D73" s="99"/>
      <c r="E73" s="123">
        <v>2</v>
      </c>
      <c r="F73" s="101"/>
    </row>
    <row r="74" spans="1:6" ht="12.75">
      <c r="A74" s="99"/>
      <c r="B74" s="123">
        <v>16</v>
      </c>
      <c r="C74" s="123"/>
      <c r="D74" s="99"/>
      <c r="E74" s="123">
        <v>2</v>
      </c>
      <c r="F74" s="101"/>
    </row>
    <row r="75" spans="1:6" ht="12.75">
      <c r="A75" s="99"/>
      <c r="B75" s="123">
        <v>62.6</v>
      </c>
      <c r="C75" s="123"/>
      <c r="D75" s="99"/>
      <c r="E75" s="123">
        <v>2</v>
      </c>
      <c r="F75" s="101"/>
    </row>
    <row r="76" spans="1:6" ht="12.75">
      <c r="A76" s="99"/>
      <c r="B76" s="123">
        <v>50.4</v>
      </c>
      <c r="C76" s="123"/>
      <c r="D76" s="99"/>
      <c r="E76" s="123">
        <v>18</v>
      </c>
      <c r="F76" s="101"/>
    </row>
    <row r="77" spans="1:6" ht="12.75">
      <c r="A77" s="99"/>
      <c r="B77" s="123">
        <v>77</v>
      </c>
      <c r="C77" s="123"/>
      <c r="D77" s="99"/>
      <c r="E77" s="123">
        <v>14</v>
      </c>
      <c r="F77" s="101"/>
    </row>
    <row r="78" spans="1:6" ht="12.75">
      <c r="A78" s="99"/>
      <c r="B78" s="123">
        <v>3</v>
      </c>
      <c r="C78" s="123"/>
      <c r="D78" s="99"/>
      <c r="E78" s="123">
        <v>38</v>
      </c>
      <c r="F78" s="101"/>
    </row>
    <row r="79" spans="1:6" ht="12.75">
      <c r="A79" s="99"/>
      <c r="B79" s="123">
        <v>18</v>
      </c>
      <c r="C79" s="123"/>
      <c r="D79" s="99"/>
      <c r="E79" s="123">
        <v>13</v>
      </c>
      <c r="F79" s="101"/>
    </row>
    <row r="80" spans="1:6" ht="12.75">
      <c r="A80" s="99"/>
      <c r="B80" s="123">
        <v>30</v>
      </c>
      <c r="C80" s="123"/>
      <c r="D80" s="99"/>
      <c r="E80" s="123">
        <v>16</v>
      </c>
      <c r="F80" s="101"/>
    </row>
    <row r="81" spans="1:6" ht="12.75">
      <c r="A81" s="99"/>
      <c r="B81" s="123">
        <v>20</v>
      </c>
      <c r="C81" s="123"/>
      <c r="D81" s="99"/>
      <c r="E81" s="123">
        <v>42</v>
      </c>
      <c r="F81" s="101"/>
    </row>
    <row r="82" spans="1:6" ht="12.75">
      <c r="A82" s="99"/>
      <c r="B82" s="123">
        <v>60</v>
      </c>
      <c r="C82" s="123"/>
      <c r="D82" s="99"/>
      <c r="E82" s="123">
        <v>72</v>
      </c>
      <c r="F82" s="101"/>
    </row>
    <row r="83" spans="1:6" ht="12.75">
      <c r="A83" s="99"/>
      <c r="B83" s="123">
        <v>38</v>
      </c>
      <c r="C83" s="123"/>
      <c r="D83" s="99"/>
      <c r="E83" s="123">
        <v>76</v>
      </c>
      <c r="F83" s="101"/>
    </row>
    <row r="84" spans="1:6" ht="12.75">
      <c r="A84" s="99"/>
      <c r="B84" s="123">
        <v>12</v>
      </c>
      <c r="C84" s="123"/>
      <c r="D84" s="99"/>
      <c r="E84" s="123">
        <v>62.6</v>
      </c>
      <c r="F84" s="101"/>
    </row>
    <row r="85" spans="1:6" ht="12.75">
      <c r="A85" s="99"/>
      <c r="B85" s="123"/>
      <c r="C85" s="123"/>
      <c r="D85" s="99"/>
      <c r="E85" s="123">
        <v>50.4</v>
      </c>
      <c r="F85" s="101"/>
    </row>
    <row r="86" spans="1:6" ht="12.75">
      <c r="A86" s="99"/>
      <c r="B86" s="123"/>
      <c r="C86" s="123"/>
      <c r="D86" s="99"/>
      <c r="E86" s="123">
        <v>77</v>
      </c>
      <c r="F86" s="101"/>
    </row>
    <row r="87" spans="1:6" ht="12.75">
      <c r="A87" s="99"/>
      <c r="B87" s="123"/>
      <c r="C87" s="123"/>
      <c r="D87" s="99"/>
      <c r="E87" s="123">
        <v>56</v>
      </c>
      <c r="F87" s="101"/>
    </row>
    <row r="88" spans="1:6" ht="12.75">
      <c r="A88" s="99"/>
      <c r="B88" s="123"/>
      <c r="C88" s="123"/>
      <c r="D88" s="99"/>
      <c r="E88" s="123">
        <v>33</v>
      </c>
      <c r="F88" s="101"/>
    </row>
    <row r="89" spans="1:6" ht="12.75">
      <c r="A89" s="99"/>
      <c r="B89" s="123"/>
      <c r="C89" s="123"/>
      <c r="D89" s="99"/>
      <c r="E89" s="123">
        <v>14</v>
      </c>
      <c r="F89" s="101"/>
    </row>
    <row r="90" spans="1:6" ht="12.75">
      <c r="A90" s="99"/>
      <c r="B90" s="123"/>
      <c r="C90" s="123"/>
      <c r="D90" s="99"/>
      <c r="E90" s="123">
        <v>22</v>
      </c>
      <c r="F90" s="101"/>
    </row>
    <row r="91" spans="1:6" ht="12.75">
      <c r="A91" s="99"/>
      <c r="B91" s="123"/>
      <c r="C91" s="123"/>
      <c r="D91" s="99"/>
      <c r="E91" s="123">
        <v>3</v>
      </c>
      <c r="F91" s="101"/>
    </row>
    <row r="92" spans="1:6" ht="12.75">
      <c r="A92" s="99"/>
      <c r="B92" s="123"/>
      <c r="C92" s="123"/>
      <c r="D92" s="99"/>
      <c r="E92" s="123">
        <v>78</v>
      </c>
      <c r="F92" s="101"/>
    </row>
    <row r="93" spans="1:6" ht="12.75">
      <c r="A93" s="99"/>
      <c r="B93" s="123"/>
      <c r="C93" s="123"/>
      <c r="D93" s="99"/>
      <c r="E93" s="123">
        <v>11</v>
      </c>
      <c r="F93" s="101"/>
    </row>
    <row r="94" spans="1:6" ht="12.75">
      <c r="A94" s="99"/>
      <c r="B94" s="123"/>
      <c r="C94" s="123"/>
      <c r="D94" s="99"/>
      <c r="E94" s="123">
        <v>6</v>
      </c>
      <c r="F94" s="101"/>
    </row>
    <row r="95" spans="1:6" ht="12.75">
      <c r="A95" s="99"/>
      <c r="B95" s="123"/>
      <c r="C95" s="123"/>
      <c r="D95" s="99"/>
      <c r="E95" s="123">
        <v>18</v>
      </c>
      <c r="F95" s="101"/>
    </row>
    <row r="96" spans="1:6" ht="12.75">
      <c r="A96" s="99"/>
      <c r="B96" s="123"/>
      <c r="C96" s="123"/>
      <c r="D96" s="99"/>
      <c r="E96" s="123">
        <v>30</v>
      </c>
      <c r="F96" s="101"/>
    </row>
    <row r="97" spans="1:6" ht="12.75">
      <c r="A97" s="99"/>
      <c r="B97" s="123"/>
      <c r="C97" s="123"/>
      <c r="D97" s="99"/>
      <c r="E97" s="123">
        <v>20</v>
      </c>
      <c r="F97" s="101"/>
    </row>
    <row r="98" spans="1:6" ht="12.75">
      <c r="A98" s="99"/>
      <c r="B98" s="123"/>
      <c r="C98" s="123"/>
      <c r="D98" s="99"/>
      <c r="E98" s="123">
        <v>60</v>
      </c>
      <c r="F98" s="101"/>
    </row>
    <row r="99" spans="1:6" ht="12.75">
      <c r="A99" s="99"/>
      <c r="B99" s="123"/>
      <c r="C99" s="123"/>
      <c r="D99" s="99"/>
      <c r="E99" s="123">
        <v>18</v>
      </c>
      <c r="F99" s="101"/>
    </row>
    <row r="100" spans="1:6" ht="12.75">
      <c r="A100" s="99"/>
      <c r="B100" s="123"/>
      <c r="C100" s="123"/>
      <c r="D100" s="99"/>
      <c r="E100" s="123">
        <v>85</v>
      </c>
      <c r="F100" s="101"/>
    </row>
    <row r="101" spans="1:6" ht="12.75">
      <c r="A101" s="99"/>
      <c r="B101" s="123"/>
      <c r="C101" s="123"/>
      <c r="D101" s="99"/>
      <c r="E101" s="123">
        <v>38</v>
      </c>
      <c r="F101" s="101"/>
    </row>
    <row r="102" spans="1:6" ht="12.75">
      <c r="A102" s="99"/>
      <c r="B102" s="123"/>
      <c r="C102" s="123"/>
      <c r="D102" s="99"/>
      <c r="E102" s="123">
        <v>12</v>
      </c>
      <c r="F102" s="101"/>
    </row>
    <row r="103" spans="1:6" ht="12.75">
      <c r="A103" s="99"/>
      <c r="B103" s="123"/>
      <c r="C103" s="123"/>
      <c r="D103" s="99"/>
      <c r="E103" s="123">
        <v>14</v>
      </c>
      <c r="F103" s="101"/>
    </row>
    <row r="104" spans="1:6" ht="12.75">
      <c r="A104" s="99"/>
      <c r="B104" s="123"/>
      <c r="C104" s="123"/>
      <c r="D104" s="99"/>
      <c r="E104" s="123">
        <v>10</v>
      </c>
      <c r="F104" s="101"/>
    </row>
    <row r="105" spans="1:6" ht="12.75">
      <c r="A105" s="99"/>
      <c r="B105" s="123"/>
      <c r="C105" s="123"/>
      <c r="D105" s="99"/>
      <c r="E105" s="123">
        <v>8</v>
      </c>
      <c r="F105" s="101"/>
    </row>
    <row r="106" spans="1:6" ht="12.75">
      <c r="A106" s="99"/>
      <c r="B106" s="123"/>
      <c r="C106" s="123"/>
      <c r="D106" s="99"/>
      <c r="E106" s="123">
        <v>8</v>
      </c>
      <c r="F106" s="101"/>
    </row>
    <row r="107" spans="1:6" ht="12.75">
      <c r="A107" s="99"/>
      <c r="B107" s="123"/>
      <c r="C107" s="123"/>
      <c r="D107" s="99"/>
      <c r="E107" s="123">
        <v>8</v>
      </c>
      <c r="F107" s="101"/>
    </row>
    <row r="108" spans="1:6" ht="12.75">
      <c r="A108" s="99"/>
      <c r="B108" s="123"/>
      <c r="C108" s="123"/>
      <c r="D108" s="99"/>
      <c r="E108" s="123">
        <v>6</v>
      </c>
      <c r="F108" s="101"/>
    </row>
    <row r="109" spans="1:6" ht="12.75">
      <c r="A109" s="99"/>
      <c r="B109" s="123"/>
      <c r="C109" s="123"/>
      <c r="D109" s="99"/>
      <c r="E109" s="123">
        <v>2</v>
      </c>
      <c r="F109" s="101"/>
    </row>
    <row r="110" spans="1:6" ht="12.75">
      <c r="A110" s="99"/>
      <c r="B110" s="123"/>
      <c r="C110" s="123"/>
      <c r="D110" s="99"/>
      <c r="E110" s="123">
        <v>9</v>
      </c>
      <c r="F110" s="101"/>
    </row>
    <row r="111" spans="1:6" ht="13.5" thickBot="1">
      <c r="A111" s="104"/>
      <c r="B111" s="105"/>
      <c r="C111" s="105"/>
      <c r="D111" s="104"/>
      <c r="E111" s="105">
        <v>7</v>
      </c>
      <c r="F111" s="106"/>
    </row>
    <row r="112" spans="1:6" ht="12.75">
      <c r="A112" s="145" t="s">
        <v>1147</v>
      </c>
      <c r="B112" s="152" t="s">
        <v>44</v>
      </c>
      <c r="C112" s="147" t="s">
        <v>1280</v>
      </c>
      <c r="D112" s="145" t="s">
        <v>1147</v>
      </c>
      <c r="E112" s="152" t="s">
        <v>44</v>
      </c>
      <c r="F112" s="147" t="s">
        <v>1280</v>
      </c>
    </row>
    <row r="113" spans="1:6" ht="12.75">
      <c r="A113" s="99"/>
      <c r="B113" s="123">
        <v>40</v>
      </c>
      <c r="C113" s="157">
        <f>MEDIAN(B113:B136)</f>
        <v>21</v>
      </c>
      <c r="D113" s="99"/>
      <c r="E113" s="123">
        <v>40</v>
      </c>
      <c r="F113" s="102">
        <f>MEDIAN(E113:E167)</f>
        <v>14</v>
      </c>
    </row>
    <row r="114" spans="1:6" ht="12.75">
      <c r="A114" s="99"/>
      <c r="B114" s="123">
        <v>4</v>
      </c>
      <c r="C114" s="123"/>
      <c r="D114" s="99"/>
      <c r="E114" s="123">
        <v>4</v>
      </c>
      <c r="F114" s="103">
        <f>AVERAGE(E113:E167)</f>
        <v>23.07927272727273</v>
      </c>
    </row>
    <row r="115" spans="1:6" ht="12.75">
      <c r="A115" s="99"/>
      <c r="B115" s="123">
        <v>58</v>
      </c>
      <c r="C115" s="123"/>
      <c r="D115" s="99"/>
      <c r="E115" s="123">
        <v>58</v>
      </c>
      <c r="F115" s="101"/>
    </row>
    <row r="116" spans="1:6" ht="12.75">
      <c r="A116" s="99"/>
      <c r="B116" s="123">
        <v>20</v>
      </c>
      <c r="C116" s="123"/>
      <c r="D116" s="99"/>
      <c r="E116" s="123">
        <v>20</v>
      </c>
      <c r="F116" s="101"/>
    </row>
    <row r="117" spans="1:6" ht="12.75">
      <c r="A117" s="99"/>
      <c r="B117" s="123">
        <v>67</v>
      </c>
      <c r="C117" s="123"/>
      <c r="D117" s="99"/>
      <c r="E117" s="123">
        <v>67</v>
      </c>
      <c r="F117" s="101"/>
    </row>
    <row r="118" spans="1:6" ht="12.75">
      <c r="A118" s="99"/>
      <c r="B118" s="123">
        <v>28</v>
      </c>
      <c r="C118" s="123"/>
      <c r="D118" s="99"/>
      <c r="E118" s="123">
        <v>23</v>
      </c>
      <c r="F118" s="101"/>
    </row>
    <row r="119" spans="1:6" ht="12.75">
      <c r="A119" s="99"/>
      <c r="B119" s="123">
        <v>82.5</v>
      </c>
      <c r="C119" s="123"/>
      <c r="D119" s="99"/>
      <c r="E119" s="123">
        <v>82.5</v>
      </c>
      <c r="F119" s="101"/>
    </row>
    <row r="120" spans="1:6" ht="12.75">
      <c r="A120" s="99"/>
      <c r="B120" s="123">
        <v>44</v>
      </c>
      <c r="C120" s="123"/>
      <c r="D120" s="99"/>
      <c r="E120" s="123">
        <v>5</v>
      </c>
      <c r="F120" s="101"/>
    </row>
    <row r="121" spans="1:6" ht="12.75">
      <c r="A121" s="99"/>
      <c r="B121" s="123">
        <v>35</v>
      </c>
      <c r="C121" s="123"/>
      <c r="D121" s="99"/>
      <c r="E121" s="123">
        <v>44</v>
      </c>
      <c r="F121" s="101"/>
    </row>
    <row r="122" spans="1:6" ht="12.75">
      <c r="A122" s="99"/>
      <c r="B122" s="123">
        <v>18</v>
      </c>
      <c r="C122" s="123"/>
      <c r="D122" s="99"/>
      <c r="E122" s="123">
        <v>5</v>
      </c>
      <c r="F122" s="101"/>
    </row>
    <row r="123" spans="1:6" ht="12.75">
      <c r="A123" s="99"/>
      <c r="B123" s="123">
        <v>10</v>
      </c>
      <c r="C123" s="123"/>
      <c r="D123" s="99"/>
      <c r="E123" s="123">
        <v>56</v>
      </c>
      <c r="F123" s="101"/>
    </row>
    <row r="124" spans="1:6" ht="12.75">
      <c r="A124" s="99"/>
      <c r="B124" s="123">
        <v>55</v>
      </c>
      <c r="C124" s="123"/>
      <c r="D124" s="99"/>
      <c r="E124" s="123">
        <v>15</v>
      </c>
      <c r="F124" s="101"/>
    </row>
    <row r="125" spans="1:6" ht="12.75">
      <c r="A125" s="99"/>
      <c r="B125" s="123">
        <v>22</v>
      </c>
      <c r="C125" s="123"/>
      <c r="D125" s="99"/>
      <c r="E125" s="123">
        <v>5</v>
      </c>
      <c r="F125" s="101"/>
    </row>
    <row r="126" spans="1:6" ht="12.75">
      <c r="A126" s="99"/>
      <c r="B126" s="123">
        <v>32</v>
      </c>
      <c r="C126" s="123"/>
      <c r="D126" s="99"/>
      <c r="E126" s="123">
        <v>5</v>
      </c>
      <c r="F126" s="101"/>
    </row>
    <row r="127" spans="1:6" ht="12.75">
      <c r="A127" s="99"/>
      <c r="B127" s="123">
        <v>5</v>
      </c>
      <c r="C127" s="123"/>
      <c r="D127" s="99"/>
      <c r="E127" s="123">
        <v>5</v>
      </c>
      <c r="F127" s="101"/>
    </row>
    <row r="128" spans="1:6" ht="12.75">
      <c r="A128" s="99"/>
      <c r="B128" s="123">
        <v>52.86</v>
      </c>
      <c r="C128" s="123"/>
      <c r="D128" s="99"/>
      <c r="E128" s="123">
        <v>8</v>
      </c>
      <c r="F128" s="101"/>
    </row>
    <row r="129" spans="1:6" ht="12.75">
      <c r="A129" s="99"/>
      <c r="B129" s="123">
        <v>48</v>
      </c>
      <c r="C129" s="123"/>
      <c r="D129" s="99"/>
      <c r="E129" s="123">
        <v>12</v>
      </c>
      <c r="F129" s="101"/>
    </row>
    <row r="130" spans="1:6" ht="12.75">
      <c r="A130" s="99"/>
      <c r="B130" s="123">
        <v>6</v>
      </c>
      <c r="C130" s="123"/>
      <c r="D130" s="99"/>
      <c r="E130" s="123">
        <v>27</v>
      </c>
      <c r="F130" s="101"/>
    </row>
    <row r="131" spans="1:6" ht="12.75">
      <c r="A131" s="99"/>
      <c r="B131" s="123">
        <v>9</v>
      </c>
      <c r="C131" s="123"/>
      <c r="D131" s="99"/>
      <c r="E131" s="123">
        <v>79</v>
      </c>
      <c r="F131" s="101"/>
    </row>
    <row r="132" spans="1:6" ht="12.75">
      <c r="A132" s="99"/>
      <c r="B132" s="123">
        <v>14</v>
      </c>
      <c r="C132" s="123"/>
      <c r="D132" s="99"/>
      <c r="E132" s="123">
        <v>5</v>
      </c>
      <c r="F132" s="101"/>
    </row>
    <row r="133" spans="1:6" ht="12.75">
      <c r="A133" s="99"/>
      <c r="B133" s="123">
        <v>13</v>
      </c>
      <c r="C133" s="123"/>
      <c r="D133" s="99"/>
      <c r="E133" s="123">
        <v>5</v>
      </c>
      <c r="F133" s="101"/>
    </row>
    <row r="134" spans="1:6" ht="12.75">
      <c r="A134" s="99"/>
      <c r="B134" s="123">
        <v>10</v>
      </c>
      <c r="C134" s="123"/>
      <c r="D134" s="99"/>
      <c r="E134" s="123">
        <v>28</v>
      </c>
      <c r="F134" s="101"/>
    </row>
    <row r="135" spans="1:6" ht="12.75">
      <c r="A135" s="99"/>
      <c r="B135" s="123">
        <v>17</v>
      </c>
      <c r="C135" s="123"/>
      <c r="D135" s="99"/>
      <c r="E135" s="123">
        <v>12</v>
      </c>
      <c r="F135" s="101"/>
    </row>
    <row r="136" spans="1:6" ht="12.75">
      <c r="A136" s="99"/>
      <c r="B136" s="123">
        <v>20</v>
      </c>
      <c r="C136" s="123"/>
      <c r="D136" s="99"/>
      <c r="E136" s="123">
        <v>38</v>
      </c>
      <c r="F136" s="101"/>
    </row>
    <row r="137" spans="1:6" ht="12.75">
      <c r="A137" s="99"/>
      <c r="B137" s="123"/>
      <c r="C137" s="123"/>
      <c r="D137" s="99"/>
      <c r="E137" s="123">
        <v>30</v>
      </c>
      <c r="F137" s="101"/>
    </row>
    <row r="138" spans="1:6" ht="12.75">
      <c r="A138" s="99"/>
      <c r="B138" s="123"/>
      <c r="C138" s="123"/>
      <c r="D138" s="99"/>
      <c r="E138" s="123">
        <v>24</v>
      </c>
      <c r="F138" s="101"/>
    </row>
    <row r="139" spans="1:6" ht="12.75">
      <c r="A139" s="99"/>
      <c r="B139" s="123"/>
      <c r="C139" s="123"/>
      <c r="D139" s="99"/>
      <c r="E139" s="123">
        <v>52.86</v>
      </c>
      <c r="F139" s="101"/>
    </row>
    <row r="140" spans="1:6" ht="12.75">
      <c r="A140" s="99"/>
      <c r="B140" s="123"/>
      <c r="C140" s="123"/>
      <c r="D140" s="99"/>
      <c r="E140" s="123">
        <v>48</v>
      </c>
      <c r="F140" s="101"/>
    </row>
    <row r="141" spans="1:6" ht="12.75">
      <c r="A141" s="99"/>
      <c r="B141" s="123"/>
      <c r="C141" s="123"/>
      <c r="D141" s="99"/>
      <c r="E141" s="123">
        <v>45</v>
      </c>
      <c r="F141" s="101"/>
    </row>
    <row r="142" spans="1:6" ht="12.75">
      <c r="A142" s="99"/>
      <c r="B142" s="123"/>
      <c r="C142" s="123"/>
      <c r="D142" s="99"/>
      <c r="E142" s="123">
        <v>17</v>
      </c>
      <c r="F142" s="101"/>
    </row>
    <row r="143" spans="1:6" ht="12.75">
      <c r="A143" s="99"/>
      <c r="B143" s="123"/>
      <c r="C143" s="123"/>
      <c r="D143" s="99"/>
      <c r="E143" s="123">
        <v>11</v>
      </c>
      <c r="F143" s="101"/>
    </row>
    <row r="144" spans="1:6" ht="12.75">
      <c r="A144" s="99"/>
      <c r="B144" s="123"/>
      <c r="C144" s="123"/>
      <c r="D144" s="99"/>
      <c r="E144" s="123">
        <v>5</v>
      </c>
      <c r="F144" s="101"/>
    </row>
    <row r="145" spans="1:6" ht="12.75">
      <c r="A145" s="99"/>
      <c r="B145" s="123"/>
      <c r="C145" s="123"/>
      <c r="D145" s="99"/>
      <c r="E145" s="123">
        <v>8</v>
      </c>
      <c r="F145" s="101"/>
    </row>
    <row r="146" spans="1:6" ht="12.75">
      <c r="A146" s="99"/>
      <c r="B146" s="123"/>
      <c r="C146" s="123"/>
      <c r="D146" s="99"/>
      <c r="E146" s="123">
        <v>6</v>
      </c>
      <c r="F146" s="101"/>
    </row>
    <row r="147" spans="1:6" ht="12.75">
      <c r="A147" s="99"/>
      <c r="B147" s="123"/>
      <c r="C147" s="123"/>
      <c r="D147" s="99"/>
      <c r="E147" s="123">
        <v>84</v>
      </c>
      <c r="F147" s="101"/>
    </row>
    <row r="148" spans="1:6" ht="12.75">
      <c r="A148" s="99"/>
      <c r="B148" s="123"/>
      <c r="C148" s="123"/>
      <c r="D148" s="99"/>
      <c r="E148" s="123">
        <v>63</v>
      </c>
      <c r="F148" s="101"/>
    </row>
    <row r="149" spans="1:6" ht="12.75">
      <c r="A149" s="99"/>
      <c r="B149" s="123"/>
      <c r="C149" s="123"/>
      <c r="D149" s="99"/>
      <c r="E149" s="123">
        <v>26</v>
      </c>
      <c r="F149" s="101"/>
    </row>
    <row r="150" spans="1:6" ht="12.75">
      <c r="A150" s="99"/>
      <c r="B150" s="123"/>
      <c r="C150" s="123"/>
      <c r="D150" s="99"/>
      <c r="E150" s="123">
        <v>21</v>
      </c>
      <c r="F150" s="101"/>
    </row>
    <row r="151" spans="1:6" ht="12.75">
      <c r="A151" s="99"/>
      <c r="B151" s="123"/>
      <c r="C151" s="123"/>
      <c r="D151" s="99"/>
      <c r="E151" s="123">
        <v>9</v>
      </c>
      <c r="F151" s="101"/>
    </row>
    <row r="152" spans="1:6" ht="12.75">
      <c r="A152" s="99"/>
      <c r="B152" s="123"/>
      <c r="C152" s="123"/>
      <c r="D152" s="99"/>
      <c r="E152" s="123">
        <v>14</v>
      </c>
      <c r="F152" s="101"/>
    </row>
    <row r="153" spans="1:6" ht="12.75">
      <c r="A153" s="99"/>
      <c r="B153" s="123"/>
      <c r="C153" s="123"/>
      <c r="D153" s="99"/>
      <c r="E153" s="123">
        <v>13</v>
      </c>
      <c r="F153" s="101"/>
    </row>
    <row r="154" spans="1:6" ht="12.75">
      <c r="A154" s="99"/>
      <c r="B154" s="123"/>
      <c r="C154" s="123"/>
      <c r="D154" s="99"/>
      <c r="E154" s="123">
        <v>10</v>
      </c>
      <c r="F154" s="101"/>
    </row>
    <row r="155" spans="1:6" ht="12.75">
      <c r="A155" s="99"/>
      <c r="B155" s="123"/>
      <c r="C155" s="123"/>
      <c r="D155" s="99"/>
      <c r="E155" s="123">
        <v>17</v>
      </c>
      <c r="F155" s="101"/>
    </row>
    <row r="156" spans="1:6" ht="12.75">
      <c r="A156" s="99"/>
      <c r="B156" s="123"/>
      <c r="C156" s="123"/>
      <c r="D156" s="99"/>
      <c r="E156" s="123">
        <v>26</v>
      </c>
      <c r="F156" s="101"/>
    </row>
    <row r="157" spans="1:6" ht="12.75">
      <c r="A157" s="99"/>
      <c r="B157" s="123"/>
      <c r="C157" s="123"/>
      <c r="D157" s="99"/>
      <c r="E157" s="123">
        <v>17</v>
      </c>
      <c r="F157" s="101"/>
    </row>
    <row r="158" spans="1:6" ht="12.75">
      <c r="A158" s="99"/>
      <c r="B158" s="123"/>
      <c r="C158" s="123"/>
      <c r="D158" s="99"/>
      <c r="E158" s="123">
        <v>20</v>
      </c>
      <c r="F158" s="101"/>
    </row>
    <row r="159" spans="1:6" ht="12.75">
      <c r="A159" s="99"/>
      <c r="B159" s="123"/>
      <c r="C159" s="123"/>
      <c r="D159" s="99"/>
      <c r="E159" s="123">
        <v>10</v>
      </c>
      <c r="F159" s="101"/>
    </row>
    <row r="160" spans="1:6" ht="12.75">
      <c r="A160" s="99"/>
      <c r="B160" s="123"/>
      <c r="C160" s="123"/>
      <c r="D160" s="99"/>
      <c r="E160" s="123">
        <v>5</v>
      </c>
      <c r="F160" s="101"/>
    </row>
    <row r="161" spans="1:6" ht="12.75">
      <c r="A161" s="99"/>
      <c r="B161" s="123"/>
      <c r="C161" s="123"/>
      <c r="D161" s="99"/>
      <c r="E161" s="123">
        <v>5</v>
      </c>
      <c r="F161" s="101"/>
    </row>
    <row r="162" spans="1:6" ht="12.75">
      <c r="A162" s="99"/>
      <c r="B162" s="123"/>
      <c r="C162" s="123"/>
      <c r="D162" s="99"/>
      <c r="E162" s="123">
        <v>5</v>
      </c>
      <c r="F162" s="101"/>
    </row>
    <row r="163" spans="1:6" ht="12.75">
      <c r="A163" s="99"/>
      <c r="B163" s="123"/>
      <c r="C163" s="123"/>
      <c r="D163" s="99"/>
      <c r="E163" s="123">
        <v>5</v>
      </c>
      <c r="F163" s="101"/>
    </row>
    <row r="164" spans="1:6" ht="12.75">
      <c r="A164" s="99"/>
      <c r="B164" s="123"/>
      <c r="C164" s="123"/>
      <c r="D164" s="99"/>
      <c r="E164" s="123">
        <v>5</v>
      </c>
      <c r="F164" s="101"/>
    </row>
    <row r="165" spans="1:6" ht="12.75">
      <c r="A165" s="99"/>
      <c r="B165" s="123"/>
      <c r="C165" s="123"/>
      <c r="D165" s="99"/>
      <c r="E165" s="123">
        <v>6</v>
      </c>
      <c r="F165" s="101"/>
    </row>
    <row r="166" spans="1:6" s="122" customFormat="1" ht="12.75">
      <c r="A166" s="99"/>
      <c r="B166" s="123"/>
      <c r="C166" s="123"/>
      <c r="D166" s="99"/>
      <c r="E166" s="123">
        <v>5</v>
      </c>
      <c r="F166" s="101"/>
    </row>
    <row r="167" spans="1:6" ht="13.5" thickBot="1">
      <c r="A167" s="104"/>
      <c r="B167" s="105"/>
      <c r="C167" s="105"/>
      <c r="D167" s="104"/>
      <c r="E167" s="105">
        <v>8</v>
      </c>
      <c r="F167" s="106"/>
    </row>
  </sheetData>
  <sheetProtection/>
  <mergeCells count="2">
    <mergeCell ref="D1:F1"/>
    <mergeCell ref="A1:C1"/>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CB53"/>
  <sheetViews>
    <sheetView zoomScale="90" zoomScaleNormal="90" zoomScalePageLayoutView="0" workbookViewId="0" topLeftCell="A1">
      <pane xSplit="5" ySplit="3" topLeftCell="BR4" activePane="bottomRight" state="frozen"/>
      <selection pane="topLeft" activeCell="A1" sqref="A1"/>
      <selection pane="topRight" activeCell="F1" sqref="F1"/>
      <selection pane="bottomLeft" activeCell="A3" sqref="A3"/>
      <selection pane="bottomRight" activeCell="A1" sqref="A1"/>
    </sheetView>
  </sheetViews>
  <sheetFormatPr defaultColWidth="11.421875" defaultRowHeight="15"/>
  <cols>
    <col min="1" max="4" width="11.421875" style="2" customWidth="1"/>
    <col min="5" max="5" width="30.28125" style="2" customWidth="1"/>
    <col min="6" max="6" width="15.140625" style="2" hidden="1" customWidth="1"/>
    <col min="7" max="7" width="18.00390625" style="2" hidden="1" customWidth="1"/>
    <col min="8" max="8" width="11.421875" style="2" hidden="1" customWidth="1"/>
    <col min="9" max="9" width="15.7109375" style="2" hidden="1" customWidth="1"/>
    <col min="10" max="10" width="11.421875" style="2" hidden="1" customWidth="1"/>
    <col min="11" max="11" width="14.00390625" style="2" hidden="1" customWidth="1"/>
    <col min="12" max="12" width="14.140625" style="2" hidden="1" customWidth="1"/>
    <col min="13" max="13" width="11.421875" style="2" hidden="1" customWidth="1"/>
    <col min="14" max="14" width="14.28125" style="2" hidden="1" customWidth="1"/>
    <col min="15" max="15" width="15.421875" style="2" hidden="1" customWidth="1"/>
    <col min="16" max="16" width="11.421875" style="2" hidden="1" customWidth="1"/>
    <col min="17" max="18" width="15.7109375" style="2" hidden="1" customWidth="1"/>
    <col min="19" max="19" width="48.57421875" style="2" hidden="1" customWidth="1"/>
    <col min="20" max="21" width="17.421875" style="2" hidden="1" customWidth="1"/>
    <col min="22" max="27" width="11.421875" style="2" hidden="1" customWidth="1"/>
    <col min="28" max="28" width="15.421875" style="2" hidden="1" customWidth="1"/>
    <col min="29" max="29" width="15.140625" style="2" hidden="1" customWidth="1"/>
    <col min="30" max="31" width="11.421875" style="2" hidden="1" customWidth="1"/>
    <col min="32" max="32" width="48.57421875" style="2" hidden="1" customWidth="1"/>
    <col min="33" max="33" width="17.57421875" style="2" hidden="1" customWidth="1"/>
    <col min="34" max="34" width="20.57421875" style="2" hidden="1" customWidth="1"/>
    <col min="35" max="40" width="11.421875" style="2" hidden="1" customWidth="1"/>
    <col min="41" max="41" width="15.421875" style="2" hidden="1" customWidth="1"/>
    <col min="42" max="42" width="15.140625" style="2" hidden="1" customWidth="1"/>
    <col min="43" max="44" width="11.421875" style="2" hidden="1" customWidth="1"/>
    <col min="45" max="45" width="16.140625" style="2" hidden="1" customWidth="1"/>
    <col min="46" max="47" width="11.421875" style="2" hidden="1" customWidth="1"/>
    <col min="48" max="65" width="11.421875" style="2" customWidth="1"/>
    <col min="66" max="67" width="11.421875" style="143" customWidth="1"/>
    <col min="68" max="68" width="14.7109375" style="2" customWidth="1"/>
    <col min="69" max="69" width="13.8515625" style="2" customWidth="1"/>
    <col min="70" max="16384" width="11.421875" style="2" customWidth="1"/>
  </cols>
  <sheetData>
    <row r="1" spans="19:80" ht="15" customHeight="1" thickBot="1">
      <c r="S1" s="305" t="s">
        <v>1138</v>
      </c>
      <c r="T1" s="305"/>
      <c r="U1" s="305"/>
      <c r="V1" s="305"/>
      <c r="W1" s="305"/>
      <c r="X1" s="305"/>
      <c r="Y1" s="305"/>
      <c r="Z1" s="305"/>
      <c r="AA1" s="305"/>
      <c r="AB1" s="305"/>
      <c r="AC1" s="305"/>
      <c r="AD1" s="305"/>
      <c r="AE1" s="306"/>
      <c r="AF1" s="284">
        <v>2020</v>
      </c>
      <c r="AG1" s="285"/>
      <c r="AH1" s="285"/>
      <c r="AI1" s="285"/>
      <c r="AJ1" s="285"/>
      <c r="AK1" s="285"/>
      <c r="AL1" s="285"/>
      <c r="AM1" s="285"/>
      <c r="AN1" s="285"/>
      <c r="AO1" s="285"/>
      <c r="AP1" s="285"/>
      <c r="AQ1" s="285"/>
      <c r="AR1" s="286"/>
      <c r="AS1" s="287" t="s">
        <v>1134</v>
      </c>
      <c r="AT1" s="288"/>
      <c r="AU1" s="289"/>
      <c r="AV1" s="290" t="s">
        <v>1304</v>
      </c>
      <c r="AW1" s="291"/>
      <c r="AX1" s="291"/>
      <c r="AY1" s="291"/>
      <c r="AZ1" s="291"/>
      <c r="BA1" s="291"/>
      <c r="BB1" s="291"/>
      <c r="BC1" s="291"/>
      <c r="BD1" s="291"/>
      <c r="BE1" s="292"/>
      <c r="BF1" s="230" t="s">
        <v>1141</v>
      </c>
      <c r="BG1" s="231"/>
      <c r="BH1" s="231"/>
      <c r="BI1" s="231"/>
      <c r="BJ1" s="231"/>
      <c r="BK1" s="231"/>
      <c r="BL1" s="231"/>
      <c r="BM1" s="231"/>
      <c r="BN1" s="303"/>
      <c r="BO1" s="304"/>
      <c r="BP1" s="309" t="s">
        <v>1285</v>
      </c>
      <c r="BQ1" s="310"/>
      <c r="BR1" s="311" t="s">
        <v>1283</v>
      </c>
      <c r="BS1" s="312"/>
      <c r="BT1" s="312"/>
      <c r="BU1" s="312"/>
      <c r="BV1" s="312"/>
      <c r="BW1" s="312"/>
      <c r="BX1" s="312"/>
      <c r="BY1" s="312"/>
      <c r="BZ1" s="312"/>
      <c r="CA1" s="313"/>
      <c r="CB1" s="123"/>
    </row>
    <row r="2" spans="1:80" ht="15" customHeight="1">
      <c r="A2" s="281" t="s">
        <v>0</v>
      </c>
      <c r="B2" s="281" t="s">
        <v>18</v>
      </c>
      <c r="C2" s="281" t="s">
        <v>327</v>
      </c>
      <c r="D2" s="307" t="s">
        <v>40</v>
      </c>
      <c r="E2" s="300" t="s">
        <v>1</v>
      </c>
      <c r="F2" s="308" t="s">
        <v>2</v>
      </c>
      <c r="G2" s="281" t="s">
        <v>3</v>
      </c>
      <c r="H2" s="281" t="s">
        <v>4</v>
      </c>
      <c r="I2" s="281"/>
      <c r="J2" s="281"/>
      <c r="K2" s="281"/>
      <c r="L2" s="281"/>
      <c r="M2" s="281"/>
      <c r="N2" s="281"/>
      <c r="O2" s="281" t="s">
        <v>41</v>
      </c>
      <c r="P2" s="281" t="s">
        <v>42</v>
      </c>
      <c r="Q2" s="281" t="s">
        <v>43</v>
      </c>
      <c r="R2" s="281"/>
      <c r="S2" s="281" t="s">
        <v>1301</v>
      </c>
      <c r="T2" s="302" t="s">
        <v>1139</v>
      </c>
      <c r="U2" s="302" t="s">
        <v>1140</v>
      </c>
      <c r="V2" s="234" t="s">
        <v>111</v>
      </c>
      <c r="W2" s="234" t="s">
        <v>44</v>
      </c>
      <c r="X2" s="234" t="s">
        <v>45</v>
      </c>
      <c r="Y2" s="234" t="s">
        <v>52</v>
      </c>
      <c r="Z2" s="234" t="s">
        <v>112</v>
      </c>
      <c r="AA2" s="234" t="s">
        <v>46</v>
      </c>
      <c r="AB2" s="238" t="s">
        <v>47</v>
      </c>
      <c r="AC2" s="238" t="s">
        <v>48</v>
      </c>
      <c r="AD2" s="276" t="s">
        <v>113</v>
      </c>
      <c r="AE2" s="276" t="s">
        <v>49</v>
      </c>
      <c r="AF2" s="249" t="s">
        <v>1302</v>
      </c>
      <c r="AG2" s="248" t="s">
        <v>1139</v>
      </c>
      <c r="AH2" s="248" t="s">
        <v>1140</v>
      </c>
      <c r="AI2" s="233" t="s">
        <v>111</v>
      </c>
      <c r="AJ2" s="233" t="s">
        <v>44</v>
      </c>
      <c r="AK2" s="233" t="s">
        <v>45</v>
      </c>
      <c r="AL2" s="233" t="s">
        <v>52</v>
      </c>
      <c r="AM2" s="233" t="s">
        <v>112</v>
      </c>
      <c r="AN2" s="233" t="s">
        <v>46</v>
      </c>
      <c r="AO2" s="237" t="s">
        <v>47</v>
      </c>
      <c r="AP2" s="237" t="s">
        <v>48</v>
      </c>
      <c r="AQ2" s="275" t="s">
        <v>113</v>
      </c>
      <c r="AR2" s="277" t="s">
        <v>49</v>
      </c>
      <c r="AS2" s="279" t="s">
        <v>1135</v>
      </c>
      <c r="AT2" s="233" t="s">
        <v>111</v>
      </c>
      <c r="AU2" s="233" t="s">
        <v>1136</v>
      </c>
      <c r="AV2" s="233" t="s">
        <v>111</v>
      </c>
      <c r="AW2" s="233" t="s">
        <v>44</v>
      </c>
      <c r="AX2" s="233" t="s">
        <v>45</v>
      </c>
      <c r="AY2" s="233" t="s">
        <v>52</v>
      </c>
      <c r="AZ2" s="233" t="s">
        <v>112</v>
      </c>
      <c r="BA2" s="233" t="s">
        <v>46</v>
      </c>
      <c r="BB2" s="237" t="s">
        <v>47</v>
      </c>
      <c r="BC2" s="237" t="s">
        <v>48</v>
      </c>
      <c r="BD2" s="275" t="s">
        <v>113</v>
      </c>
      <c r="BE2" s="275" t="s">
        <v>49</v>
      </c>
      <c r="BF2" s="233" t="s">
        <v>111</v>
      </c>
      <c r="BG2" s="233" t="s">
        <v>44</v>
      </c>
      <c r="BH2" s="233" t="s">
        <v>45</v>
      </c>
      <c r="BI2" s="233" t="s">
        <v>52</v>
      </c>
      <c r="BJ2" s="233" t="s">
        <v>112</v>
      </c>
      <c r="BK2" s="233" t="s">
        <v>46</v>
      </c>
      <c r="BL2" s="237" t="s">
        <v>47</v>
      </c>
      <c r="BM2" s="237" t="s">
        <v>48</v>
      </c>
      <c r="BN2" s="239" t="s">
        <v>113</v>
      </c>
      <c r="BO2" s="239" t="s">
        <v>49</v>
      </c>
      <c r="BP2" s="293" t="s">
        <v>1284</v>
      </c>
      <c r="BQ2" s="314" t="s">
        <v>49</v>
      </c>
      <c r="BR2" s="316">
        <v>2021</v>
      </c>
      <c r="BS2" s="316"/>
      <c r="BT2" s="316">
        <v>2022</v>
      </c>
      <c r="BU2" s="316"/>
      <c r="BV2" s="316">
        <v>2023</v>
      </c>
      <c r="BW2" s="316"/>
      <c r="BX2" s="316">
        <v>2024</v>
      </c>
      <c r="BY2" s="316"/>
      <c r="BZ2" s="316">
        <v>2025</v>
      </c>
      <c r="CA2" s="316"/>
      <c r="CB2" s="123"/>
    </row>
    <row r="3" spans="1:80" ht="40.5" customHeight="1">
      <c r="A3" s="281"/>
      <c r="B3" s="281"/>
      <c r="C3" s="281"/>
      <c r="D3" s="307"/>
      <c r="E3" s="301"/>
      <c r="F3" s="308"/>
      <c r="G3" s="281"/>
      <c r="H3" s="72" t="s">
        <v>5</v>
      </c>
      <c r="I3" s="72" t="s">
        <v>6</v>
      </c>
      <c r="J3" s="72" t="s">
        <v>7</v>
      </c>
      <c r="K3" s="72" t="s">
        <v>562</v>
      </c>
      <c r="L3" s="72" t="s">
        <v>563</v>
      </c>
      <c r="M3" s="72" t="s">
        <v>8</v>
      </c>
      <c r="N3" s="72" t="s">
        <v>9</v>
      </c>
      <c r="O3" s="281"/>
      <c r="P3" s="281"/>
      <c r="Q3" s="72" t="s">
        <v>53</v>
      </c>
      <c r="R3" s="72" t="s">
        <v>54</v>
      </c>
      <c r="S3" s="281"/>
      <c r="T3" s="249"/>
      <c r="U3" s="249"/>
      <c r="V3" s="234"/>
      <c r="W3" s="234" t="s">
        <v>44</v>
      </c>
      <c r="X3" s="234" t="s">
        <v>45</v>
      </c>
      <c r="Y3" s="234" t="s">
        <v>45</v>
      </c>
      <c r="Z3" s="234" t="s">
        <v>112</v>
      </c>
      <c r="AA3" s="234" t="s">
        <v>46</v>
      </c>
      <c r="AB3" s="238" t="s">
        <v>47</v>
      </c>
      <c r="AC3" s="238" t="s">
        <v>48</v>
      </c>
      <c r="AD3" s="276" t="s">
        <v>113</v>
      </c>
      <c r="AE3" s="276" t="s">
        <v>49</v>
      </c>
      <c r="AF3" s="281"/>
      <c r="AG3" s="249"/>
      <c r="AH3" s="249"/>
      <c r="AI3" s="234"/>
      <c r="AJ3" s="234" t="s">
        <v>44</v>
      </c>
      <c r="AK3" s="234" t="s">
        <v>45</v>
      </c>
      <c r="AL3" s="234" t="s">
        <v>45</v>
      </c>
      <c r="AM3" s="234" t="s">
        <v>112</v>
      </c>
      <c r="AN3" s="234" t="s">
        <v>46</v>
      </c>
      <c r="AO3" s="238" t="s">
        <v>47</v>
      </c>
      <c r="AP3" s="238" t="s">
        <v>48</v>
      </c>
      <c r="AQ3" s="276" t="s">
        <v>113</v>
      </c>
      <c r="AR3" s="278" t="s">
        <v>49</v>
      </c>
      <c r="AS3" s="280"/>
      <c r="AT3" s="234"/>
      <c r="AU3" s="234" t="s">
        <v>44</v>
      </c>
      <c r="AV3" s="234"/>
      <c r="AW3" s="234" t="s">
        <v>44</v>
      </c>
      <c r="AX3" s="234" t="s">
        <v>45</v>
      </c>
      <c r="AY3" s="234" t="s">
        <v>45</v>
      </c>
      <c r="AZ3" s="234" t="s">
        <v>112</v>
      </c>
      <c r="BA3" s="234" t="s">
        <v>46</v>
      </c>
      <c r="BB3" s="238" t="s">
        <v>47</v>
      </c>
      <c r="BC3" s="238" t="s">
        <v>48</v>
      </c>
      <c r="BD3" s="276" t="s">
        <v>113</v>
      </c>
      <c r="BE3" s="276" t="s">
        <v>49</v>
      </c>
      <c r="BF3" s="234"/>
      <c r="BG3" s="234" t="s">
        <v>44</v>
      </c>
      <c r="BH3" s="234" t="s">
        <v>45</v>
      </c>
      <c r="BI3" s="234" t="s">
        <v>45</v>
      </c>
      <c r="BJ3" s="234" t="s">
        <v>112</v>
      </c>
      <c r="BK3" s="234" t="s">
        <v>46</v>
      </c>
      <c r="BL3" s="238" t="s">
        <v>47</v>
      </c>
      <c r="BM3" s="238" t="s">
        <v>48</v>
      </c>
      <c r="BN3" s="276" t="s">
        <v>113</v>
      </c>
      <c r="BO3" s="276" t="s">
        <v>49</v>
      </c>
      <c r="BP3" s="294"/>
      <c r="BQ3" s="315"/>
      <c r="BR3" s="204" t="s">
        <v>1284</v>
      </c>
      <c r="BS3" s="205" t="s">
        <v>1299</v>
      </c>
      <c r="BT3" s="204" t="s">
        <v>1284</v>
      </c>
      <c r="BU3" s="205" t="s">
        <v>1299</v>
      </c>
      <c r="BV3" s="204" t="s">
        <v>1284</v>
      </c>
      <c r="BW3" s="205" t="s">
        <v>1299</v>
      </c>
      <c r="BX3" s="204" t="s">
        <v>1284</v>
      </c>
      <c r="BY3" s="205" t="s">
        <v>1299</v>
      </c>
      <c r="BZ3" s="204" t="s">
        <v>1284</v>
      </c>
      <c r="CA3" s="205" t="s">
        <v>1299</v>
      </c>
      <c r="CB3" s="123"/>
    </row>
    <row r="4" spans="1:79" ht="49.5" customHeight="1">
      <c r="A4" s="4">
        <v>1</v>
      </c>
      <c r="B4" s="4" t="s">
        <v>119</v>
      </c>
      <c r="C4" s="4" t="s">
        <v>19</v>
      </c>
      <c r="D4" s="4">
        <v>2</v>
      </c>
      <c r="E4" s="4" t="s">
        <v>422</v>
      </c>
      <c r="F4" s="4" t="s">
        <v>166</v>
      </c>
      <c r="G4" s="4" t="s">
        <v>328</v>
      </c>
      <c r="H4" s="4" t="s">
        <v>227</v>
      </c>
      <c r="I4" s="17" t="s">
        <v>544</v>
      </c>
      <c r="J4" s="25" t="s">
        <v>545</v>
      </c>
      <c r="K4" s="52">
        <v>43880</v>
      </c>
      <c r="L4" s="9" t="s">
        <v>10</v>
      </c>
      <c r="M4" s="9" t="s">
        <v>74</v>
      </c>
      <c r="N4" s="9">
        <v>2025</v>
      </c>
      <c r="O4" s="8" t="s">
        <v>51</v>
      </c>
      <c r="P4" s="8" t="s">
        <v>55</v>
      </c>
      <c r="Q4" s="8" t="s">
        <v>990</v>
      </c>
      <c r="R4" s="8" t="s">
        <v>991</v>
      </c>
      <c r="S4" s="4" t="s">
        <v>999</v>
      </c>
      <c r="T4" s="4">
        <v>26</v>
      </c>
      <c r="U4" s="96">
        <f>X4/T4</f>
        <v>0.018307692307692306</v>
      </c>
      <c r="V4" s="13">
        <f>(V5*X5+V6*X6)/(X5+X6)</f>
        <v>28.751260504201685</v>
      </c>
      <c r="W4" s="13">
        <f>(W5*X5+W6*X6)/(X5+X6)</f>
        <v>33.69117647058823</v>
      </c>
      <c r="X4" s="7">
        <f>AVERAGE(X5:X6)</f>
        <v>0.476</v>
      </c>
      <c r="Y4" s="8">
        <v>18</v>
      </c>
      <c r="Z4" s="13">
        <f>V4*X4*Y4*0.0036</f>
        <v>0.88682688</v>
      </c>
      <c r="AA4" s="13">
        <f>W4*X4*Y4*0.0036</f>
        <v>1.0391976</v>
      </c>
      <c r="AB4" s="8">
        <v>30</v>
      </c>
      <c r="AC4" s="8">
        <v>12</v>
      </c>
      <c r="AD4" s="13">
        <f>AVERAGE(AD5:AD6)</f>
        <v>319.2576768</v>
      </c>
      <c r="AE4" s="13">
        <f>AVERAGE(AE5:AE6)</f>
        <v>374.111136</v>
      </c>
      <c r="AF4" s="4" t="s">
        <v>999</v>
      </c>
      <c r="AG4" s="4">
        <v>26</v>
      </c>
      <c r="AH4" s="96">
        <f>AK4/AG4</f>
        <v>0.018307692307692306</v>
      </c>
      <c r="AI4" s="13">
        <f>(AI5*AK5+AI6*AK6)/(AK5+AK6)</f>
        <v>28.751260504201685</v>
      </c>
      <c r="AJ4" s="13">
        <f>(AJ5*AK5+AJ6*AK6)/(AK5+AK6)</f>
        <v>33.69117647058823</v>
      </c>
      <c r="AK4" s="7">
        <f>AVERAGE(AK5:AK6)</f>
        <v>0.476</v>
      </c>
      <c r="AL4" s="8">
        <v>18</v>
      </c>
      <c r="AM4" s="13">
        <f>AI4*AK4*AL4*0.0036</f>
        <v>0.88682688</v>
      </c>
      <c r="AN4" s="13">
        <f>AJ4*AK4*AL4*0.0036</f>
        <v>1.0391976</v>
      </c>
      <c r="AO4" s="8">
        <v>30</v>
      </c>
      <c r="AP4" s="8">
        <v>12</v>
      </c>
      <c r="AQ4" s="13">
        <f>AVERAGE(AQ5:AQ6)</f>
        <v>319.2576768</v>
      </c>
      <c r="AR4" s="80">
        <f>AVERAGE(AR5:AR6)</f>
        <v>374.111136</v>
      </c>
      <c r="AS4" s="134" t="s">
        <v>1142</v>
      </c>
      <c r="AT4" s="134">
        <v>90</v>
      </c>
      <c r="AU4" s="134">
        <v>90</v>
      </c>
      <c r="AV4" s="13">
        <f>(V4*X4+AI4*AK4)/(X4+AK4)</f>
        <v>28.751260504201685</v>
      </c>
      <c r="AW4" s="13">
        <f>(W4*X4+AJ4*AK4)/(X4+AK4)</f>
        <v>33.69117647058823</v>
      </c>
      <c r="AX4" s="49">
        <f>AVERAGE(X4,AK4)</f>
        <v>0.476</v>
      </c>
      <c r="AY4" s="76">
        <v>18</v>
      </c>
      <c r="AZ4" s="49">
        <f>AX4*AV4*AY4*0.0036</f>
        <v>0.88682688</v>
      </c>
      <c r="BA4" s="49">
        <f>AX4*AW4*AY4*0.0036</f>
        <v>1.0391976</v>
      </c>
      <c r="BB4" s="76">
        <v>30</v>
      </c>
      <c r="BC4" s="76">
        <v>12</v>
      </c>
      <c r="BD4" s="49">
        <f>AZ4*BB4*BC4</f>
        <v>319.2576768</v>
      </c>
      <c r="BE4" s="49">
        <f>BA4*BB4*BC4</f>
        <v>374.11113600000004</v>
      </c>
      <c r="BF4" s="76">
        <v>90</v>
      </c>
      <c r="BG4" s="76">
        <v>90</v>
      </c>
      <c r="BH4" s="125">
        <f>AX4</f>
        <v>0.476</v>
      </c>
      <c r="BI4" s="76">
        <v>18</v>
      </c>
      <c r="BJ4" s="180">
        <f>BH4*BF4*BI4*0.0036</f>
        <v>2.7760319999999994</v>
      </c>
      <c r="BK4" s="180">
        <f>BH4*BG4*BI4*0.0036</f>
        <v>2.7760319999999994</v>
      </c>
      <c r="BL4" s="130">
        <v>30</v>
      </c>
      <c r="BM4" s="130">
        <v>12</v>
      </c>
      <c r="BN4" s="142">
        <f>BJ4*BL4*BM4</f>
        <v>999.3715199999997</v>
      </c>
      <c r="BO4" s="142">
        <f>BK4*BL4*BM4</f>
        <v>999.3715199999997</v>
      </c>
      <c r="BP4" s="180">
        <f>AVERAGE(BD4,BN4)</f>
        <v>659.3145983999998</v>
      </c>
      <c r="BQ4" s="180">
        <f>AVERAGE(BE4,BO4)</f>
        <v>686.7413279999998</v>
      </c>
      <c r="BR4" s="207">
        <f>ROUNDUP(BN4,-1)</f>
        <v>1000</v>
      </c>
      <c r="BS4" s="207">
        <f>ROUNDUP(BO4,-1)</f>
        <v>1000</v>
      </c>
      <c r="BT4" s="207">
        <f>ROUNDUP(BP4,-1)</f>
        <v>660</v>
      </c>
      <c r="BU4" s="207">
        <f>ROUNDUP(BQ4,-1)</f>
        <v>690</v>
      </c>
      <c r="BV4" s="207">
        <f>ROUNDUP(BP4,-1)</f>
        <v>660</v>
      </c>
      <c r="BW4" s="207">
        <f>ROUNDUP(BQ4,-1)</f>
        <v>690</v>
      </c>
      <c r="BX4" s="207">
        <f>ROUNDUP(BP4,-1)</f>
        <v>660</v>
      </c>
      <c r="BY4" s="207">
        <f>ROUNDUP(BQ4,-1)</f>
        <v>690</v>
      </c>
      <c r="BZ4" s="207">
        <f>ROUNDUP(BP4,-1)</f>
        <v>660</v>
      </c>
      <c r="CA4" s="207">
        <f>ROUNDUP(BQ4,-1)</f>
        <v>690</v>
      </c>
    </row>
    <row r="5" spans="1:79" ht="49.5" customHeight="1" hidden="1">
      <c r="A5" s="4"/>
      <c r="B5" s="4"/>
      <c r="C5" s="4"/>
      <c r="D5" s="4"/>
      <c r="E5" s="4"/>
      <c r="F5" s="4"/>
      <c r="G5" s="11"/>
      <c r="H5" s="4"/>
      <c r="I5" s="9"/>
      <c r="J5" s="9"/>
      <c r="K5" s="9"/>
      <c r="L5" s="9"/>
      <c r="M5" s="9"/>
      <c r="N5" s="9"/>
      <c r="O5" s="8"/>
      <c r="P5" s="8"/>
      <c r="Q5" s="8"/>
      <c r="R5" s="8"/>
      <c r="S5" s="4" t="s">
        <v>495</v>
      </c>
      <c r="T5" s="4"/>
      <c r="U5" s="4"/>
      <c r="V5" s="8">
        <v>9.6</v>
      </c>
      <c r="W5" s="8">
        <v>22</v>
      </c>
      <c r="X5" s="7">
        <f>(0.58+0.51+0.49+0.21+0.32)/5</f>
        <v>0.422</v>
      </c>
      <c r="Y5" s="8">
        <v>18</v>
      </c>
      <c r="Z5" s="13">
        <f>X5*V5*Y5*0.0036</f>
        <v>0.26251776</v>
      </c>
      <c r="AA5" s="13">
        <f>X5*W5*Y5*0.0036</f>
        <v>0.6016031999999999</v>
      </c>
      <c r="AB5" s="8">
        <v>30</v>
      </c>
      <c r="AC5" s="8">
        <v>12</v>
      </c>
      <c r="AD5" s="13">
        <f>Z5*AB5*AC5</f>
        <v>94.5063936</v>
      </c>
      <c r="AE5" s="13">
        <f>AA5*AB5*AC5</f>
        <v>216.57715199999996</v>
      </c>
      <c r="AF5" s="4" t="s">
        <v>495</v>
      </c>
      <c r="AG5" s="4"/>
      <c r="AH5" s="4"/>
      <c r="AI5" s="8">
        <v>9.6</v>
      </c>
      <c r="AJ5" s="8">
        <v>22</v>
      </c>
      <c r="AK5" s="7">
        <f>(0.58+0.51+0.49+0.21+0.32)/5</f>
        <v>0.422</v>
      </c>
      <c r="AL5" s="8">
        <v>18</v>
      </c>
      <c r="AM5" s="13">
        <f>AK5*AI5*AL5*0.0036</f>
        <v>0.26251776</v>
      </c>
      <c r="AN5" s="13">
        <f>AK5*AJ5*AL5*0.0036</f>
        <v>0.6016031999999999</v>
      </c>
      <c r="AO5" s="8">
        <v>30</v>
      </c>
      <c r="AP5" s="8">
        <v>12</v>
      </c>
      <c r="AQ5" s="13">
        <f>AM5*AO5*AP5</f>
        <v>94.5063936</v>
      </c>
      <c r="AR5" s="80">
        <f>AN5*AO5*AP5</f>
        <v>216.57715199999996</v>
      </c>
      <c r="AS5" s="89"/>
      <c r="AT5" s="89"/>
      <c r="AU5" s="89"/>
      <c r="AV5" s="89"/>
      <c r="AW5" s="89"/>
      <c r="AX5" s="89"/>
      <c r="AY5" s="89"/>
      <c r="AZ5" s="89"/>
      <c r="BA5" s="89"/>
      <c r="BB5" s="89"/>
      <c r="BC5" s="89"/>
      <c r="BD5" s="89"/>
      <c r="BE5" s="89"/>
      <c r="BF5" s="89"/>
      <c r="BG5" s="89"/>
      <c r="BH5" s="89"/>
      <c r="BI5" s="89"/>
      <c r="BJ5" s="206"/>
      <c r="BK5" s="206"/>
      <c r="BL5" s="89"/>
      <c r="BM5" s="89"/>
      <c r="BN5" s="89"/>
      <c r="BO5" s="89"/>
      <c r="BP5" s="180"/>
      <c r="BQ5" s="180"/>
      <c r="BR5" s="207"/>
      <c r="BS5" s="207"/>
      <c r="BT5" s="207"/>
      <c r="BU5" s="207"/>
      <c r="BV5" s="207"/>
      <c r="BW5" s="207"/>
      <c r="BX5" s="207"/>
      <c r="BY5" s="207"/>
      <c r="BZ5" s="207"/>
      <c r="CA5" s="207"/>
    </row>
    <row r="6" spans="1:79" ht="49.5" customHeight="1" hidden="1">
      <c r="A6" s="4"/>
      <c r="B6" s="4"/>
      <c r="C6" s="4"/>
      <c r="D6" s="4"/>
      <c r="E6" s="4"/>
      <c r="F6" s="4"/>
      <c r="G6" s="11"/>
      <c r="H6" s="4"/>
      <c r="I6" s="9"/>
      <c r="J6" s="9"/>
      <c r="K6" s="9"/>
      <c r="L6" s="9"/>
      <c r="M6" s="9"/>
      <c r="N6" s="9"/>
      <c r="O6" s="8"/>
      <c r="P6" s="8"/>
      <c r="Q6" s="8"/>
      <c r="R6" s="8"/>
      <c r="S6" s="4" t="s">
        <v>505</v>
      </c>
      <c r="T6" s="4"/>
      <c r="U6" s="4"/>
      <c r="V6" s="8">
        <v>44</v>
      </c>
      <c r="W6" s="8">
        <v>43</v>
      </c>
      <c r="X6" s="7">
        <v>0.53</v>
      </c>
      <c r="Y6" s="8">
        <v>18</v>
      </c>
      <c r="Z6" s="13">
        <f>X6*V6*Y6*0.0036</f>
        <v>1.511136</v>
      </c>
      <c r="AA6" s="13">
        <f>X6*W6*Y6*0.0036</f>
        <v>1.476792</v>
      </c>
      <c r="AB6" s="8">
        <v>30</v>
      </c>
      <c r="AC6" s="8">
        <v>12</v>
      </c>
      <c r="AD6" s="13">
        <f>Z6*AB6*AC6</f>
        <v>544.00896</v>
      </c>
      <c r="AE6" s="13">
        <f>AA6*AB6*AC6</f>
        <v>531.64512</v>
      </c>
      <c r="AF6" s="4" t="s">
        <v>505</v>
      </c>
      <c r="AG6" s="4"/>
      <c r="AH6" s="4"/>
      <c r="AI6" s="8">
        <v>44</v>
      </c>
      <c r="AJ6" s="8">
        <v>43</v>
      </c>
      <c r="AK6" s="7">
        <v>0.53</v>
      </c>
      <c r="AL6" s="8">
        <v>18</v>
      </c>
      <c r="AM6" s="13">
        <f>AK6*AI6*AL6*0.0036</f>
        <v>1.511136</v>
      </c>
      <c r="AN6" s="13">
        <f>AK6*AJ6*AL6*0.0036</f>
        <v>1.476792</v>
      </c>
      <c r="AO6" s="8">
        <v>30</v>
      </c>
      <c r="AP6" s="8">
        <v>12</v>
      </c>
      <c r="AQ6" s="13">
        <f>AM6*AO6*AP6</f>
        <v>544.00896</v>
      </c>
      <c r="AR6" s="80">
        <f aca="true" t="shared" si="0" ref="AR6:AR49">AN6*AO6*AP6</f>
        <v>531.64512</v>
      </c>
      <c r="AS6" s="89"/>
      <c r="AT6" s="89"/>
      <c r="AU6" s="89"/>
      <c r="AV6" s="89"/>
      <c r="AW6" s="89"/>
      <c r="AX6" s="89"/>
      <c r="AY6" s="89"/>
      <c r="AZ6" s="89"/>
      <c r="BA6" s="89"/>
      <c r="BB6" s="89"/>
      <c r="BC6" s="89"/>
      <c r="BD6" s="89"/>
      <c r="BE6" s="89"/>
      <c r="BF6" s="89"/>
      <c r="BG6" s="89"/>
      <c r="BH6" s="89"/>
      <c r="BI6" s="89"/>
      <c r="BJ6" s="206"/>
      <c r="BK6" s="206"/>
      <c r="BL6" s="89"/>
      <c r="BM6" s="89"/>
      <c r="BN6" s="89"/>
      <c r="BO6" s="89"/>
      <c r="BP6" s="180"/>
      <c r="BQ6" s="180"/>
      <c r="BR6" s="207"/>
      <c r="BS6" s="207"/>
      <c r="BT6" s="207"/>
      <c r="BU6" s="207"/>
      <c r="BV6" s="207"/>
      <c r="BW6" s="207"/>
      <c r="BX6" s="207"/>
      <c r="BY6" s="207"/>
      <c r="BZ6" s="207"/>
      <c r="CA6" s="207"/>
    </row>
    <row r="7" spans="1:79" ht="49.5" customHeight="1">
      <c r="A7" s="4">
        <v>2</v>
      </c>
      <c r="B7" s="4" t="s">
        <v>119</v>
      </c>
      <c r="C7" s="4" t="s">
        <v>19</v>
      </c>
      <c r="D7" s="4">
        <v>2</v>
      </c>
      <c r="E7" s="4" t="s">
        <v>421</v>
      </c>
      <c r="F7" s="4" t="s">
        <v>512</v>
      </c>
      <c r="G7" s="4" t="s">
        <v>487</v>
      </c>
      <c r="H7" s="4" t="s">
        <v>227</v>
      </c>
      <c r="I7" s="17" t="s">
        <v>542</v>
      </c>
      <c r="J7" s="25">
        <v>44047</v>
      </c>
      <c r="K7" s="53">
        <v>44081</v>
      </c>
      <c r="L7" s="9" t="s">
        <v>10</v>
      </c>
      <c r="M7" s="9" t="s">
        <v>74</v>
      </c>
      <c r="N7" s="9">
        <v>2026</v>
      </c>
      <c r="O7" s="8" t="s">
        <v>51</v>
      </c>
      <c r="P7" s="8" t="s">
        <v>55</v>
      </c>
      <c r="Q7" s="8" t="s">
        <v>695</v>
      </c>
      <c r="R7" s="8" t="s">
        <v>817</v>
      </c>
      <c r="S7" s="4" t="s">
        <v>1137</v>
      </c>
      <c r="T7" s="4">
        <v>13</v>
      </c>
      <c r="U7" s="96"/>
      <c r="V7" s="158">
        <f>'Estandarizaciónparámetros SS-SS'!$C$38</f>
        <v>35</v>
      </c>
      <c r="W7" s="158">
        <f>'Estandarizaciónparámetros SS-SS'!$C$70</f>
        <v>19</v>
      </c>
      <c r="X7" s="112">
        <f>T7*'Estandarizaciónparámetros SS-SS'!$C$3</f>
        <v>0.15</v>
      </c>
      <c r="Y7" s="8">
        <v>18</v>
      </c>
      <c r="Z7" s="13">
        <f>(50*13*4/1000)</f>
        <v>2.6</v>
      </c>
      <c r="AA7" s="13">
        <f>(50*13*4/1000)</f>
        <v>2.6</v>
      </c>
      <c r="AB7" s="8">
        <v>30</v>
      </c>
      <c r="AC7" s="8">
        <v>12</v>
      </c>
      <c r="AD7" s="13">
        <f>Z7*AB7*AC7</f>
        <v>936</v>
      </c>
      <c r="AE7" s="13">
        <f>AA7*AB7*AC7</f>
        <v>936</v>
      </c>
      <c r="AF7" s="4" t="s">
        <v>1022</v>
      </c>
      <c r="AG7" s="4">
        <v>13</v>
      </c>
      <c r="AH7" s="96">
        <f>AK7/AG7</f>
        <v>0.04</v>
      </c>
      <c r="AI7" s="8">
        <v>60</v>
      </c>
      <c r="AJ7" s="8">
        <v>88</v>
      </c>
      <c r="AK7" s="8">
        <v>0.52</v>
      </c>
      <c r="AL7" s="8">
        <v>18</v>
      </c>
      <c r="AM7" s="13">
        <f>AK7*AI7*AL7*0.0036</f>
        <v>2.02176</v>
      </c>
      <c r="AN7" s="13">
        <f>AK7*AJ7*AL7*0.0036</f>
        <v>2.9652480000000003</v>
      </c>
      <c r="AO7" s="8">
        <v>30</v>
      </c>
      <c r="AP7" s="8">
        <v>12</v>
      </c>
      <c r="AQ7" s="13">
        <f>AM7*AO7*AP7</f>
        <v>727.8335999999999</v>
      </c>
      <c r="AR7" s="80">
        <f>AN7*AO7*AP7</f>
        <v>1067.48928</v>
      </c>
      <c r="AS7" s="134" t="s">
        <v>1142</v>
      </c>
      <c r="AT7" s="134">
        <v>90</v>
      </c>
      <c r="AU7" s="134">
        <v>90</v>
      </c>
      <c r="AV7" s="13">
        <f>(V7*X7+AI7*AK7)/(X7+AK7)</f>
        <v>54.40298507462687</v>
      </c>
      <c r="AW7" s="13">
        <f>(W7*X7+AJ7*AK7)/(X7+AK7)</f>
        <v>72.55223880597015</v>
      </c>
      <c r="AX7" s="125">
        <f>AVERAGE(X7,AK7)</f>
        <v>0.335</v>
      </c>
      <c r="AY7" s="130">
        <v>18</v>
      </c>
      <c r="AZ7" s="125">
        <f>AX7*AV7*AY7*0.0036</f>
        <v>1.18098</v>
      </c>
      <c r="BA7" s="125">
        <f>AX7*AW7*AY7*0.0036</f>
        <v>1.574964</v>
      </c>
      <c r="BB7" s="130">
        <v>30</v>
      </c>
      <c r="BC7" s="130">
        <v>12</v>
      </c>
      <c r="BD7" s="125">
        <f>AZ7*BB7*BC7</f>
        <v>425.1528</v>
      </c>
      <c r="BE7" s="125">
        <f>BA7*BB7*BC7</f>
        <v>566.98704</v>
      </c>
      <c r="BF7" s="130">
        <v>90</v>
      </c>
      <c r="BG7" s="130">
        <v>90</v>
      </c>
      <c r="BH7" s="125">
        <f>AX7</f>
        <v>0.335</v>
      </c>
      <c r="BI7" s="130">
        <v>18</v>
      </c>
      <c r="BJ7" s="180">
        <f>BH7*BF7*BI7*0.0036</f>
        <v>1.9537200000000001</v>
      </c>
      <c r="BK7" s="180">
        <f>BH7*BG7*BI7*0.0036</f>
        <v>1.9537200000000001</v>
      </c>
      <c r="BL7" s="130">
        <v>30</v>
      </c>
      <c r="BM7" s="130">
        <v>12</v>
      </c>
      <c r="BN7" s="142">
        <f>BJ7*BL7*BM7</f>
        <v>703.3392</v>
      </c>
      <c r="BO7" s="142">
        <f>BK7*BL7*BM7</f>
        <v>703.3392</v>
      </c>
      <c r="BP7" s="180">
        <f aca="true" t="shared" si="1" ref="BP7:BP49">AVERAGE(BD7,BN7)</f>
        <v>564.246</v>
      </c>
      <c r="BQ7" s="180">
        <f aca="true" t="shared" si="2" ref="BQ7:BQ49">AVERAGE(BE7,BO7)</f>
        <v>635.1631199999999</v>
      </c>
      <c r="BR7" s="207">
        <f aca="true" t="shared" si="3" ref="BR7:BU8">ROUNDUP(BN7,-1)</f>
        <v>710</v>
      </c>
      <c r="BS7" s="207">
        <f t="shared" si="3"/>
        <v>710</v>
      </c>
      <c r="BT7" s="207">
        <f t="shared" si="3"/>
        <v>570</v>
      </c>
      <c r="BU7" s="207">
        <f t="shared" si="3"/>
        <v>640</v>
      </c>
      <c r="BV7" s="207">
        <f>ROUNDUP(BP7,-1)</f>
        <v>570</v>
      </c>
      <c r="BW7" s="207">
        <f>ROUNDUP(BQ7,-1)</f>
        <v>640</v>
      </c>
      <c r="BX7" s="207">
        <f>ROUNDUP(BP7,-1)</f>
        <v>570</v>
      </c>
      <c r="BY7" s="207">
        <f>ROUNDUP(BQ7,-1)</f>
        <v>640</v>
      </c>
      <c r="BZ7" s="207">
        <f>ROUNDUP(BP7,-1)</f>
        <v>570</v>
      </c>
      <c r="CA7" s="207">
        <f>ROUNDUP(BQ7,-1)</f>
        <v>640</v>
      </c>
    </row>
    <row r="8" spans="1:79" ht="49.5" customHeight="1">
      <c r="A8" s="4">
        <v>3</v>
      </c>
      <c r="B8" s="4" t="s">
        <v>119</v>
      </c>
      <c r="C8" s="4" t="s">
        <v>19</v>
      </c>
      <c r="D8" s="4">
        <v>2</v>
      </c>
      <c r="E8" s="4" t="s">
        <v>420</v>
      </c>
      <c r="F8" s="4" t="s">
        <v>382</v>
      </c>
      <c r="G8" s="11" t="s">
        <v>21</v>
      </c>
      <c r="H8" s="4" t="s">
        <v>11</v>
      </c>
      <c r="I8" s="9" t="s">
        <v>67</v>
      </c>
      <c r="J8" s="9" t="s">
        <v>67</v>
      </c>
      <c r="K8" s="9" t="s">
        <v>67</v>
      </c>
      <c r="L8" s="9" t="s">
        <v>67</v>
      </c>
      <c r="M8" s="9" t="s">
        <v>67</v>
      </c>
      <c r="N8" s="9" t="s">
        <v>67</v>
      </c>
      <c r="O8" s="8" t="s">
        <v>51</v>
      </c>
      <c r="P8" s="8" t="s">
        <v>55</v>
      </c>
      <c r="Q8" s="8" t="s">
        <v>696</v>
      </c>
      <c r="R8" s="8" t="s">
        <v>818</v>
      </c>
      <c r="S8" s="4" t="s">
        <v>1184</v>
      </c>
      <c r="T8" s="4">
        <v>26</v>
      </c>
      <c r="U8" s="96">
        <f>X8/T8</f>
        <v>0.016097285067873304</v>
      </c>
      <c r="V8" s="31">
        <f>(V9*X9+V10*X10)/(X9+X10)</f>
        <v>24.289880534082922</v>
      </c>
      <c r="W8" s="31">
        <f>(W9*X9+W10*X10)/(X9+X10)</f>
        <v>8.225579761068165</v>
      </c>
      <c r="X8" s="7">
        <f>AVERAGE(X9:X10)</f>
        <v>0.4185294117647059</v>
      </c>
      <c r="Y8" s="8">
        <v>18</v>
      </c>
      <c r="Z8" s="7"/>
      <c r="AA8" s="7"/>
      <c r="AB8" s="8"/>
      <c r="AC8" s="8"/>
      <c r="AD8" s="13">
        <f>AVERAGE(AD9:AD10)</f>
        <v>237.15313411764703</v>
      </c>
      <c r="AE8" s="13">
        <f>AVERAGE(AE9:AE10)</f>
        <v>80.3100705882353</v>
      </c>
      <c r="AF8" s="4" t="s">
        <v>1023</v>
      </c>
      <c r="AG8" s="4">
        <v>26</v>
      </c>
      <c r="AH8" s="96">
        <f>AK8/AG8</f>
        <v>0.012307692307692308</v>
      </c>
      <c r="AI8" s="8">
        <v>88</v>
      </c>
      <c r="AJ8" s="8">
        <v>19</v>
      </c>
      <c r="AK8" s="8">
        <v>0.32</v>
      </c>
      <c r="AL8" s="8">
        <v>18</v>
      </c>
      <c r="AM8" s="13">
        <f>AK8*AI8*AL8*0.0036</f>
        <v>1.824768</v>
      </c>
      <c r="AN8" s="13">
        <f>AK8*AJ8*AL8*0.0036</f>
        <v>0.393984</v>
      </c>
      <c r="AO8" s="8">
        <v>30</v>
      </c>
      <c r="AP8" s="8">
        <v>12</v>
      </c>
      <c r="AQ8" s="13">
        <f>AM8*AO8*AP8</f>
        <v>656.91648</v>
      </c>
      <c r="AR8" s="80">
        <f>AN8*AO8*AP8</f>
        <v>141.83424000000002</v>
      </c>
      <c r="AS8" s="139"/>
      <c r="AT8" s="139"/>
      <c r="AU8" s="139"/>
      <c r="AV8" s="13">
        <f>(V8*X8+AI8*AK8)/(X8+AK8)</f>
        <v>51.89506172839506</v>
      </c>
      <c r="AW8" s="13">
        <f>(W8*X8+AJ8*AK8)/(X8+AK8)</f>
        <v>12.894066109119873</v>
      </c>
      <c r="AX8" s="125">
        <f>AVERAGE(X8,AK8)</f>
        <v>0.36926470588235294</v>
      </c>
      <c r="AY8" s="130">
        <v>18</v>
      </c>
      <c r="AZ8" s="125">
        <f>AX8*AV8*AY8*0.0036</f>
        <v>1.2417633529411765</v>
      </c>
      <c r="BA8" s="125">
        <f>AX8*AW8*AY8*0.0036</f>
        <v>0.3085337647058824</v>
      </c>
      <c r="BB8" s="130">
        <v>30</v>
      </c>
      <c r="BC8" s="130">
        <v>12</v>
      </c>
      <c r="BD8" s="125">
        <f>AZ8*BB8*BC8</f>
        <v>447.0348070588235</v>
      </c>
      <c r="BE8" s="125">
        <f>BA8*BB8*BC8</f>
        <v>111.07215529411766</v>
      </c>
      <c r="BF8" s="198">
        <v>90</v>
      </c>
      <c r="BG8" s="198">
        <v>90</v>
      </c>
      <c r="BH8" s="125">
        <f>AX8</f>
        <v>0.36926470588235294</v>
      </c>
      <c r="BI8" s="130">
        <v>18</v>
      </c>
      <c r="BJ8" s="180">
        <f>BH8*BF8*BI8*0.0036</f>
        <v>2.1535517647058824</v>
      </c>
      <c r="BK8" s="180">
        <f>BH8*BG8*BI8*0.0036</f>
        <v>2.1535517647058824</v>
      </c>
      <c r="BL8" s="130">
        <v>30</v>
      </c>
      <c r="BM8" s="130">
        <v>12</v>
      </c>
      <c r="BN8" s="142">
        <f>BJ8*BL8*BM8</f>
        <v>775.2786352941177</v>
      </c>
      <c r="BO8" s="142">
        <f>BK8*BL8*BM8</f>
        <v>775.2786352941177</v>
      </c>
      <c r="BP8" s="180">
        <f t="shared" si="1"/>
        <v>611.1567211764707</v>
      </c>
      <c r="BQ8" s="180">
        <f t="shared" si="2"/>
        <v>443.1753952941177</v>
      </c>
      <c r="BR8" s="207">
        <f t="shared" si="3"/>
        <v>780</v>
      </c>
      <c r="BS8" s="207">
        <f t="shared" si="3"/>
        <v>780</v>
      </c>
      <c r="BT8" s="207">
        <f t="shared" si="3"/>
        <v>620</v>
      </c>
      <c r="BU8" s="207">
        <f t="shared" si="3"/>
        <v>450</v>
      </c>
      <c r="BV8" s="207">
        <f>ROUNDUP(BP8,-1)</f>
        <v>620</v>
      </c>
      <c r="BW8" s="207">
        <f>ROUNDUP(BQ8,-1)</f>
        <v>450</v>
      </c>
      <c r="BX8" s="207">
        <f>ROUNDUP(BP8,-1)</f>
        <v>620</v>
      </c>
      <c r="BY8" s="207">
        <f>ROUNDUP(BQ8,-1)</f>
        <v>450</v>
      </c>
      <c r="BZ8" s="207">
        <f>ROUNDUP(BP8,-1)</f>
        <v>620</v>
      </c>
      <c r="CA8" s="207">
        <f>ROUNDUP(BQ8,-1)</f>
        <v>450</v>
      </c>
    </row>
    <row r="9" spans="1:79" ht="49.5" customHeight="1" hidden="1">
      <c r="A9" s="4"/>
      <c r="B9" s="4"/>
      <c r="C9" s="4"/>
      <c r="D9" s="4"/>
      <c r="E9" s="4"/>
      <c r="F9" s="4"/>
      <c r="G9" s="11"/>
      <c r="H9" s="4"/>
      <c r="I9" s="9"/>
      <c r="J9" s="9"/>
      <c r="K9" s="9"/>
      <c r="L9" s="9"/>
      <c r="M9" s="9"/>
      <c r="N9" s="9"/>
      <c r="O9" s="8"/>
      <c r="P9" s="8"/>
      <c r="Q9" s="8"/>
      <c r="R9" s="8"/>
      <c r="S9" s="4" t="s">
        <v>1185</v>
      </c>
      <c r="T9" s="4"/>
      <c r="U9" s="4"/>
      <c r="V9" s="8">
        <v>29.7</v>
      </c>
      <c r="W9" s="8">
        <v>11</v>
      </c>
      <c r="X9" s="7">
        <f>(0.36+0.38+0.38+0.47+0.66)/5</f>
        <v>0.45</v>
      </c>
      <c r="Y9" s="8">
        <v>18</v>
      </c>
      <c r="Z9" s="7">
        <f>X9*V9*Y9*0.0036</f>
        <v>0.8660519999999999</v>
      </c>
      <c r="AA9" s="7">
        <f>X9*W9*Y9*0.0036</f>
        <v>0.32076000000000005</v>
      </c>
      <c r="AB9" s="8">
        <v>30</v>
      </c>
      <c r="AC9" s="8">
        <v>12</v>
      </c>
      <c r="AD9" s="13">
        <f>Z9*AB9*AC9</f>
        <v>311.77871999999996</v>
      </c>
      <c r="AE9" s="13">
        <f>AA9*AB9*AC9</f>
        <v>115.47360000000002</v>
      </c>
      <c r="AF9" s="4"/>
      <c r="AG9" s="4"/>
      <c r="AH9" s="4"/>
      <c r="AI9" s="8"/>
      <c r="AJ9" s="8"/>
      <c r="AK9" s="8"/>
      <c r="AL9" s="8"/>
      <c r="AM9" s="13"/>
      <c r="AN9" s="13"/>
      <c r="AO9" s="8"/>
      <c r="AP9" s="8"/>
      <c r="AQ9" s="13"/>
      <c r="AR9" s="80"/>
      <c r="AS9" s="89"/>
      <c r="AT9" s="89"/>
      <c r="AU9" s="89"/>
      <c r="AV9" s="89"/>
      <c r="AW9" s="89"/>
      <c r="AX9" s="89"/>
      <c r="AY9" s="89"/>
      <c r="AZ9" s="89"/>
      <c r="BA9" s="89"/>
      <c r="BB9" s="89"/>
      <c r="BC9" s="89"/>
      <c r="BD9" s="89"/>
      <c r="BE9" s="89"/>
      <c r="BF9" s="89"/>
      <c r="BG9" s="89"/>
      <c r="BH9" s="89"/>
      <c r="BI9" s="89"/>
      <c r="BJ9" s="206"/>
      <c r="BK9" s="206"/>
      <c r="BL9" s="89"/>
      <c r="BM9" s="89"/>
      <c r="BN9" s="89"/>
      <c r="BO9" s="89"/>
      <c r="BP9" s="180"/>
      <c r="BQ9" s="180"/>
      <c r="BR9" s="207"/>
      <c r="BS9" s="207"/>
      <c r="BT9" s="207"/>
      <c r="BU9" s="207"/>
      <c r="BV9" s="207"/>
      <c r="BW9" s="207"/>
      <c r="BX9" s="207"/>
      <c r="BY9" s="207"/>
      <c r="BZ9" s="207"/>
      <c r="CA9" s="207"/>
    </row>
    <row r="10" spans="1:79" ht="49.5" customHeight="1" hidden="1">
      <c r="A10" s="4"/>
      <c r="B10" s="4"/>
      <c r="C10" s="4"/>
      <c r="D10" s="4"/>
      <c r="E10" s="4"/>
      <c r="F10" s="4"/>
      <c r="G10" s="11"/>
      <c r="H10" s="4"/>
      <c r="I10" s="9"/>
      <c r="J10" s="9"/>
      <c r="K10" s="9"/>
      <c r="L10" s="9"/>
      <c r="M10" s="9"/>
      <c r="N10" s="9"/>
      <c r="O10" s="8"/>
      <c r="P10" s="8"/>
      <c r="Q10" s="8"/>
      <c r="R10" s="8"/>
      <c r="S10" s="4" t="s">
        <v>1186</v>
      </c>
      <c r="T10" s="4"/>
      <c r="U10" s="4"/>
      <c r="V10" s="8">
        <v>18</v>
      </c>
      <c r="W10" s="8">
        <v>5</v>
      </c>
      <c r="X10" s="7">
        <f>(0.4+0.46+0.4+0.4+0.34+0.46+0.42+0.36+0.42+0.38+0.35+0.38+0.4+0.37+0.34+0.33+0.37)/17</f>
        <v>0.3870588235294118</v>
      </c>
      <c r="Y10" s="8">
        <v>18</v>
      </c>
      <c r="Z10" s="7">
        <f>X10*V10*Y10*0.0036</f>
        <v>0.4514654117647059</v>
      </c>
      <c r="AA10" s="7">
        <f>X10*W10*Y10*0.0036</f>
        <v>0.12540705882352943</v>
      </c>
      <c r="AB10" s="8">
        <v>30</v>
      </c>
      <c r="AC10" s="8">
        <v>12</v>
      </c>
      <c r="AD10" s="13">
        <f>Z10*AB10*AC10</f>
        <v>162.52754823529412</v>
      </c>
      <c r="AE10" s="13">
        <f>AA10*AB10*AC10</f>
        <v>45.14654117647059</v>
      </c>
      <c r="AF10" s="4"/>
      <c r="AG10" s="4"/>
      <c r="AH10" s="4"/>
      <c r="AI10" s="8"/>
      <c r="AJ10" s="8"/>
      <c r="AK10" s="8"/>
      <c r="AL10" s="8"/>
      <c r="AM10" s="13"/>
      <c r="AN10" s="13"/>
      <c r="AO10" s="8"/>
      <c r="AP10" s="8"/>
      <c r="AQ10" s="13"/>
      <c r="AR10" s="80"/>
      <c r="AS10" s="89"/>
      <c r="AT10" s="89"/>
      <c r="AU10" s="89"/>
      <c r="AV10" s="89"/>
      <c r="AW10" s="89"/>
      <c r="AX10" s="89"/>
      <c r="AY10" s="89"/>
      <c r="AZ10" s="89"/>
      <c r="BA10" s="89"/>
      <c r="BB10" s="89"/>
      <c r="BC10" s="89"/>
      <c r="BD10" s="89"/>
      <c r="BE10" s="89"/>
      <c r="BF10" s="89"/>
      <c r="BG10" s="89"/>
      <c r="BH10" s="89"/>
      <c r="BI10" s="89"/>
      <c r="BJ10" s="206"/>
      <c r="BK10" s="206"/>
      <c r="BL10" s="89"/>
      <c r="BM10" s="89"/>
      <c r="BN10" s="89"/>
      <c r="BO10" s="89"/>
      <c r="BP10" s="180"/>
      <c r="BQ10" s="180"/>
      <c r="BR10" s="207"/>
      <c r="BS10" s="207"/>
      <c r="BT10" s="207"/>
      <c r="BU10" s="207"/>
      <c r="BV10" s="207"/>
      <c r="BW10" s="207"/>
      <c r="BX10" s="207"/>
      <c r="BY10" s="207"/>
      <c r="BZ10" s="207"/>
      <c r="CA10" s="207"/>
    </row>
    <row r="11" spans="1:79" ht="49.5" customHeight="1">
      <c r="A11" s="4">
        <v>4</v>
      </c>
      <c r="B11" s="4" t="s">
        <v>119</v>
      </c>
      <c r="C11" s="4" t="s">
        <v>19</v>
      </c>
      <c r="D11" s="4">
        <v>2</v>
      </c>
      <c r="E11" s="4" t="s">
        <v>419</v>
      </c>
      <c r="F11" s="4" t="s">
        <v>167</v>
      </c>
      <c r="G11" s="4" t="s">
        <v>329</v>
      </c>
      <c r="H11" s="4" t="s">
        <v>486</v>
      </c>
      <c r="I11" s="17" t="s">
        <v>543</v>
      </c>
      <c r="J11" s="25" t="s">
        <v>546</v>
      </c>
      <c r="K11" s="53" t="s">
        <v>547</v>
      </c>
      <c r="L11" s="52" t="s">
        <v>548</v>
      </c>
      <c r="M11" s="9" t="s">
        <v>74</v>
      </c>
      <c r="N11" s="53">
        <v>45060</v>
      </c>
      <c r="O11" s="8" t="s">
        <v>51</v>
      </c>
      <c r="P11" s="8" t="s">
        <v>55</v>
      </c>
      <c r="Q11" s="8" t="s">
        <v>695</v>
      </c>
      <c r="R11" s="8" t="s">
        <v>817</v>
      </c>
      <c r="S11" s="4" t="s">
        <v>1187</v>
      </c>
      <c r="T11" s="4">
        <v>13</v>
      </c>
      <c r="U11" s="96">
        <f>X11/T11</f>
        <v>0.002076923076923077</v>
      </c>
      <c r="V11" s="8">
        <v>6</v>
      </c>
      <c r="W11" s="8">
        <v>5</v>
      </c>
      <c r="X11" s="7">
        <v>0.027</v>
      </c>
      <c r="Y11" s="8">
        <v>18</v>
      </c>
      <c r="Z11" s="7">
        <f>X11*V11*Y11*0.0036</f>
        <v>0.0104976</v>
      </c>
      <c r="AA11" s="7">
        <f>X11*W11*Y11*0.0036</f>
        <v>0.008748</v>
      </c>
      <c r="AB11" s="8">
        <v>30</v>
      </c>
      <c r="AC11" s="8">
        <v>12</v>
      </c>
      <c r="AD11" s="13">
        <f>Z11*AB11*AC11</f>
        <v>3.779136</v>
      </c>
      <c r="AE11" s="13">
        <f>AA11*AB11*AC11</f>
        <v>3.14928</v>
      </c>
      <c r="AF11" s="4" t="s">
        <v>1024</v>
      </c>
      <c r="AG11" s="4">
        <v>13</v>
      </c>
      <c r="AH11" s="96">
        <f>AK11/AG11</f>
        <v>0.006384615384615385</v>
      </c>
      <c r="AI11" s="8">
        <v>22</v>
      </c>
      <c r="AJ11" s="8">
        <v>10</v>
      </c>
      <c r="AK11" s="7">
        <v>0.083</v>
      </c>
      <c r="AL11" s="8">
        <v>18</v>
      </c>
      <c r="AM11" s="7">
        <f>AK11*AI11*AL11*0.0036</f>
        <v>0.11832480000000001</v>
      </c>
      <c r="AN11" s="7">
        <f>AK11*AJ11*AL11*0.0036</f>
        <v>0.053784000000000005</v>
      </c>
      <c r="AO11" s="8">
        <v>30</v>
      </c>
      <c r="AP11" s="8">
        <v>12</v>
      </c>
      <c r="AQ11" s="13">
        <f aca="true" t="shared" si="4" ref="AQ11:AQ17">AM11*AO11*AP11</f>
        <v>42.596928000000005</v>
      </c>
      <c r="AR11" s="80">
        <f t="shared" si="0"/>
        <v>19.36224</v>
      </c>
      <c r="AS11" s="134" t="s">
        <v>1142</v>
      </c>
      <c r="AT11" s="134">
        <v>90</v>
      </c>
      <c r="AU11" s="134">
        <v>90</v>
      </c>
      <c r="AV11" s="13">
        <f>(V11*X11+AI11*AK11)/(X11+AK11)</f>
        <v>18.072727272727274</v>
      </c>
      <c r="AW11" s="13">
        <f>(W11*X11+AJ11*AK11)/(X11+AK11)</f>
        <v>8.772727272727273</v>
      </c>
      <c r="AX11" s="125">
        <f>AVERAGE(X11,AK11)</f>
        <v>0.055</v>
      </c>
      <c r="AY11" s="130">
        <v>18</v>
      </c>
      <c r="AZ11" s="125">
        <f>AX11*AV11*AY11*0.0036</f>
        <v>0.06441120000000002</v>
      </c>
      <c r="BA11" s="125">
        <f>AX11*AW11*AY11*0.0036</f>
        <v>0.031266</v>
      </c>
      <c r="BB11" s="130">
        <v>30</v>
      </c>
      <c r="BC11" s="130">
        <v>12</v>
      </c>
      <c r="BD11" s="125">
        <f>AZ11*BB11*BC11</f>
        <v>23.188032000000007</v>
      </c>
      <c r="BE11" s="125">
        <f>BA11*BB11*BC11</f>
        <v>11.25576</v>
      </c>
      <c r="BF11" s="130">
        <v>90</v>
      </c>
      <c r="BG11" s="130">
        <v>90</v>
      </c>
      <c r="BH11" s="125">
        <f>AX11</f>
        <v>0.055</v>
      </c>
      <c r="BI11" s="130">
        <v>18</v>
      </c>
      <c r="BJ11" s="180">
        <f>BH11*BF11*BI11*0.0036</f>
        <v>0.32076000000000005</v>
      </c>
      <c r="BK11" s="180">
        <f>BH11*BG11*BI11*0.0036</f>
        <v>0.32076000000000005</v>
      </c>
      <c r="BL11" s="130">
        <v>30</v>
      </c>
      <c r="BM11" s="130">
        <v>12</v>
      </c>
      <c r="BN11" s="142">
        <f>BJ11*BL11*BM11</f>
        <v>115.47360000000002</v>
      </c>
      <c r="BO11" s="142">
        <f>BK11*BL11*BM11</f>
        <v>115.47360000000002</v>
      </c>
      <c r="BP11" s="180">
        <f t="shared" si="1"/>
        <v>69.33081600000001</v>
      </c>
      <c r="BQ11" s="180">
        <f t="shared" si="2"/>
        <v>63.36468000000001</v>
      </c>
      <c r="BR11" s="207">
        <f aca="true" t="shared" si="5" ref="BR11:BU13">ROUNDUP(BN11,-1)</f>
        <v>120</v>
      </c>
      <c r="BS11" s="207">
        <f t="shared" si="5"/>
        <v>120</v>
      </c>
      <c r="BT11" s="207">
        <f t="shared" si="5"/>
        <v>70</v>
      </c>
      <c r="BU11" s="207">
        <f t="shared" si="5"/>
        <v>70</v>
      </c>
      <c r="BV11" s="207">
        <f aca="true" t="shared" si="6" ref="BV11:BW13">ROUNDUP(BP11,-1)</f>
        <v>70</v>
      </c>
      <c r="BW11" s="207">
        <f t="shared" si="6"/>
        <v>70</v>
      </c>
      <c r="BX11" s="207">
        <f aca="true" t="shared" si="7" ref="BX11:BY13">ROUNDUP(BP11,-1)</f>
        <v>70</v>
      </c>
      <c r="BY11" s="207">
        <f t="shared" si="7"/>
        <v>70</v>
      </c>
      <c r="BZ11" s="207">
        <f aca="true" t="shared" si="8" ref="BZ11:CA13">ROUNDUP(BP11,-1)</f>
        <v>70</v>
      </c>
      <c r="CA11" s="207">
        <f t="shared" si="8"/>
        <v>70</v>
      </c>
    </row>
    <row r="12" spans="1:79" ht="49.5" customHeight="1">
      <c r="A12" s="4">
        <v>5</v>
      </c>
      <c r="B12" s="4" t="s">
        <v>119</v>
      </c>
      <c r="C12" s="4" t="s">
        <v>19</v>
      </c>
      <c r="D12" s="4">
        <v>2</v>
      </c>
      <c r="E12" s="4" t="s">
        <v>418</v>
      </c>
      <c r="F12" s="4" t="s">
        <v>168</v>
      </c>
      <c r="G12" s="4" t="s">
        <v>330</v>
      </c>
      <c r="H12" s="4" t="s">
        <v>486</v>
      </c>
      <c r="I12" s="17" t="s">
        <v>550</v>
      </c>
      <c r="J12" s="25">
        <v>43208</v>
      </c>
      <c r="K12" s="53" t="s">
        <v>549</v>
      </c>
      <c r="L12" s="54">
        <v>43290</v>
      </c>
      <c r="M12" s="9" t="s">
        <v>74</v>
      </c>
      <c r="N12" s="55">
        <v>45115</v>
      </c>
      <c r="O12" s="8" t="s">
        <v>51</v>
      </c>
      <c r="P12" s="8" t="s">
        <v>55</v>
      </c>
      <c r="Q12" s="8" t="s">
        <v>695</v>
      </c>
      <c r="R12" s="8" t="s">
        <v>817</v>
      </c>
      <c r="S12" s="4" t="s">
        <v>1188</v>
      </c>
      <c r="T12" s="4">
        <v>13</v>
      </c>
      <c r="U12" s="96">
        <f>X12/T12</f>
        <v>0.012923076923076924</v>
      </c>
      <c r="V12" s="8">
        <v>20</v>
      </c>
      <c r="W12" s="8">
        <v>13</v>
      </c>
      <c r="X12" s="7">
        <v>0.168</v>
      </c>
      <c r="Y12" s="8">
        <v>18</v>
      </c>
      <c r="Z12" s="7">
        <f>X12*V12*Y12*0.0036</f>
        <v>0.217728</v>
      </c>
      <c r="AA12" s="7">
        <f>X12*W12*Y12*0.0036</f>
        <v>0.14152320000000002</v>
      </c>
      <c r="AB12" s="8">
        <v>30</v>
      </c>
      <c r="AC12" s="8">
        <v>12</v>
      </c>
      <c r="AD12" s="13">
        <f>Z12*AB12*AC12</f>
        <v>78.38208</v>
      </c>
      <c r="AE12" s="13">
        <f>AA12*AB12*AC12</f>
        <v>50.94835200000001</v>
      </c>
      <c r="AF12" s="4" t="s">
        <v>1025</v>
      </c>
      <c r="AG12" s="4">
        <v>13</v>
      </c>
      <c r="AH12" s="96">
        <f>AK12/AG12</f>
        <v>0.021230769230769234</v>
      </c>
      <c r="AI12" s="8">
        <v>17</v>
      </c>
      <c r="AJ12" s="8">
        <v>12</v>
      </c>
      <c r="AK12" s="7">
        <v>0.276</v>
      </c>
      <c r="AL12" s="8">
        <v>18</v>
      </c>
      <c r="AM12" s="7">
        <f>AK12*AI12*AL12*0.0036</f>
        <v>0.3040416</v>
      </c>
      <c r="AN12" s="7">
        <f>AK12*AJ12*AL12*0.0036</f>
        <v>0.21461760000000002</v>
      </c>
      <c r="AO12" s="8">
        <v>30</v>
      </c>
      <c r="AP12" s="8">
        <v>12</v>
      </c>
      <c r="AQ12" s="13">
        <f t="shared" si="4"/>
        <v>109.45497600000002</v>
      </c>
      <c r="AR12" s="80">
        <f t="shared" si="0"/>
        <v>77.262336</v>
      </c>
      <c r="AS12" s="134" t="s">
        <v>1291</v>
      </c>
      <c r="AT12" s="134">
        <v>80</v>
      </c>
      <c r="AU12" s="134">
        <v>50</v>
      </c>
      <c r="AV12" s="13">
        <f>(V12*X12+AI12*AK12)/(X12+AK12)</f>
        <v>18.135135135135133</v>
      </c>
      <c r="AW12" s="13">
        <f>(W12*X12+AJ12*AK12)/(X12+AK12)</f>
        <v>12.378378378378377</v>
      </c>
      <c r="AX12" s="125">
        <f>AVERAGE(X12,AK12)</f>
        <v>0.22200000000000003</v>
      </c>
      <c r="AY12" s="130">
        <v>18</v>
      </c>
      <c r="AZ12" s="125">
        <f>AX12*AV12*AY12*0.0036</f>
        <v>0.2608848</v>
      </c>
      <c r="BA12" s="125">
        <f>AX12*AW12*AY12*0.0036</f>
        <v>0.17807040000000002</v>
      </c>
      <c r="BB12" s="130">
        <v>30</v>
      </c>
      <c r="BC12" s="130">
        <v>12</v>
      </c>
      <c r="BD12" s="125">
        <f>AZ12*BB12*BC12</f>
        <v>93.918528</v>
      </c>
      <c r="BE12" s="125">
        <f>BA12*BB12*BC12</f>
        <v>64.105344</v>
      </c>
      <c r="BF12" s="198">
        <v>80</v>
      </c>
      <c r="BG12" s="198">
        <v>50</v>
      </c>
      <c r="BH12" s="125">
        <f>AX12</f>
        <v>0.22200000000000003</v>
      </c>
      <c r="BI12" s="130">
        <v>18</v>
      </c>
      <c r="BJ12" s="180">
        <f>BH12*BF12*BI12*0.0036</f>
        <v>1.150848</v>
      </c>
      <c r="BK12" s="180">
        <f>BH12*BG12*BI12*0.0036</f>
        <v>0.71928</v>
      </c>
      <c r="BL12" s="130">
        <v>30</v>
      </c>
      <c r="BM12" s="130">
        <v>12</v>
      </c>
      <c r="BN12" s="142">
        <f>BJ12*BL12*BM12</f>
        <v>414.30528000000004</v>
      </c>
      <c r="BO12" s="142">
        <f>BK12*BL12*BM12</f>
        <v>258.9408</v>
      </c>
      <c r="BP12" s="180">
        <f t="shared" si="1"/>
        <v>254.111904</v>
      </c>
      <c r="BQ12" s="180">
        <f t="shared" si="2"/>
        <v>161.523072</v>
      </c>
      <c r="BR12" s="207">
        <f t="shared" si="5"/>
        <v>420</v>
      </c>
      <c r="BS12" s="207">
        <f t="shared" si="5"/>
        <v>260</v>
      </c>
      <c r="BT12" s="207">
        <f t="shared" si="5"/>
        <v>260</v>
      </c>
      <c r="BU12" s="207">
        <f t="shared" si="5"/>
        <v>170</v>
      </c>
      <c r="BV12" s="207">
        <f t="shared" si="6"/>
        <v>260</v>
      </c>
      <c r="BW12" s="207">
        <f t="shared" si="6"/>
        <v>170</v>
      </c>
      <c r="BX12" s="207">
        <f t="shared" si="7"/>
        <v>260</v>
      </c>
      <c r="BY12" s="207">
        <f t="shared" si="7"/>
        <v>170</v>
      </c>
      <c r="BZ12" s="207">
        <f t="shared" si="8"/>
        <v>260</v>
      </c>
      <c r="CA12" s="207">
        <f t="shared" si="8"/>
        <v>170</v>
      </c>
    </row>
    <row r="13" spans="1:79" ht="49.5" customHeight="1">
      <c r="A13" s="4">
        <v>6</v>
      </c>
      <c r="B13" s="4" t="s">
        <v>119</v>
      </c>
      <c r="C13" s="4" t="s">
        <v>19</v>
      </c>
      <c r="D13" s="4">
        <v>2</v>
      </c>
      <c r="E13" s="4" t="s">
        <v>417</v>
      </c>
      <c r="F13" s="4" t="s">
        <v>381</v>
      </c>
      <c r="G13" s="4" t="s">
        <v>331</v>
      </c>
      <c r="H13" s="4" t="s">
        <v>486</v>
      </c>
      <c r="I13" s="17" t="s">
        <v>551</v>
      </c>
      <c r="J13" s="9" t="s">
        <v>490</v>
      </c>
      <c r="K13" s="53" t="s">
        <v>552</v>
      </c>
      <c r="L13" s="56" t="s">
        <v>553</v>
      </c>
      <c r="M13" s="9" t="s">
        <v>74</v>
      </c>
      <c r="N13" s="55">
        <v>44993</v>
      </c>
      <c r="O13" s="8" t="s">
        <v>51</v>
      </c>
      <c r="P13" s="8" t="s">
        <v>55</v>
      </c>
      <c r="Q13" s="8" t="s">
        <v>697</v>
      </c>
      <c r="R13" s="8" t="s">
        <v>819</v>
      </c>
      <c r="S13" s="4" t="s">
        <v>999</v>
      </c>
      <c r="T13" s="4">
        <v>17</v>
      </c>
      <c r="U13" s="96">
        <f>X13/T13</f>
        <v>0.014294117647058823</v>
      </c>
      <c r="V13" s="13">
        <f>(V14*X14+V15*X15)/(X14+X15)</f>
        <v>62.76131687242798</v>
      </c>
      <c r="W13" s="13">
        <f>(W14*X14+W15*X15)/(X14+X15)</f>
        <v>37.94650205761316</v>
      </c>
      <c r="X13" s="7">
        <f>AVERAGE(X14:X15)</f>
        <v>0.243</v>
      </c>
      <c r="Y13" s="8">
        <v>18</v>
      </c>
      <c r="Z13" s="13">
        <f>V13*X13*Y13*0.0036</f>
        <v>0.9882647999999998</v>
      </c>
      <c r="AA13" s="13">
        <f>W13*X13*Y13*0.0036</f>
        <v>0.5975208</v>
      </c>
      <c r="AB13" s="8">
        <v>30</v>
      </c>
      <c r="AC13" s="8">
        <v>12</v>
      </c>
      <c r="AD13" s="13">
        <f>AVERAGE(AD14:AD15)</f>
        <v>355.77532799999994</v>
      </c>
      <c r="AE13" s="13">
        <f>AVERAGE(AE14:AE15)</f>
        <v>215.10748799999993</v>
      </c>
      <c r="AF13" s="4" t="s">
        <v>999</v>
      </c>
      <c r="AG13" s="4">
        <v>17</v>
      </c>
      <c r="AH13" s="96">
        <f>AK13/AG13</f>
        <v>0.014294117647058823</v>
      </c>
      <c r="AI13" s="13">
        <f>(AI14*AK14+AI15*AK15)/(AK14+AK15)</f>
        <v>62.76131687242798</v>
      </c>
      <c r="AJ13" s="13">
        <f>(AJ14*AK14+AJ15*AK15)/(AK14+AK15)</f>
        <v>37.94650205761316</v>
      </c>
      <c r="AK13" s="7">
        <f>AVERAGE(AK14:AK15)</f>
        <v>0.243</v>
      </c>
      <c r="AL13" s="8">
        <v>18</v>
      </c>
      <c r="AM13" s="13">
        <f>AI13*AK13*AL13*0.0036</f>
        <v>0.9882647999999998</v>
      </c>
      <c r="AN13" s="13">
        <f>AJ13*AK13*AL13*0.0036</f>
        <v>0.5975208</v>
      </c>
      <c r="AO13" s="8">
        <v>30</v>
      </c>
      <c r="AP13" s="8">
        <v>12</v>
      </c>
      <c r="AQ13" s="13">
        <f>AVERAGE(AQ14:AQ15)</f>
        <v>355.77532799999994</v>
      </c>
      <c r="AR13" s="80">
        <f>AVERAGE(AR14:AR15)</f>
        <v>215.10748799999993</v>
      </c>
      <c r="AS13" s="203" t="s">
        <v>1291</v>
      </c>
      <c r="AT13" s="134">
        <v>80</v>
      </c>
      <c r="AU13" s="134">
        <v>50</v>
      </c>
      <c r="AV13" s="13">
        <f>(V13*X13+AI13*AK13)/(X13+AK13)</f>
        <v>62.76131687242798</v>
      </c>
      <c r="AW13" s="13">
        <f>(W13*X13+AJ13*AK13)/(X13+AK13)</f>
        <v>37.94650205761316</v>
      </c>
      <c r="AX13" s="125">
        <f>AVERAGE(X13,AK13)</f>
        <v>0.243</v>
      </c>
      <c r="AY13" s="130">
        <v>18</v>
      </c>
      <c r="AZ13" s="125">
        <f>AX13*AV13*AY13*0.0036</f>
        <v>0.9882647999999998</v>
      </c>
      <c r="BA13" s="125">
        <f>AX13*AW13*AY13*0.0036</f>
        <v>0.5975208</v>
      </c>
      <c r="BB13" s="130">
        <v>30</v>
      </c>
      <c r="BC13" s="130">
        <v>12</v>
      </c>
      <c r="BD13" s="125">
        <f>AZ13*BB13*BC13</f>
        <v>355.77532799999994</v>
      </c>
      <c r="BE13" s="125">
        <f>BA13*BB13*BC13</f>
        <v>215.107488</v>
      </c>
      <c r="BF13" s="198">
        <v>80</v>
      </c>
      <c r="BG13" s="198">
        <v>50</v>
      </c>
      <c r="BH13" s="125">
        <f>AX13</f>
        <v>0.243</v>
      </c>
      <c r="BI13" s="130">
        <v>18</v>
      </c>
      <c r="BJ13" s="180">
        <f>BH13*BF13*BI13*0.0036</f>
        <v>1.2597119999999997</v>
      </c>
      <c r="BK13" s="180">
        <f>BH13*BG13*BI13*0.0036</f>
        <v>0.78732</v>
      </c>
      <c r="BL13" s="130">
        <v>30</v>
      </c>
      <c r="BM13" s="130">
        <v>12</v>
      </c>
      <c r="BN13" s="142">
        <f>BJ13*BL13*BM13</f>
        <v>453.49631999999986</v>
      </c>
      <c r="BO13" s="142">
        <f>BK13*BL13*BM13</f>
        <v>283.4352</v>
      </c>
      <c r="BP13" s="180">
        <f t="shared" si="1"/>
        <v>404.6358239999999</v>
      </c>
      <c r="BQ13" s="180">
        <f t="shared" si="2"/>
        <v>249.271344</v>
      </c>
      <c r="BR13" s="207">
        <f t="shared" si="5"/>
        <v>460</v>
      </c>
      <c r="BS13" s="207">
        <f t="shared" si="5"/>
        <v>290</v>
      </c>
      <c r="BT13" s="207">
        <f t="shared" si="5"/>
        <v>410</v>
      </c>
      <c r="BU13" s="207">
        <f t="shared" si="5"/>
        <v>250</v>
      </c>
      <c r="BV13" s="207">
        <f t="shared" si="6"/>
        <v>410</v>
      </c>
      <c r="BW13" s="207">
        <f t="shared" si="6"/>
        <v>250</v>
      </c>
      <c r="BX13" s="207">
        <f t="shared" si="7"/>
        <v>410</v>
      </c>
      <c r="BY13" s="207">
        <f t="shared" si="7"/>
        <v>250</v>
      </c>
      <c r="BZ13" s="207">
        <f t="shared" si="8"/>
        <v>410</v>
      </c>
      <c r="CA13" s="207">
        <f t="shared" si="8"/>
        <v>250</v>
      </c>
    </row>
    <row r="14" spans="1:79" ht="49.5" customHeight="1" hidden="1">
      <c r="A14" s="4"/>
      <c r="B14" s="4"/>
      <c r="C14" s="4"/>
      <c r="D14" s="4"/>
      <c r="E14" s="4"/>
      <c r="F14" s="4"/>
      <c r="G14" s="4"/>
      <c r="H14" s="4"/>
      <c r="I14" s="9"/>
      <c r="J14" s="9"/>
      <c r="K14" s="25"/>
      <c r="L14" s="9"/>
      <c r="M14" s="9"/>
      <c r="N14" s="9"/>
      <c r="O14" s="8"/>
      <c r="P14" s="8"/>
      <c r="Q14" s="8"/>
      <c r="R14" s="8"/>
      <c r="S14" s="4" t="s">
        <v>496</v>
      </c>
      <c r="T14" s="4"/>
      <c r="U14" s="4"/>
      <c r="V14" s="8">
        <v>61</v>
      </c>
      <c r="W14" s="8">
        <v>56</v>
      </c>
      <c r="X14" s="8">
        <f>(0.22+0.72+0.13+0.2+0.09)/5</f>
        <v>0.27199999999999996</v>
      </c>
      <c r="Y14" s="8">
        <v>18</v>
      </c>
      <c r="Z14" s="7">
        <f>X14*V14*Y14*0.0036</f>
        <v>1.0751615999999997</v>
      </c>
      <c r="AA14" s="7">
        <f>X14*W14*Y14*0.0036</f>
        <v>0.9870335999999997</v>
      </c>
      <c r="AB14" s="8">
        <v>30</v>
      </c>
      <c r="AC14" s="8">
        <v>12</v>
      </c>
      <c r="AD14" s="13">
        <f aca="true" t="shared" si="9" ref="AD14:AD32">Z14*AB14*AC14</f>
        <v>387.0581759999999</v>
      </c>
      <c r="AE14" s="13">
        <f aca="true" t="shared" si="10" ref="AE14:AE32">AA14*AB14*AC14</f>
        <v>355.33209599999986</v>
      </c>
      <c r="AF14" s="4" t="s">
        <v>496</v>
      </c>
      <c r="AG14" s="4"/>
      <c r="AH14" s="4"/>
      <c r="AI14" s="8">
        <v>61</v>
      </c>
      <c r="AJ14" s="8">
        <v>56</v>
      </c>
      <c r="AK14" s="8">
        <f>(0.22+0.72+0.13+0.2+0.09)/5</f>
        <v>0.27199999999999996</v>
      </c>
      <c r="AL14" s="8">
        <v>18</v>
      </c>
      <c r="AM14" s="7">
        <f>AK14*AI14*AL14*0.0036</f>
        <v>1.0751615999999997</v>
      </c>
      <c r="AN14" s="7">
        <f>AK14*AJ14*AL14*0.0036</f>
        <v>0.9870335999999997</v>
      </c>
      <c r="AO14" s="8">
        <v>30</v>
      </c>
      <c r="AP14" s="8">
        <v>12</v>
      </c>
      <c r="AQ14" s="13">
        <f>AM14*AO14*AP14</f>
        <v>387.0581759999999</v>
      </c>
      <c r="AR14" s="80">
        <f>AN14*AO14*AP14</f>
        <v>355.33209599999986</v>
      </c>
      <c r="AS14" s="89"/>
      <c r="AT14" s="89"/>
      <c r="AU14" s="89"/>
      <c r="AV14" s="89"/>
      <c r="AW14" s="89"/>
      <c r="AX14" s="89"/>
      <c r="AY14" s="89"/>
      <c r="AZ14" s="89"/>
      <c r="BA14" s="89"/>
      <c r="BB14" s="89"/>
      <c r="BC14" s="89"/>
      <c r="BD14" s="89"/>
      <c r="BE14" s="89"/>
      <c r="BF14" s="89"/>
      <c r="BG14" s="89"/>
      <c r="BH14" s="89"/>
      <c r="BI14" s="89"/>
      <c r="BJ14" s="206"/>
      <c r="BK14" s="206"/>
      <c r="BL14" s="89"/>
      <c r="BM14" s="89"/>
      <c r="BN14" s="89"/>
      <c r="BO14" s="89"/>
      <c r="BP14" s="180"/>
      <c r="BQ14" s="180"/>
      <c r="BR14" s="207"/>
      <c r="BS14" s="207"/>
      <c r="BT14" s="207"/>
      <c r="BU14" s="207"/>
      <c r="BV14" s="207"/>
      <c r="BW14" s="207"/>
      <c r="BX14" s="207"/>
      <c r="BY14" s="207"/>
      <c r="BZ14" s="207"/>
      <c r="CA14" s="207"/>
    </row>
    <row r="15" spans="1:79" ht="49.5" customHeight="1" hidden="1">
      <c r="A15" s="4"/>
      <c r="B15" s="4"/>
      <c r="C15" s="4"/>
      <c r="D15" s="4"/>
      <c r="E15" s="4"/>
      <c r="F15" s="4"/>
      <c r="G15" s="4"/>
      <c r="H15" s="4"/>
      <c r="I15" s="9"/>
      <c r="J15" s="9"/>
      <c r="K15" s="25"/>
      <c r="L15" s="9"/>
      <c r="M15" s="9"/>
      <c r="N15" s="9"/>
      <c r="O15" s="8"/>
      <c r="P15" s="8"/>
      <c r="Q15" s="8"/>
      <c r="R15" s="8"/>
      <c r="S15" s="4" t="s">
        <v>506</v>
      </c>
      <c r="T15" s="4"/>
      <c r="U15" s="4"/>
      <c r="V15" s="8">
        <v>65</v>
      </c>
      <c r="W15" s="8">
        <v>15</v>
      </c>
      <c r="X15" s="8">
        <v>0.214</v>
      </c>
      <c r="Y15" s="8">
        <v>18</v>
      </c>
      <c r="Z15" s="7">
        <f>X15*V15*Y15*0.0036</f>
        <v>0.901368</v>
      </c>
      <c r="AA15" s="7">
        <f>X15*W15*Y15*0.0036</f>
        <v>0.208008</v>
      </c>
      <c r="AB15" s="8">
        <v>30</v>
      </c>
      <c r="AC15" s="8">
        <v>12</v>
      </c>
      <c r="AD15" s="13">
        <f t="shared" si="9"/>
        <v>324.49248</v>
      </c>
      <c r="AE15" s="13">
        <f t="shared" si="10"/>
        <v>74.88288</v>
      </c>
      <c r="AF15" s="4" t="s">
        <v>506</v>
      </c>
      <c r="AG15" s="4"/>
      <c r="AH15" s="4"/>
      <c r="AI15" s="8">
        <v>65</v>
      </c>
      <c r="AJ15" s="8">
        <v>15</v>
      </c>
      <c r="AK15" s="8">
        <v>0.214</v>
      </c>
      <c r="AL15" s="8">
        <v>18</v>
      </c>
      <c r="AM15" s="7">
        <f>AK15*AI15*AL15*0.0036</f>
        <v>0.901368</v>
      </c>
      <c r="AN15" s="7">
        <f>AK15*AJ15*AL15*0.0036</f>
        <v>0.208008</v>
      </c>
      <c r="AO15" s="8">
        <v>30</v>
      </c>
      <c r="AP15" s="8">
        <v>12</v>
      </c>
      <c r="AQ15" s="13">
        <f>AM15*AO15*AP15</f>
        <v>324.49248</v>
      </c>
      <c r="AR15" s="80">
        <f t="shared" si="0"/>
        <v>74.88288</v>
      </c>
      <c r="AS15" s="89"/>
      <c r="AT15" s="89"/>
      <c r="AU15" s="89"/>
      <c r="AV15" s="89"/>
      <c r="AW15" s="89"/>
      <c r="AX15" s="89"/>
      <c r="AY15" s="89"/>
      <c r="AZ15" s="89"/>
      <c r="BA15" s="89"/>
      <c r="BB15" s="89"/>
      <c r="BC15" s="89"/>
      <c r="BD15" s="89"/>
      <c r="BE15" s="89"/>
      <c r="BF15" s="89"/>
      <c r="BG15" s="89"/>
      <c r="BH15" s="89"/>
      <c r="BI15" s="89"/>
      <c r="BJ15" s="206"/>
      <c r="BK15" s="206"/>
      <c r="BL15" s="89"/>
      <c r="BM15" s="89"/>
      <c r="BN15" s="89"/>
      <c r="BO15" s="89"/>
      <c r="BP15" s="180"/>
      <c r="BQ15" s="180"/>
      <c r="BR15" s="207"/>
      <c r="BS15" s="207"/>
      <c r="BT15" s="207"/>
      <c r="BU15" s="207"/>
      <c r="BV15" s="207"/>
      <c r="BW15" s="207"/>
      <c r="BX15" s="207"/>
      <c r="BY15" s="207"/>
      <c r="BZ15" s="207"/>
      <c r="CA15" s="207"/>
    </row>
    <row r="16" spans="1:79" ht="49.5" customHeight="1">
      <c r="A16" s="8">
        <v>7</v>
      </c>
      <c r="B16" s="4" t="s">
        <v>50</v>
      </c>
      <c r="C16" s="4" t="s">
        <v>19</v>
      </c>
      <c r="D16" s="4">
        <v>2</v>
      </c>
      <c r="E16" s="37" t="s">
        <v>416</v>
      </c>
      <c r="F16" s="4" t="s">
        <v>277</v>
      </c>
      <c r="G16" s="4" t="s">
        <v>236</v>
      </c>
      <c r="H16" s="4" t="s">
        <v>486</v>
      </c>
      <c r="I16" s="4" t="s">
        <v>554</v>
      </c>
      <c r="J16" s="10">
        <v>43095</v>
      </c>
      <c r="K16" s="28">
        <v>43224</v>
      </c>
      <c r="L16" s="28">
        <v>43242</v>
      </c>
      <c r="M16" s="8" t="s">
        <v>74</v>
      </c>
      <c r="N16" s="25">
        <v>45067</v>
      </c>
      <c r="O16" s="8" t="s">
        <v>223</v>
      </c>
      <c r="P16" s="8" t="s">
        <v>55</v>
      </c>
      <c r="Q16" s="8" t="s">
        <v>695</v>
      </c>
      <c r="R16" s="8" t="s">
        <v>817</v>
      </c>
      <c r="S16" s="4" t="s">
        <v>1189</v>
      </c>
      <c r="T16" s="4">
        <v>17</v>
      </c>
      <c r="U16" s="96">
        <f>X16/T16</f>
        <v>0.011647058823529413</v>
      </c>
      <c r="V16" s="8">
        <v>16</v>
      </c>
      <c r="W16" s="78">
        <v>21</v>
      </c>
      <c r="X16" s="78">
        <v>0.198</v>
      </c>
      <c r="Y16" s="78">
        <v>18</v>
      </c>
      <c r="Z16" s="7">
        <f>X16*V16*Y16*0.0036</f>
        <v>0.2052864</v>
      </c>
      <c r="AA16" s="7">
        <f>X16*W16*Y16*0.0036</f>
        <v>0.2694384</v>
      </c>
      <c r="AB16" s="78">
        <v>30</v>
      </c>
      <c r="AC16" s="78">
        <v>12</v>
      </c>
      <c r="AD16" s="33">
        <f t="shared" si="9"/>
        <v>73.90310400000001</v>
      </c>
      <c r="AE16" s="33">
        <f t="shared" si="10"/>
        <v>96.99782400000001</v>
      </c>
      <c r="AF16" s="4" t="s">
        <v>1026</v>
      </c>
      <c r="AG16" s="4">
        <v>17</v>
      </c>
      <c r="AH16" s="96">
        <f aca="true" t="shared" si="11" ref="AH16:AH23">AK16/AG16</f>
        <v>0.012764705882352942</v>
      </c>
      <c r="AI16" s="8">
        <v>52</v>
      </c>
      <c r="AJ16" s="8">
        <v>16</v>
      </c>
      <c r="AK16" s="8">
        <v>0.217</v>
      </c>
      <c r="AL16" s="8">
        <v>18</v>
      </c>
      <c r="AM16" s="7">
        <f>AK16*AI16*AL16*0.0036</f>
        <v>0.7312032</v>
      </c>
      <c r="AN16" s="7">
        <f>AK16*AJ16*AL16*0.0036</f>
        <v>0.2249856</v>
      </c>
      <c r="AO16" s="8">
        <v>30</v>
      </c>
      <c r="AP16" s="8">
        <v>12</v>
      </c>
      <c r="AQ16" s="13">
        <f t="shared" si="4"/>
        <v>263.233152</v>
      </c>
      <c r="AR16" s="80">
        <f t="shared" si="0"/>
        <v>80.994816</v>
      </c>
      <c r="AS16" s="134" t="s">
        <v>1142</v>
      </c>
      <c r="AT16" s="134">
        <v>90</v>
      </c>
      <c r="AU16" s="134">
        <v>90</v>
      </c>
      <c r="AV16" s="13">
        <f aca="true" t="shared" si="12" ref="AV16:AV23">(V16*X16+AI16*AK16)/(X16+AK16)</f>
        <v>34.82409638554217</v>
      </c>
      <c r="AW16" s="13">
        <f aca="true" t="shared" si="13" ref="AW16:AW23">(W16*X16+AJ16*AK16)/(X16+AK16)</f>
        <v>18.3855421686747</v>
      </c>
      <c r="AX16" s="125">
        <f aca="true" t="shared" si="14" ref="AX16:AX23">AVERAGE(X16,AK16)</f>
        <v>0.20750000000000002</v>
      </c>
      <c r="AY16" s="130">
        <v>18</v>
      </c>
      <c r="AZ16" s="125">
        <f aca="true" t="shared" si="15" ref="AZ16:AZ23">AX16*AV16*AY16*0.0036</f>
        <v>0.4682448</v>
      </c>
      <c r="BA16" s="125">
        <f aca="true" t="shared" si="16" ref="BA16:BA23">AX16*AW16*AY16*0.0036</f>
        <v>0.247212</v>
      </c>
      <c r="BB16" s="130">
        <v>30</v>
      </c>
      <c r="BC16" s="130">
        <v>12</v>
      </c>
      <c r="BD16" s="125">
        <f aca="true" t="shared" si="17" ref="BD16:BD23">AZ16*BB16*BC16</f>
        <v>168.568128</v>
      </c>
      <c r="BE16" s="125">
        <f aca="true" t="shared" si="18" ref="BE16:BE23">BA16*BB16*BC16</f>
        <v>88.99632</v>
      </c>
      <c r="BF16" s="130">
        <v>90</v>
      </c>
      <c r="BG16" s="130">
        <v>90</v>
      </c>
      <c r="BH16" s="125">
        <f aca="true" t="shared" si="19" ref="BH16:BH23">AX16</f>
        <v>0.20750000000000002</v>
      </c>
      <c r="BI16" s="130">
        <v>18</v>
      </c>
      <c r="BJ16" s="180">
        <f aca="true" t="shared" si="20" ref="BJ16:BJ23">BH16*BF16*BI16*0.0036</f>
        <v>1.21014</v>
      </c>
      <c r="BK16" s="180">
        <f aca="true" t="shared" si="21" ref="BK16:BK23">BH16*BG16*BI16*0.0036</f>
        <v>1.21014</v>
      </c>
      <c r="BL16" s="130">
        <v>30</v>
      </c>
      <c r="BM16" s="130">
        <v>12</v>
      </c>
      <c r="BN16" s="142">
        <f aca="true" t="shared" si="22" ref="BN16:BN23">BJ16*BL16*BM16</f>
        <v>435.6504</v>
      </c>
      <c r="BO16" s="142">
        <f aca="true" t="shared" si="23" ref="BO16:BO23">BK16*BL16*BM16</f>
        <v>435.6504</v>
      </c>
      <c r="BP16" s="180">
        <f t="shared" si="1"/>
        <v>302.109264</v>
      </c>
      <c r="BQ16" s="180">
        <f t="shared" si="2"/>
        <v>262.32336</v>
      </c>
      <c r="BR16" s="207">
        <f aca="true" t="shared" si="24" ref="BR16:BR23">ROUNDUP(BN16,-1)</f>
        <v>440</v>
      </c>
      <c r="BS16" s="207">
        <f aca="true" t="shared" si="25" ref="BS16:BS23">ROUNDUP(BO16,-1)</f>
        <v>440</v>
      </c>
      <c r="BT16" s="207">
        <f aca="true" t="shared" si="26" ref="BT16:BT23">ROUNDUP(BP16,-1)</f>
        <v>310</v>
      </c>
      <c r="BU16" s="207">
        <f aca="true" t="shared" si="27" ref="BU16:BU23">ROUNDUP(BQ16,-1)</f>
        <v>270</v>
      </c>
      <c r="BV16" s="207">
        <f aca="true" t="shared" si="28" ref="BV16:BV23">ROUNDUP(BP16,-1)</f>
        <v>310</v>
      </c>
      <c r="BW16" s="207">
        <f aca="true" t="shared" si="29" ref="BW16:BW23">ROUNDUP(BQ16,-1)</f>
        <v>270</v>
      </c>
      <c r="BX16" s="207">
        <f aca="true" t="shared" si="30" ref="BX16:BX23">ROUNDUP(BP16,-1)</f>
        <v>310</v>
      </c>
      <c r="BY16" s="207">
        <f aca="true" t="shared" si="31" ref="BY16:BY23">ROUNDUP(BQ16,-1)</f>
        <v>270</v>
      </c>
      <c r="BZ16" s="207">
        <f aca="true" t="shared" si="32" ref="BZ16:BZ23">ROUNDUP(BP16,-1)</f>
        <v>310</v>
      </c>
      <c r="CA16" s="207">
        <f aca="true" t="shared" si="33" ref="CA16:CA23">ROUNDUP(BQ16,-1)</f>
        <v>270</v>
      </c>
    </row>
    <row r="17" spans="1:79" ht="49.5" customHeight="1">
      <c r="A17" s="8">
        <v>8</v>
      </c>
      <c r="B17" s="4" t="s">
        <v>50</v>
      </c>
      <c r="C17" s="4" t="s">
        <v>19</v>
      </c>
      <c r="D17" s="4">
        <v>2</v>
      </c>
      <c r="E17" s="37" t="s">
        <v>291</v>
      </c>
      <c r="F17" s="4" t="s">
        <v>283</v>
      </c>
      <c r="G17" s="24" t="s">
        <v>335</v>
      </c>
      <c r="H17" s="24" t="s">
        <v>486</v>
      </c>
      <c r="I17" s="24" t="s">
        <v>535</v>
      </c>
      <c r="J17" s="28">
        <v>43315</v>
      </c>
      <c r="K17" s="28">
        <v>43336</v>
      </c>
      <c r="L17" s="28">
        <v>43354</v>
      </c>
      <c r="M17" s="26" t="s">
        <v>74</v>
      </c>
      <c r="N17" s="28">
        <v>45179</v>
      </c>
      <c r="O17" s="5" t="s">
        <v>51</v>
      </c>
      <c r="P17" s="5" t="s">
        <v>55</v>
      </c>
      <c r="Q17" s="8" t="s">
        <v>698</v>
      </c>
      <c r="R17" s="8" t="s">
        <v>820</v>
      </c>
      <c r="S17" s="11" t="s">
        <v>1190</v>
      </c>
      <c r="T17" s="11">
        <v>13</v>
      </c>
      <c r="U17" s="11"/>
      <c r="V17" s="158">
        <f>'Estandarizaciónparámetros SS-SS'!$C$38</f>
        <v>35</v>
      </c>
      <c r="W17" s="158">
        <f>'Estandarizaciónparámetros SS-SS'!$C$70</f>
        <v>19</v>
      </c>
      <c r="X17" s="112">
        <f>T17*'Estandarizaciónparámetros SS-SS'!$C$3</f>
        <v>0.15</v>
      </c>
      <c r="Y17" s="5">
        <v>18</v>
      </c>
      <c r="Z17" s="34">
        <f>50*13*4/1000</f>
        <v>2.6</v>
      </c>
      <c r="AA17" s="34">
        <f>50*13*4/1000</f>
        <v>2.6</v>
      </c>
      <c r="AB17" s="5">
        <v>30</v>
      </c>
      <c r="AC17" s="5">
        <v>12</v>
      </c>
      <c r="AD17" s="29">
        <f t="shared" si="9"/>
        <v>936</v>
      </c>
      <c r="AE17" s="29">
        <f t="shared" si="10"/>
        <v>936</v>
      </c>
      <c r="AF17" s="11" t="s">
        <v>1027</v>
      </c>
      <c r="AG17" s="11">
        <v>13</v>
      </c>
      <c r="AH17" s="96">
        <f t="shared" si="11"/>
        <v>0.0017692307692307693</v>
      </c>
      <c r="AI17" s="209">
        <f>'Estandarizaciónparámetros SS-SS'!$F$38</f>
        <v>34</v>
      </c>
      <c r="AJ17" s="5">
        <v>36</v>
      </c>
      <c r="AK17" s="5">
        <v>0.023</v>
      </c>
      <c r="AL17" s="5">
        <v>18</v>
      </c>
      <c r="AM17" s="7">
        <f>AL17*AK17*AI17*0.0036</f>
        <v>0.05067359999999999</v>
      </c>
      <c r="AN17" s="7">
        <f>AK17*AL17*AJ17*0.0036</f>
        <v>0.0536544</v>
      </c>
      <c r="AO17" s="5">
        <v>30</v>
      </c>
      <c r="AP17" s="5">
        <v>12</v>
      </c>
      <c r="AQ17" s="29">
        <f t="shared" si="4"/>
        <v>18.242495999999996</v>
      </c>
      <c r="AR17" s="81">
        <f t="shared" si="0"/>
        <v>19.315584</v>
      </c>
      <c r="AS17" s="134" t="s">
        <v>1142</v>
      </c>
      <c r="AT17" s="134">
        <v>90</v>
      </c>
      <c r="AU17" s="134">
        <v>90</v>
      </c>
      <c r="AV17" s="13">
        <f t="shared" si="12"/>
        <v>34.86705202312139</v>
      </c>
      <c r="AW17" s="13">
        <f t="shared" si="13"/>
        <v>21.260115606936417</v>
      </c>
      <c r="AX17" s="125">
        <f t="shared" si="14"/>
        <v>0.0865</v>
      </c>
      <c r="AY17" s="130">
        <v>18</v>
      </c>
      <c r="AZ17" s="125">
        <f t="shared" si="15"/>
        <v>0.1954368</v>
      </c>
      <c r="BA17" s="125">
        <f t="shared" si="16"/>
        <v>0.11916719999999999</v>
      </c>
      <c r="BB17" s="130">
        <v>30</v>
      </c>
      <c r="BC17" s="130">
        <v>12</v>
      </c>
      <c r="BD17" s="125">
        <f t="shared" si="17"/>
        <v>70.357248</v>
      </c>
      <c r="BE17" s="125">
        <f t="shared" si="18"/>
        <v>42.900192</v>
      </c>
      <c r="BF17" s="130">
        <v>90</v>
      </c>
      <c r="BG17" s="130">
        <v>90</v>
      </c>
      <c r="BH17" s="125">
        <f t="shared" si="19"/>
        <v>0.0865</v>
      </c>
      <c r="BI17" s="130">
        <v>18</v>
      </c>
      <c r="BJ17" s="180">
        <f t="shared" si="20"/>
        <v>0.5044679999999999</v>
      </c>
      <c r="BK17" s="180">
        <f t="shared" si="21"/>
        <v>0.5044679999999999</v>
      </c>
      <c r="BL17" s="130">
        <v>30</v>
      </c>
      <c r="BM17" s="130">
        <v>12</v>
      </c>
      <c r="BN17" s="142">
        <f t="shared" si="22"/>
        <v>181.60847999999996</v>
      </c>
      <c r="BO17" s="142">
        <f t="shared" si="23"/>
        <v>181.60847999999996</v>
      </c>
      <c r="BP17" s="180">
        <f t="shared" si="1"/>
        <v>125.98286399999998</v>
      </c>
      <c r="BQ17" s="180">
        <f t="shared" si="2"/>
        <v>112.25433599999998</v>
      </c>
      <c r="BR17" s="207">
        <f t="shared" si="24"/>
        <v>190</v>
      </c>
      <c r="BS17" s="207">
        <f t="shared" si="25"/>
        <v>190</v>
      </c>
      <c r="BT17" s="207">
        <f t="shared" si="26"/>
        <v>130</v>
      </c>
      <c r="BU17" s="207">
        <f t="shared" si="27"/>
        <v>120</v>
      </c>
      <c r="BV17" s="207">
        <f t="shared" si="28"/>
        <v>130</v>
      </c>
      <c r="BW17" s="207">
        <f t="shared" si="29"/>
        <v>120</v>
      </c>
      <c r="BX17" s="207">
        <f t="shared" si="30"/>
        <v>130</v>
      </c>
      <c r="BY17" s="207">
        <f t="shared" si="31"/>
        <v>120</v>
      </c>
      <c r="BZ17" s="207">
        <f t="shared" si="32"/>
        <v>130</v>
      </c>
      <c r="CA17" s="207">
        <f t="shared" si="33"/>
        <v>120</v>
      </c>
    </row>
    <row r="18" spans="1:79" ht="49.5" customHeight="1">
      <c r="A18" s="4">
        <v>9</v>
      </c>
      <c r="B18" s="4" t="s">
        <v>119</v>
      </c>
      <c r="C18" s="4" t="s">
        <v>19</v>
      </c>
      <c r="D18" s="4">
        <v>2</v>
      </c>
      <c r="E18" s="4" t="s">
        <v>122</v>
      </c>
      <c r="F18" s="4" t="s">
        <v>383</v>
      </c>
      <c r="G18" s="4" t="s">
        <v>415</v>
      </c>
      <c r="H18" s="4" t="s">
        <v>11</v>
      </c>
      <c r="I18" s="9" t="s">
        <v>67</v>
      </c>
      <c r="J18" s="9" t="s">
        <v>67</v>
      </c>
      <c r="K18" s="9" t="s">
        <v>67</v>
      </c>
      <c r="L18" s="9" t="s">
        <v>67</v>
      </c>
      <c r="M18" s="9" t="s">
        <v>67</v>
      </c>
      <c r="N18" s="9" t="s">
        <v>67</v>
      </c>
      <c r="O18" s="8" t="s">
        <v>51</v>
      </c>
      <c r="P18" s="8" t="s">
        <v>55</v>
      </c>
      <c r="Q18" s="8" t="s">
        <v>699</v>
      </c>
      <c r="R18" s="8" t="s">
        <v>821</v>
      </c>
      <c r="S18" s="4" t="s">
        <v>1191</v>
      </c>
      <c r="T18" s="4">
        <v>17</v>
      </c>
      <c r="U18" s="96">
        <f>X18/T18</f>
        <v>0.00988235294117647</v>
      </c>
      <c r="V18" s="8">
        <v>17</v>
      </c>
      <c r="W18" s="8">
        <v>8</v>
      </c>
      <c r="X18" s="8">
        <v>0.168</v>
      </c>
      <c r="Y18" s="8">
        <v>18</v>
      </c>
      <c r="Z18" s="6">
        <f aca="true" t="shared" si="34" ref="Z18:Z45">X18*V18*Y18*0.0036</f>
        <v>0.18506880000000003</v>
      </c>
      <c r="AA18" s="6">
        <f>X18*W18*Y18*0.0036</f>
        <v>0.0870912</v>
      </c>
      <c r="AB18" s="8">
        <v>30</v>
      </c>
      <c r="AC18" s="8">
        <v>12</v>
      </c>
      <c r="AD18" s="13">
        <f t="shared" si="9"/>
        <v>66.62476800000002</v>
      </c>
      <c r="AE18" s="13">
        <f t="shared" si="10"/>
        <v>31.352832</v>
      </c>
      <c r="AF18" s="4" t="s">
        <v>1028</v>
      </c>
      <c r="AG18" s="4">
        <v>17</v>
      </c>
      <c r="AH18" s="96">
        <f t="shared" si="11"/>
        <v>0.00988235294117647</v>
      </c>
      <c r="AI18" s="8">
        <v>17</v>
      </c>
      <c r="AJ18" s="8">
        <v>8</v>
      </c>
      <c r="AK18" s="8">
        <v>0.168</v>
      </c>
      <c r="AL18" s="8">
        <v>18</v>
      </c>
      <c r="AM18" s="6">
        <f aca="true" t="shared" si="35" ref="AM18:AM45">AK18*AI18*AL18*0.0036</f>
        <v>0.18506880000000003</v>
      </c>
      <c r="AN18" s="6">
        <f>AK18*AJ18*AL18*0.0036</f>
        <v>0.0870912</v>
      </c>
      <c r="AO18" s="8">
        <v>30</v>
      </c>
      <c r="AP18" s="8">
        <v>12</v>
      </c>
      <c r="AQ18" s="13">
        <f>AM18*AO18*AP18</f>
        <v>66.62476800000002</v>
      </c>
      <c r="AR18" s="80">
        <f t="shared" si="0"/>
        <v>31.352832</v>
      </c>
      <c r="AS18" s="89"/>
      <c r="AT18" s="89"/>
      <c r="AU18" s="89"/>
      <c r="AV18" s="13">
        <f t="shared" si="12"/>
        <v>17</v>
      </c>
      <c r="AW18" s="13">
        <f t="shared" si="13"/>
        <v>8</v>
      </c>
      <c r="AX18" s="125">
        <f t="shared" si="14"/>
        <v>0.168</v>
      </c>
      <c r="AY18" s="130">
        <v>18</v>
      </c>
      <c r="AZ18" s="125">
        <f t="shared" si="15"/>
        <v>0.18506880000000003</v>
      </c>
      <c r="BA18" s="125">
        <f t="shared" si="16"/>
        <v>0.0870912</v>
      </c>
      <c r="BB18" s="130">
        <v>30</v>
      </c>
      <c r="BC18" s="130">
        <v>12</v>
      </c>
      <c r="BD18" s="125">
        <f t="shared" si="17"/>
        <v>66.62476800000002</v>
      </c>
      <c r="BE18" s="125">
        <f t="shared" si="18"/>
        <v>31.352832</v>
      </c>
      <c r="BF18" s="198">
        <v>90</v>
      </c>
      <c r="BG18" s="198">
        <v>90</v>
      </c>
      <c r="BH18" s="125">
        <f t="shared" si="19"/>
        <v>0.168</v>
      </c>
      <c r="BI18" s="130">
        <v>18</v>
      </c>
      <c r="BJ18" s="180">
        <f t="shared" si="20"/>
        <v>0.9797760000000001</v>
      </c>
      <c r="BK18" s="180">
        <f t="shared" si="21"/>
        <v>0.9797760000000001</v>
      </c>
      <c r="BL18" s="130">
        <v>30</v>
      </c>
      <c r="BM18" s="130">
        <v>12</v>
      </c>
      <c r="BN18" s="142">
        <f t="shared" si="22"/>
        <v>352.71936000000005</v>
      </c>
      <c r="BO18" s="142">
        <f t="shared" si="23"/>
        <v>352.71936000000005</v>
      </c>
      <c r="BP18" s="180">
        <f t="shared" si="1"/>
        <v>209.67206400000003</v>
      </c>
      <c r="BQ18" s="180">
        <f t="shared" si="2"/>
        <v>192.03609600000001</v>
      </c>
      <c r="BR18" s="207">
        <f t="shared" si="24"/>
        <v>360</v>
      </c>
      <c r="BS18" s="207">
        <f t="shared" si="25"/>
        <v>360</v>
      </c>
      <c r="BT18" s="207">
        <f t="shared" si="26"/>
        <v>210</v>
      </c>
      <c r="BU18" s="207">
        <f t="shared" si="27"/>
        <v>200</v>
      </c>
      <c r="BV18" s="207">
        <f t="shared" si="28"/>
        <v>210</v>
      </c>
      <c r="BW18" s="207">
        <f t="shared" si="29"/>
        <v>200</v>
      </c>
      <c r="BX18" s="207">
        <f t="shared" si="30"/>
        <v>210</v>
      </c>
      <c r="BY18" s="207">
        <f t="shared" si="31"/>
        <v>200</v>
      </c>
      <c r="BZ18" s="207">
        <f t="shared" si="32"/>
        <v>210</v>
      </c>
      <c r="CA18" s="207">
        <f t="shared" si="33"/>
        <v>200</v>
      </c>
    </row>
    <row r="19" spans="1:79" ht="49.5" customHeight="1">
      <c r="A19" s="4">
        <v>10</v>
      </c>
      <c r="B19" s="4" t="s">
        <v>119</v>
      </c>
      <c r="C19" s="4" t="s">
        <v>19</v>
      </c>
      <c r="D19" s="4">
        <v>2</v>
      </c>
      <c r="E19" s="4" t="s">
        <v>123</v>
      </c>
      <c r="F19" s="4" t="s">
        <v>171</v>
      </c>
      <c r="G19" s="4" t="s">
        <v>413</v>
      </c>
      <c r="H19" s="4" t="s">
        <v>11</v>
      </c>
      <c r="I19" s="9" t="s">
        <v>67</v>
      </c>
      <c r="J19" s="9" t="s">
        <v>67</v>
      </c>
      <c r="K19" s="9" t="s">
        <v>67</v>
      </c>
      <c r="L19" s="9" t="s">
        <v>67</v>
      </c>
      <c r="M19" s="9" t="s">
        <v>67</v>
      </c>
      <c r="N19" s="9" t="s">
        <v>67</v>
      </c>
      <c r="O19" s="8" t="s">
        <v>51</v>
      </c>
      <c r="P19" s="8" t="s">
        <v>55</v>
      </c>
      <c r="Q19" s="8" t="s">
        <v>700</v>
      </c>
      <c r="R19" s="8" t="s">
        <v>822</v>
      </c>
      <c r="S19" s="4" t="s">
        <v>1192</v>
      </c>
      <c r="T19" s="4">
        <v>21</v>
      </c>
      <c r="U19" s="4"/>
      <c r="V19" s="158">
        <f>'Estandarizaciónparámetros SS-SS'!$C$38</f>
        <v>35</v>
      </c>
      <c r="W19" s="158">
        <f>'Estandarizaciónparámetros SS-SS'!$C$70</f>
        <v>19</v>
      </c>
      <c r="X19" s="112">
        <f>T19*'Estandarizaciónparámetros SS-SS'!$C$3</f>
        <v>0.24230769230769228</v>
      </c>
      <c r="Y19" s="8">
        <v>18</v>
      </c>
      <c r="Z19" s="6">
        <f>((50*21*4)/1000)</f>
        <v>4.2</v>
      </c>
      <c r="AA19" s="6">
        <f>(50*21*4/1000)</f>
        <v>4.2</v>
      </c>
      <c r="AB19" s="8">
        <v>30</v>
      </c>
      <c r="AC19" s="8">
        <v>12</v>
      </c>
      <c r="AD19" s="13">
        <f>Z19*AB19*AC19</f>
        <v>1512</v>
      </c>
      <c r="AE19" s="13">
        <f t="shared" si="10"/>
        <v>1512</v>
      </c>
      <c r="AF19" s="4" t="s">
        <v>1029</v>
      </c>
      <c r="AG19" s="4">
        <v>25</v>
      </c>
      <c r="AH19" s="96">
        <f t="shared" si="11"/>
        <v>0.0060799999999999995</v>
      </c>
      <c r="AI19" s="158">
        <f>'Estandarizaciónparámetros SS-SS'!$F$38</f>
        <v>34</v>
      </c>
      <c r="AJ19" s="8">
        <v>49</v>
      </c>
      <c r="AK19" s="7">
        <v>0.152</v>
      </c>
      <c r="AL19" s="8">
        <v>18</v>
      </c>
      <c r="AM19" s="6">
        <f t="shared" si="35"/>
        <v>0.3348864</v>
      </c>
      <c r="AN19" s="6">
        <f>AK19*AJ19*AL19*0.0036</f>
        <v>0.48263039999999996</v>
      </c>
      <c r="AO19" s="8">
        <v>30</v>
      </c>
      <c r="AP19" s="8">
        <v>12</v>
      </c>
      <c r="AQ19" s="30">
        <f>AM19*AO19*AP19</f>
        <v>120.55910399999999</v>
      </c>
      <c r="AR19" s="82">
        <f>AN19*AO19*AP19</f>
        <v>173.74694399999998</v>
      </c>
      <c r="AS19" s="89"/>
      <c r="AT19" s="89"/>
      <c r="AU19" s="89"/>
      <c r="AV19" s="13">
        <f t="shared" si="12"/>
        <v>34.614514241123686</v>
      </c>
      <c r="AW19" s="13">
        <f t="shared" si="13"/>
        <v>30.56457276628951</v>
      </c>
      <c r="AX19" s="125">
        <f t="shared" si="14"/>
        <v>0.19715384615384612</v>
      </c>
      <c r="AY19" s="130">
        <v>18</v>
      </c>
      <c r="AZ19" s="125">
        <f t="shared" si="15"/>
        <v>0.44222012307692304</v>
      </c>
      <c r="BA19" s="125">
        <f t="shared" si="16"/>
        <v>0.39047981538461535</v>
      </c>
      <c r="BB19" s="130">
        <v>30</v>
      </c>
      <c r="BC19" s="130">
        <v>12</v>
      </c>
      <c r="BD19" s="125">
        <f t="shared" si="17"/>
        <v>159.1992443076923</v>
      </c>
      <c r="BE19" s="125">
        <f t="shared" si="18"/>
        <v>140.57273353846153</v>
      </c>
      <c r="BF19" s="198">
        <v>90</v>
      </c>
      <c r="BG19" s="198">
        <v>90</v>
      </c>
      <c r="BH19" s="125">
        <f t="shared" si="19"/>
        <v>0.19715384615384612</v>
      </c>
      <c r="BI19" s="130">
        <v>18</v>
      </c>
      <c r="BJ19" s="180">
        <f t="shared" si="20"/>
        <v>1.1498012307692305</v>
      </c>
      <c r="BK19" s="180">
        <f t="shared" si="21"/>
        <v>1.1498012307692305</v>
      </c>
      <c r="BL19" s="130">
        <v>30</v>
      </c>
      <c r="BM19" s="130">
        <v>12</v>
      </c>
      <c r="BN19" s="142">
        <f t="shared" si="22"/>
        <v>413.9284430769229</v>
      </c>
      <c r="BO19" s="142">
        <f t="shared" si="23"/>
        <v>413.9284430769229</v>
      </c>
      <c r="BP19" s="180">
        <f t="shared" si="1"/>
        <v>286.5638436923076</v>
      </c>
      <c r="BQ19" s="180">
        <f t="shared" si="2"/>
        <v>277.2505883076922</v>
      </c>
      <c r="BR19" s="207">
        <f t="shared" si="24"/>
        <v>420</v>
      </c>
      <c r="BS19" s="207">
        <f t="shared" si="25"/>
        <v>420</v>
      </c>
      <c r="BT19" s="207">
        <f t="shared" si="26"/>
        <v>290</v>
      </c>
      <c r="BU19" s="207">
        <f t="shared" si="27"/>
        <v>280</v>
      </c>
      <c r="BV19" s="207">
        <f t="shared" si="28"/>
        <v>290</v>
      </c>
      <c r="BW19" s="207">
        <f t="shared" si="29"/>
        <v>280</v>
      </c>
      <c r="BX19" s="207">
        <f t="shared" si="30"/>
        <v>290</v>
      </c>
      <c r="BY19" s="207">
        <f t="shared" si="31"/>
        <v>280</v>
      </c>
      <c r="BZ19" s="207">
        <f t="shared" si="32"/>
        <v>290</v>
      </c>
      <c r="CA19" s="207">
        <f t="shared" si="33"/>
        <v>280</v>
      </c>
    </row>
    <row r="20" spans="1:79" ht="49.5" customHeight="1">
      <c r="A20" s="4">
        <v>11</v>
      </c>
      <c r="B20" s="4" t="s">
        <v>119</v>
      </c>
      <c r="C20" s="4" t="s">
        <v>19</v>
      </c>
      <c r="D20" s="4">
        <v>2</v>
      </c>
      <c r="E20" s="4" t="s">
        <v>430</v>
      </c>
      <c r="F20" s="8" t="s">
        <v>172</v>
      </c>
      <c r="G20" s="8" t="s">
        <v>414</v>
      </c>
      <c r="H20" s="4" t="s">
        <v>227</v>
      </c>
      <c r="I20" s="4" t="s">
        <v>478</v>
      </c>
      <c r="J20" s="25" t="s">
        <v>557</v>
      </c>
      <c r="K20" s="25" t="s">
        <v>558</v>
      </c>
      <c r="L20" s="25" t="s">
        <v>559</v>
      </c>
      <c r="M20" s="9" t="s">
        <v>74</v>
      </c>
      <c r="N20" s="53">
        <v>44944</v>
      </c>
      <c r="O20" s="8" t="s">
        <v>51</v>
      </c>
      <c r="P20" s="8" t="s">
        <v>55</v>
      </c>
      <c r="Q20" s="8" t="s">
        <v>701</v>
      </c>
      <c r="R20" s="8" t="s">
        <v>823</v>
      </c>
      <c r="S20" s="94" t="s">
        <v>1193</v>
      </c>
      <c r="T20" s="4">
        <v>13</v>
      </c>
      <c r="U20" s="96">
        <f>X20/T20</f>
        <v>0.011538461538461537</v>
      </c>
      <c r="V20" s="8">
        <v>24</v>
      </c>
      <c r="W20" s="8">
        <v>12</v>
      </c>
      <c r="X20" s="31">
        <v>0.15</v>
      </c>
      <c r="Y20" s="8">
        <v>18</v>
      </c>
      <c r="Z20" s="7">
        <f t="shared" si="34"/>
        <v>0.23328</v>
      </c>
      <c r="AA20" s="7">
        <f aca="true" t="shared" si="36" ref="AA20:AA45">X20*W20*Y20*0.0036</f>
        <v>0.11664</v>
      </c>
      <c r="AB20" s="8">
        <v>30</v>
      </c>
      <c r="AC20" s="8">
        <v>12</v>
      </c>
      <c r="AD20" s="13">
        <f t="shared" si="9"/>
        <v>83.98079999999999</v>
      </c>
      <c r="AE20" s="13">
        <f t="shared" si="10"/>
        <v>41.990399999999994</v>
      </c>
      <c r="AF20" s="4" t="s">
        <v>1030</v>
      </c>
      <c r="AG20" s="4">
        <v>13</v>
      </c>
      <c r="AH20" s="96">
        <f t="shared" si="11"/>
        <v>0.011538461538461537</v>
      </c>
      <c r="AI20" s="8">
        <v>24</v>
      </c>
      <c r="AJ20" s="8">
        <v>12</v>
      </c>
      <c r="AK20" s="31">
        <v>0.15</v>
      </c>
      <c r="AL20" s="8">
        <v>18</v>
      </c>
      <c r="AM20" s="7">
        <f t="shared" si="35"/>
        <v>0.23328</v>
      </c>
      <c r="AN20" s="7">
        <f aca="true" t="shared" si="37" ref="AN20:AN45">AK20*AJ20*AL20*0.0036</f>
        <v>0.11664</v>
      </c>
      <c r="AO20" s="8">
        <v>30</v>
      </c>
      <c r="AP20" s="8">
        <v>12</v>
      </c>
      <c r="AQ20" s="13">
        <f>AM20*AO20*AP20</f>
        <v>83.98079999999999</v>
      </c>
      <c r="AR20" s="80">
        <f>AN20*AO20*AP20</f>
        <v>41.990399999999994</v>
      </c>
      <c r="AS20" s="203" t="s">
        <v>1291</v>
      </c>
      <c r="AT20" s="134">
        <v>80</v>
      </c>
      <c r="AU20" s="134">
        <v>50</v>
      </c>
      <c r="AV20" s="13">
        <f t="shared" si="12"/>
        <v>24</v>
      </c>
      <c r="AW20" s="13">
        <f t="shared" si="13"/>
        <v>12</v>
      </c>
      <c r="AX20" s="125">
        <f t="shared" si="14"/>
        <v>0.15</v>
      </c>
      <c r="AY20" s="130">
        <v>18</v>
      </c>
      <c r="AZ20" s="125">
        <f t="shared" si="15"/>
        <v>0.23328</v>
      </c>
      <c r="BA20" s="125">
        <f t="shared" si="16"/>
        <v>0.11664</v>
      </c>
      <c r="BB20" s="130">
        <v>30</v>
      </c>
      <c r="BC20" s="130">
        <v>12</v>
      </c>
      <c r="BD20" s="125">
        <f t="shared" si="17"/>
        <v>83.98079999999999</v>
      </c>
      <c r="BE20" s="125">
        <f t="shared" si="18"/>
        <v>41.990399999999994</v>
      </c>
      <c r="BF20" s="130">
        <v>80</v>
      </c>
      <c r="BG20" s="130">
        <v>50</v>
      </c>
      <c r="BH20" s="125">
        <f t="shared" si="19"/>
        <v>0.15</v>
      </c>
      <c r="BI20" s="130">
        <v>18</v>
      </c>
      <c r="BJ20" s="180">
        <f t="shared" si="20"/>
        <v>0.7776</v>
      </c>
      <c r="BK20" s="180">
        <f t="shared" si="21"/>
        <v>0.486</v>
      </c>
      <c r="BL20" s="130">
        <v>30</v>
      </c>
      <c r="BM20" s="130">
        <v>12</v>
      </c>
      <c r="BN20" s="142">
        <f t="shared" si="22"/>
        <v>279.936</v>
      </c>
      <c r="BO20" s="142">
        <f t="shared" si="23"/>
        <v>174.96</v>
      </c>
      <c r="BP20" s="180">
        <f t="shared" si="1"/>
        <v>181.95839999999998</v>
      </c>
      <c r="BQ20" s="180">
        <f t="shared" si="2"/>
        <v>108.4752</v>
      </c>
      <c r="BR20" s="207">
        <f t="shared" si="24"/>
        <v>280</v>
      </c>
      <c r="BS20" s="207">
        <f t="shared" si="25"/>
        <v>180</v>
      </c>
      <c r="BT20" s="207">
        <f t="shared" si="26"/>
        <v>190</v>
      </c>
      <c r="BU20" s="207">
        <f t="shared" si="27"/>
        <v>110</v>
      </c>
      <c r="BV20" s="207">
        <f t="shared" si="28"/>
        <v>190</v>
      </c>
      <c r="BW20" s="207">
        <f t="shared" si="29"/>
        <v>110</v>
      </c>
      <c r="BX20" s="207">
        <f t="shared" si="30"/>
        <v>190</v>
      </c>
      <c r="BY20" s="207">
        <f t="shared" si="31"/>
        <v>110</v>
      </c>
      <c r="BZ20" s="207">
        <f t="shared" si="32"/>
        <v>190</v>
      </c>
      <c r="CA20" s="207">
        <f t="shared" si="33"/>
        <v>110</v>
      </c>
    </row>
    <row r="21" spans="1:79" ht="49.5" customHeight="1">
      <c r="A21" s="4">
        <v>12</v>
      </c>
      <c r="B21" s="4" t="s">
        <v>119</v>
      </c>
      <c r="C21" s="4" t="s">
        <v>19</v>
      </c>
      <c r="D21" s="4">
        <v>2</v>
      </c>
      <c r="E21" s="4" t="s">
        <v>124</v>
      </c>
      <c r="F21" s="4" t="s">
        <v>173</v>
      </c>
      <c r="G21" s="4" t="s">
        <v>125</v>
      </c>
      <c r="H21" s="4" t="s">
        <v>486</v>
      </c>
      <c r="I21" s="4">
        <v>5298</v>
      </c>
      <c r="J21" s="57" t="s">
        <v>560</v>
      </c>
      <c r="K21" s="61">
        <v>40822</v>
      </c>
      <c r="L21" s="61">
        <v>40830</v>
      </c>
      <c r="M21" s="4" t="s">
        <v>17</v>
      </c>
      <c r="N21" s="61">
        <v>44482</v>
      </c>
      <c r="O21" s="4" t="s">
        <v>51</v>
      </c>
      <c r="P21" s="8" t="s">
        <v>55</v>
      </c>
      <c r="Q21" s="8" t="s">
        <v>702</v>
      </c>
      <c r="R21" s="8" t="s">
        <v>824</v>
      </c>
      <c r="S21" s="4" t="s">
        <v>1194</v>
      </c>
      <c r="T21" s="4">
        <v>12</v>
      </c>
      <c r="U21" s="96">
        <f>X21/T21</f>
        <v>0.06360185185185185</v>
      </c>
      <c r="V21" s="4">
        <v>40</v>
      </c>
      <c r="W21" s="4">
        <v>20</v>
      </c>
      <c r="X21" s="58">
        <f>((0.497+0.765+1.19+0.814+0+0.773+0.842+0.984+1.004)/9)</f>
        <v>0.7632222222222222</v>
      </c>
      <c r="Y21" s="4">
        <v>18</v>
      </c>
      <c r="Z21" s="7">
        <f t="shared" si="34"/>
        <v>1.9782719999999998</v>
      </c>
      <c r="AA21" s="7">
        <f t="shared" si="36"/>
        <v>0.9891359999999999</v>
      </c>
      <c r="AB21" s="4">
        <v>30</v>
      </c>
      <c r="AC21" s="4">
        <v>12</v>
      </c>
      <c r="AD21" s="13">
        <f t="shared" si="9"/>
        <v>712.1779199999999</v>
      </c>
      <c r="AE21" s="13">
        <f t="shared" si="10"/>
        <v>356.08895999999993</v>
      </c>
      <c r="AF21" s="4" t="s">
        <v>1031</v>
      </c>
      <c r="AG21" s="4">
        <v>12</v>
      </c>
      <c r="AH21" s="96">
        <f t="shared" si="11"/>
        <v>0.12416666666666666</v>
      </c>
      <c r="AI21" s="4">
        <v>47</v>
      </c>
      <c r="AJ21" s="4">
        <v>20</v>
      </c>
      <c r="AK21" s="58">
        <v>1.49</v>
      </c>
      <c r="AL21" s="4">
        <v>18</v>
      </c>
      <c r="AM21" s="7">
        <f t="shared" si="35"/>
        <v>4.5379439999999995</v>
      </c>
      <c r="AN21" s="7">
        <f t="shared" si="37"/>
        <v>1.9310399999999999</v>
      </c>
      <c r="AO21" s="4">
        <v>30</v>
      </c>
      <c r="AP21" s="4">
        <v>12</v>
      </c>
      <c r="AQ21" s="13">
        <f aca="true" t="shared" si="38" ref="AQ21:AQ49">AM21*AO21*AP21</f>
        <v>1633.6598399999998</v>
      </c>
      <c r="AR21" s="80">
        <f t="shared" si="0"/>
        <v>695.1744</v>
      </c>
      <c r="AS21" s="133" t="s">
        <v>1181</v>
      </c>
      <c r="AT21" s="133" t="s">
        <v>1182</v>
      </c>
      <c r="AU21" s="133" t="s">
        <v>1182</v>
      </c>
      <c r="AV21" s="13">
        <f t="shared" si="12"/>
        <v>44.628926475664485</v>
      </c>
      <c r="AW21" s="13">
        <f t="shared" si="13"/>
        <v>20.000000000000004</v>
      </c>
      <c r="AX21" s="125">
        <f t="shared" si="14"/>
        <v>1.126611111111111</v>
      </c>
      <c r="AY21" s="130">
        <v>18</v>
      </c>
      <c r="AZ21" s="125">
        <f t="shared" si="15"/>
        <v>3.258108</v>
      </c>
      <c r="BA21" s="125">
        <f t="shared" si="16"/>
        <v>1.460088</v>
      </c>
      <c r="BB21" s="130">
        <v>30</v>
      </c>
      <c r="BC21" s="130">
        <v>12</v>
      </c>
      <c r="BD21" s="125">
        <f t="shared" si="17"/>
        <v>1172.91888</v>
      </c>
      <c r="BE21" s="125">
        <f t="shared" si="18"/>
        <v>525.6316800000001</v>
      </c>
      <c r="BF21" s="198">
        <v>90</v>
      </c>
      <c r="BG21" s="198">
        <v>90</v>
      </c>
      <c r="BH21" s="125">
        <f t="shared" si="19"/>
        <v>1.126611111111111</v>
      </c>
      <c r="BI21" s="130">
        <v>18</v>
      </c>
      <c r="BJ21" s="180">
        <f t="shared" si="20"/>
        <v>6.570396</v>
      </c>
      <c r="BK21" s="180">
        <f t="shared" si="21"/>
        <v>6.570396</v>
      </c>
      <c r="BL21" s="130">
        <v>30</v>
      </c>
      <c r="BM21" s="130">
        <v>12</v>
      </c>
      <c r="BN21" s="142">
        <f t="shared" si="22"/>
        <v>2365.34256</v>
      </c>
      <c r="BO21" s="142">
        <f t="shared" si="23"/>
        <v>2365.34256</v>
      </c>
      <c r="BP21" s="180">
        <f t="shared" si="1"/>
        <v>1769.13072</v>
      </c>
      <c r="BQ21" s="180">
        <f t="shared" si="2"/>
        <v>1445.48712</v>
      </c>
      <c r="BR21" s="207">
        <f t="shared" si="24"/>
        <v>2370</v>
      </c>
      <c r="BS21" s="207">
        <f t="shared" si="25"/>
        <v>2370</v>
      </c>
      <c r="BT21" s="207">
        <f t="shared" si="26"/>
        <v>1770</v>
      </c>
      <c r="BU21" s="207">
        <f t="shared" si="27"/>
        <v>1450</v>
      </c>
      <c r="BV21" s="207">
        <f t="shared" si="28"/>
        <v>1770</v>
      </c>
      <c r="BW21" s="207">
        <f t="shared" si="29"/>
        <v>1450</v>
      </c>
      <c r="BX21" s="207">
        <f t="shared" si="30"/>
        <v>1770</v>
      </c>
      <c r="BY21" s="207">
        <f t="shared" si="31"/>
        <v>1450</v>
      </c>
      <c r="BZ21" s="207">
        <f t="shared" si="32"/>
        <v>1770</v>
      </c>
      <c r="CA21" s="207">
        <f t="shared" si="33"/>
        <v>1450</v>
      </c>
    </row>
    <row r="22" spans="1:79" ht="49.5" customHeight="1">
      <c r="A22" s="4">
        <v>13</v>
      </c>
      <c r="B22" s="4" t="s">
        <v>119</v>
      </c>
      <c r="C22" s="4" t="s">
        <v>19</v>
      </c>
      <c r="D22" s="4">
        <v>2</v>
      </c>
      <c r="E22" s="4" t="s">
        <v>126</v>
      </c>
      <c r="F22" s="4" t="s">
        <v>343</v>
      </c>
      <c r="G22" s="4" t="s">
        <v>127</v>
      </c>
      <c r="H22" s="4" t="s">
        <v>486</v>
      </c>
      <c r="I22" s="4">
        <v>5299</v>
      </c>
      <c r="J22" s="57" t="s">
        <v>560</v>
      </c>
      <c r="K22" s="61">
        <v>40812</v>
      </c>
      <c r="L22" s="61">
        <v>40820</v>
      </c>
      <c r="M22" s="4" t="s">
        <v>17</v>
      </c>
      <c r="N22" s="61">
        <v>44472</v>
      </c>
      <c r="O22" s="8" t="s">
        <v>51</v>
      </c>
      <c r="P22" s="8" t="s">
        <v>55</v>
      </c>
      <c r="Q22" s="8" t="s">
        <v>703</v>
      </c>
      <c r="R22" s="8" t="s">
        <v>825</v>
      </c>
      <c r="S22" s="4" t="s">
        <v>1195</v>
      </c>
      <c r="T22" s="4">
        <v>29</v>
      </c>
      <c r="U22" s="96">
        <f>X22/T22</f>
        <v>0.006095334685598378</v>
      </c>
      <c r="V22" s="8">
        <v>23</v>
      </c>
      <c r="W22" s="8">
        <v>2</v>
      </c>
      <c r="X22" s="7">
        <f>(0.2+0.2+0.16+0.14+0.16+0.2+0.2+0.16+0.16+0.2+0.16+0.2+0.2+0.14+0.125+0.2+0.2)/17</f>
        <v>0.17676470588235296</v>
      </c>
      <c r="Y22" s="8">
        <v>18</v>
      </c>
      <c r="Z22" s="7">
        <f t="shared" si="34"/>
        <v>0.26345011764705883</v>
      </c>
      <c r="AA22" s="7">
        <f t="shared" si="36"/>
        <v>0.022908705882352942</v>
      </c>
      <c r="AB22" s="8">
        <v>30</v>
      </c>
      <c r="AC22" s="8">
        <v>12</v>
      </c>
      <c r="AD22" s="13">
        <f t="shared" si="9"/>
        <v>94.84204235294118</v>
      </c>
      <c r="AE22" s="13">
        <f t="shared" si="10"/>
        <v>8.24713411764706</v>
      </c>
      <c r="AF22" s="4" t="s">
        <v>1032</v>
      </c>
      <c r="AG22" s="4">
        <v>29</v>
      </c>
      <c r="AH22" s="96">
        <f t="shared" si="11"/>
        <v>0.006513793103448276</v>
      </c>
      <c r="AI22" s="8">
        <v>69</v>
      </c>
      <c r="AJ22" s="8">
        <v>16</v>
      </c>
      <c r="AK22" s="7">
        <v>0.1889</v>
      </c>
      <c r="AL22" s="8">
        <v>18</v>
      </c>
      <c r="AM22" s="7">
        <f t="shared" si="35"/>
        <v>0.8446096799999999</v>
      </c>
      <c r="AN22" s="7">
        <f t="shared" si="37"/>
        <v>0.19585152</v>
      </c>
      <c r="AO22" s="8">
        <v>30</v>
      </c>
      <c r="AP22" s="8">
        <v>12</v>
      </c>
      <c r="AQ22" s="13">
        <f t="shared" si="38"/>
        <v>304.05948479999995</v>
      </c>
      <c r="AR22" s="80">
        <f t="shared" si="0"/>
        <v>70.5065472</v>
      </c>
      <c r="AS22" s="133" t="s">
        <v>1181</v>
      </c>
      <c r="AT22" s="133" t="s">
        <v>1182</v>
      </c>
      <c r="AU22" s="133" t="s">
        <v>1182</v>
      </c>
      <c r="AV22" s="13">
        <f t="shared" si="12"/>
        <v>46.76329971204735</v>
      </c>
      <c r="AW22" s="13">
        <f t="shared" si="13"/>
        <v>9.232308608014412</v>
      </c>
      <c r="AX22" s="125">
        <f t="shared" si="14"/>
        <v>0.1828323529411765</v>
      </c>
      <c r="AY22" s="130">
        <v>18</v>
      </c>
      <c r="AZ22" s="125">
        <f t="shared" si="15"/>
        <v>0.5540298988235294</v>
      </c>
      <c r="BA22" s="125">
        <f t="shared" si="16"/>
        <v>0.10938011294117646</v>
      </c>
      <c r="BB22" s="130">
        <v>30</v>
      </c>
      <c r="BC22" s="130">
        <v>12</v>
      </c>
      <c r="BD22" s="125">
        <f t="shared" si="17"/>
        <v>199.4507635764706</v>
      </c>
      <c r="BE22" s="125">
        <f t="shared" si="18"/>
        <v>39.376840658823525</v>
      </c>
      <c r="BF22" s="198">
        <v>90</v>
      </c>
      <c r="BG22" s="198">
        <v>90</v>
      </c>
      <c r="BH22" s="125">
        <f t="shared" si="19"/>
        <v>0.1828323529411765</v>
      </c>
      <c r="BI22" s="130">
        <v>18</v>
      </c>
      <c r="BJ22" s="180">
        <f t="shared" si="20"/>
        <v>1.0662782823529413</v>
      </c>
      <c r="BK22" s="180">
        <f t="shared" si="21"/>
        <v>1.0662782823529413</v>
      </c>
      <c r="BL22" s="130">
        <v>30</v>
      </c>
      <c r="BM22" s="130">
        <v>12</v>
      </c>
      <c r="BN22" s="142">
        <f t="shared" si="22"/>
        <v>383.8601816470589</v>
      </c>
      <c r="BO22" s="142">
        <f t="shared" si="23"/>
        <v>383.8601816470589</v>
      </c>
      <c r="BP22" s="180">
        <f t="shared" si="1"/>
        <v>291.6554726117647</v>
      </c>
      <c r="BQ22" s="180">
        <f t="shared" si="2"/>
        <v>211.6185111529412</v>
      </c>
      <c r="BR22" s="207">
        <f t="shared" si="24"/>
        <v>390</v>
      </c>
      <c r="BS22" s="207">
        <f t="shared" si="25"/>
        <v>390</v>
      </c>
      <c r="BT22" s="207">
        <f t="shared" si="26"/>
        <v>300</v>
      </c>
      <c r="BU22" s="207">
        <f t="shared" si="27"/>
        <v>220</v>
      </c>
      <c r="BV22" s="207">
        <f t="shared" si="28"/>
        <v>300</v>
      </c>
      <c r="BW22" s="207">
        <f t="shared" si="29"/>
        <v>220</v>
      </c>
      <c r="BX22" s="207">
        <f t="shared" si="30"/>
        <v>300</v>
      </c>
      <c r="BY22" s="207">
        <f t="shared" si="31"/>
        <v>220</v>
      </c>
      <c r="BZ22" s="207">
        <f t="shared" si="32"/>
        <v>300</v>
      </c>
      <c r="CA22" s="207">
        <f t="shared" si="33"/>
        <v>220</v>
      </c>
    </row>
    <row r="23" spans="1:79" ht="49.5" customHeight="1">
      <c r="A23" s="4">
        <v>14</v>
      </c>
      <c r="B23" s="4" t="s">
        <v>20</v>
      </c>
      <c r="C23" s="4" t="s">
        <v>19</v>
      </c>
      <c r="D23" s="4">
        <v>2</v>
      </c>
      <c r="E23" s="4" t="s">
        <v>411</v>
      </c>
      <c r="F23" s="4" t="s">
        <v>178</v>
      </c>
      <c r="G23" s="4" t="s">
        <v>451</v>
      </c>
      <c r="H23" s="11" t="s">
        <v>227</v>
      </c>
      <c r="I23" s="24" t="s">
        <v>479</v>
      </c>
      <c r="J23" s="43">
        <v>43208</v>
      </c>
      <c r="K23" s="43">
        <v>43381</v>
      </c>
      <c r="L23" s="43">
        <v>43397</v>
      </c>
      <c r="M23" s="43" t="s">
        <v>74</v>
      </c>
      <c r="N23" s="43">
        <v>45222</v>
      </c>
      <c r="O23" s="4" t="s">
        <v>51</v>
      </c>
      <c r="P23" s="4" t="s">
        <v>55</v>
      </c>
      <c r="Q23" s="8" t="s">
        <v>704</v>
      </c>
      <c r="R23" s="8" t="s">
        <v>826</v>
      </c>
      <c r="S23" s="4" t="s">
        <v>1184</v>
      </c>
      <c r="T23" s="4">
        <v>13</v>
      </c>
      <c r="U23" s="96">
        <f>X23/T23</f>
        <v>0.015000000000000001</v>
      </c>
      <c r="V23" s="158">
        <f>'Estandarizaciónparámetros SS-SS'!$C$38</f>
        <v>35</v>
      </c>
      <c r="W23" s="31">
        <f>(W24*X24+W25*X25)/(X24+X25)</f>
        <v>24.87179487179487</v>
      </c>
      <c r="X23" s="13">
        <f>AVERAGE(X24:X25)</f>
        <v>0.195</v>
      </c>
      <c r="Y23" s="8">
        <v>18</v>
      </c>
      <c r="Z23" s="7"/>
      <c r="AA23" s="7"/>
      <c r="AB23" s="8"/>
      <c r="AC23" s="8"/>
      <c r="AD23" s="13">
        <f>AVERAGE(AD24:AD25)</f>
        <v>318.86265599999996</v>
      </c>
      <c r="AE23" s="13">
        <f>AVERAGE(AE24:AE25)</f>
        <v>75.4272</v>
      </c>
      <c r="AF23" s="4" t="s">
        <v>1033</v>
      </c>
      <c r="AG23" s="4">
        <v>13</v>
      </c>
      <c r="AH23" s="96">
        <f t="shared" si="11"/>
        <v>0.008923076923076924</v>
      </c>
      <c r="AI23" s="74">
        <v>2.1</v>
      </c>
      <c r="AJ23" s="74">
        <v>7</v>
      </c>
      <c r="AK23" s="68">
        <v>0.116</v>
      </c>
      <c r="AL23" s="74">
        <v>18</v>
      </c>
      <c r="AM23" s="58">
        <f t="shared" si="35"/>
        <v>0.01578528</v>
      </c>
      <c r="AN23" s="58">
        <f t="shared" si="37"/>
        <v>0.0526176</v>
      </c>
      <c r="AO23" s="4">
        <v>30</v>
      </c>
      <c r="AP23" s="4">
        <v>12</v>
      </c>
      <c r="AQ23" s="59">
        <f>AM23*AO23*AP23</f>
        <v>5.682700799999999</v>
      </c>
      <c r="AR23" s="83">
        <f>AN23*AO23*AP23</f>
        <v>18.942335999999997</v>
      </c>
      <c r="AS23" s="134" t="s">
        <v>1142</v>
      </c>
      <c r="AT23" s="134">
        <v>90</v>
      </c>
      <c r="AU23" s="134">
        <v>90</v>
      </c>
      <c r="AV23" s="13">
        <f t="shared" si="12"/>
        <v>22.72861736334405</v>
      </c>
      <c r="AW23" s="13">
        <f t="shared" si="13"/>
        <v>18.205787781350484</v>
      </c>
      <c r="AX23" s="125">
        <f t="shared" si="14"/>
        <v>0.1555</v>
      </c>
      <c r="AY23" s="130">
        <v>18</v>
      </c>
      <c r="AZ23" s="125">
        <f t="shared" si="15"/>
        <v>0.22902263999999994</v>
      </c>
      <c r="BA23" s="125">
        <f t="shared" si="16"/>
        <v>0.18344880000000002</v>
      </c>
      <c r="BB23" s="130">
        <v>30</v>
      </c>
      <c r="BC23" s="130">
        <v>12</v>
      </c>
      <c r="BD23" s="125">
        <f t="shared" si="17"/>
        <v>82.44815039999997</v>
      </c>
      <c r="BE23" s="125">
        <f t="shared" si="18"/>
        <v>66.04156800000001</v>
      </c>
      <c r="BF23" s="130">
        <v>90</v>
      </c>
      <c r="BG23" s="130">
        <v>90</v>
      </c>
      <c r="BH23" s="125">
        <f t="shared" si="19"/>
        <v>0.1555</v>
      </c>
      <c r="BI23" s="130">
        <v>18</v>
      </c>
      <c r="BJ23" s="180">
        <f t="shared" si="20"/>
        <v>0.906876</v>
      </c>
      <c r="BK23" s="180">
        <f t="shared" si="21"/>
        <v>0.906876</v>
      </c>
      <c r="BL23" s="130">
        <v>30</v>
      </c>
      <c r="BM23" s="130">
        <v>12</v>
      </c>
      <c r="BN23" s="142">
        <f t="shared" si="22"/>
        <v>326.47536</v>
      </c>
      <c r="BO23" s="142">
        <f t="shared" si="23"/>
        <v>326.47536</v>
      </c>
      <c r="BP23" s="180">
        <f t="shared" si="1"/>
        <v>204.4617552</v>
      </c>
      <c r="BQ23" s="180">
        <f t="shared" si="2"/>
        <v>196.258464</v>
      </c>
      <c r="BR23" s="207">
        <f t="shared" si="24"/>
        <v>330</v>
      </c>
      <c r="BS23" s="207">
        <f t="shared" si="25"/>
        <v>330</v>
      </c>
      <c r="BT23" s="207">
        <f t="shared" si="26"/>
        <v>210</v>
      </c>
      <c r="BU23" s="207">
        <f t="shared" si="27"/>
        <v>200</v>
      </c>
      <c r="BV23" s="207">
        <f t="shared" si="28"/>
        <v>210</v>
      </c>
      <c r="BW23" s="207">
        <f t="shared" si="29"/>
        <v>200</v>
      </c>
      <c r="BX23" s="207">
        <f t="shared" si="30"/>
        <v>210</v>
      </c>
      <c r="BY23" s="207">
        <f t="shared" si="31"/>
        <v>200</v>
      </c>
      <c r="BZ23" s="207">
        <f t="shared" si="32"/>
        <v>210</v>
      </c>
      <c r="CA23" s="207">
        <f t="shared" si="33"/>
        <v>200</v>
      </c>
    </row>
    <row r="24" spans="1:79" s="122" customFormat="1" ht="49.5" customHeight="1" hidden="1">
      <c r="A24" s="4"/>
      <c r="B24" s="4"/>
      <c r="C24" s="4"/>
      <c r="D24" s="4"/>
      <c r="E24" s="4"/>
      <c r="F24" s="4"/>
      <c r="G24" s="4"/>
      <c r="H24" s="11"/>
      <c r="I24" s="24"/>
      <c r="J24" s="43"/>
      <c r="K24" s="43"/>
      <c r="L24" s="43"/>
      <c r="M24" s="43"/>
      <c r="N24" s="43"/>
      <c r="O24" s="4"/>
      <c r="P24" s="4"/>
      <c r="Q24" s="8"/>
      <c r="R24" s="8"/>
      <c r="S24" s="4" t="s">
        <v>1196</v>
      </c>
      <c r="T24" s="4"/>
      <c r="U24" s="4"/>
      <c r="V24" s="8">
        <v>140</v>
      </c>
      <c r="W24" s="8">
        <v>36</v>
      </c>
      <c r="X24" s="7">
        <f>(0.78+0.18+0.15+0.1+0.04)/5</f>
        <v>0.25</v>
      </c>
      <c r="Y24" s="8">
        <v>12</v>
      </c>
      <c r="Z24" s="7">
        <f>X24*V24*Y24*0.0036</f>
        <v>1.512</v>
      </c>
      <c r="AA24" s="7">
        <f>X24*W24*Y24*0.0036</f>
        <v>0.3888</v>
      </c>
      <c r="AB24" s="8">
        <v>30</v>
      </c>
      <c r="AC24" s="8">
        <v>12</v>
      </c>
      <c r="AD24" s="13">
        <f>Z24*AB24*AC24</f>
        <v>544.3199999999999</v>
      </c>
      <c r="AE24" s="13">
        <f>AA24*AB24*AC24</f>
        <v>139.968</v>
      </c>
      <c r="AF24" s="4"/>
      <c r="AG24" s="4"/>
      <c r="AH24" s="4"/>
      <c r="AI24" s="129"/>
      <c r="AJ24" s="129"/>
      <c r="AK24" s="127"/>
      <c r="AL24" s="129"/>
      <c r="AM24" s="58"/>
      <c r="AN24" s="58"/>
      <c r="AO24" s="4"/>
      <c r="AP24" s="4"/>
      <c r="AQ24" s="59"/>
      <c r="AR24" s="83"/>
      <c r="AS24" s="131"/>
      <c r="AT24" s="131"/>
      <c r="AU24" s="131"/>
      <c r="AV24" s="131"/>
      <c r="AW24" s="131"/>
      <c r="AX24" s="131"/>
      <c r="AY24" s="131"/>
      <c r="AZ24" s="131"/>
      <c r="BA24" s="131"/>
      <c r="BB24" s="131"/>
      <c r="BC24" s="131"/>
      <c r="BD24" s="131"/>
      <c r="BE24" s="131"/>
      <c r="BF24" s="131"/>
      <c r="BG24" s="131"/>
      <c r="BH24" s="131"/>
      <c r="BI24" s="131"/>
      <c r="BJ24" s="206"/>
      <c r="BK24" s="206"/>
      <c r="BL24" s="131"/>
      <c r="BM24" s="131"/>
      <c r="BN24" s="131"/>
      <c r="BO24" s="131"/>
      <c r="BP24" s="180"/>
      <c r="BQ24" s="180"/>
      <c r="BR24" s="207"/>
      <c r="BS24" s="207"/>
      <c r="BT24" s="207"/>
      <c r="BU24" s="207"/>
      <c r="BV24" s="207"/>
      <c r="BW24" s="207"/>
      <c r="BX24" s="207"/>
      <c r="BY24" s="207"/>
      <c r="BZ24" s="207"/>
      <c r="CA24" s="207"/>
    </row>
    <row r="25" spans="1:79" s="122" customFormat="1" ht="49.5" customHeight="1" hidden="1">
      <c r="A25" s="4"/>
      <c r="B25" s="4"/>
      <c r="C25" s="4"/>
      <c r="D25" s="4"/>
      <c r="E25" s="4"/>
      <c r="F25" s="4"/>
      <c r="G25" s="4"/>
      <c r="H25" s="11"/>
      <c r="I25" s="24"/>
      <c r="J25" s="43"/>
      <c r="K25" s="43"/>
      <c r="L25" s="43"/>
      <c r="M25" s="43"/>
      <c r="N25" s="43"/>
      <c r="O25" s="4"/>
      <c r="P25" s="4"/>
      <c r="Q25" s="8"/>
      <c r="R25" s="8"/>
      <c r="S25" s="4" t="s">
        <v>1197</v>
      </c>
      <c r="T25" s="4"/>
      <c r="U25" s="4"/>
      <c r="V25" s="8">
        <v>42.9</v>
      </c>
      <c r="W25" s="8">
        <v>5</v>
      </c>
      <c r="X25" s="7">
        <v>0.14</v>
      </c>
      <c r="Y25" s="8">
        <v>12</v>
      </c>
      <c r="Z25" s="7">
        <f>X25*V25*Y25*0.0036</f>
        <v>0.2594592</v>
      </c>
      <c r="AA25" s="7">
        <f>X25*W25*Y25*0.0036</f>
        <v>0.03024</v>
      </c>
      <c r="AB25" s="8">
        <v>30</v>
      </c>
      <c r="AC25" s="8">
        <v>12</v>
      </c>
      <c r="AD25" s="13">
        <f>Z25*AB25*AC25</f>
        <v>93.405312</v>
      </c>
      <c r="AE25" s="13">
        <f>AA25*AB25*AC25</f>
        <v>10.8864</v>
      </c>
      <c r="AF25" s="4"/>
      <c r="AG25" s="4"/>
      <c r="AH25" s="4"/>
      <c r="AI25" s="129"/>
      <c r="AJ25" s="129"/>
      <c r="AK25" s="127"/>
      <c r="AL25" s="129"/>
      <c r="AM25" s="58"/>
      <c r="AN25" s="58"/>
      <c r="AO25" s="4"/>
      <c r="AP25" s="4"/>
      <c r="AQ25" s="59"/>
      <c r="AR25" s="83"/>
      <c r="AS25" s="131"/>
      <c r="AT25" s="131"/>
      <c r="AU25" s="131"/>
      <c r="AV25" s="131"/>
      <c r="AW25" s="131"/>
      <c r="AX25" s="131"/>
      <c r="AY25" s="131"/>
      <c r="AZ25" s="131"/>
      <c r="BA25" s="131"/>
      <c r="BB25" s="131"/>
      <c r="BC25" s="131"/>
      <c r="BD25" s="131"/>
      <c r="BE25" s="131"/>
      <c r="BF25" s="131"/>
      <c r="BG25" s="131"/>
      <c r="BH25" s="131"/>
      <c r="BI25" s="131"/>
      <c r="BJ25" s="206"/>
      <c r="BK25" s="206"/>
      <c r="BL25" s="131"/>
      <c r="BM25" s="131"/>
      <c r="BN25" s="131"/>
      <c r="BO25" s="131"/>
      <c r="BP25" s="180"/>
      <c r="BQ25" s="180"/>
      <c r="BR25" s="207"/>
      <c r="BS25" s="207"/>
      <c r="BT25" s="207"/>
      <c r="BU25" s="207"/>
      <c r="BV25" s="207"/>
      <c r="BW25" s="207"/>
      <c r="BX25" s="207"/>
      <c r="BY25" s="207"/>
      <c r="BZ25" s="207"/>
      <c r="CA25" s="207"/>
    </row>
    <row r="26" spans="1:79" ht="49.5" customHeight="1">
      <c r="A26" s="4">
        <v>15</v>
      </c>
      <c r="B26" s="4" t="s">
        <v>20</v>
      </c>
      <c r="C26" s="4" t="s">
        <v>19</v>
      </c>
      <c r="D26" s="4">
        <v>2</v>
      </c>
      <c r="E26" s="4" t="s">
        <v>410</v>
      </c>
      <c r="F26" s="4" t="s">
        <v>344</v>
      </c>
      <c r="G26" s="4" t="s">
        <v>129</v>
      </c>
      <c r="H26" s="11" t="s">
        <v>227</v>
      </c>
      <c r="I26" s="11" t="s">
        <v>480</v>
      </c>
      <c r="J26" s="27">
        <v>42899</v>
      </c>
      <c r="K26" s="27">
        <v>43005</v>
      </c>
      <c r="L26" s="27">
        <v>43020</v>
      </c>
      <c r="M26" s="5" t="s">
        <v>74</v>
      </c>
      <c r="N26" s="27">
        <v>44845</v>
      </c>
      <c r="O26" s="8" t="s">
        <v>51</v>
      </c>
      <c r="P26" s="8" t="s">
        <v>55</v>
      </c>
      <c r="Q26" s="8" t="s">
        <v>705</v>
      </c>
      <c r="R26" s="8" t="s">
        <v>827</v>
      </c>
      <c r="S26" s="4" t="s">
        <v>1198</v>
      </c>
      <c r="T26" s="4">
        <v>16</v>
      </c>
      <c r="U26" s="96">
        <f>X26/T26</f>
        <v>0.008713235294117648</v>
      </c>
      <c r="V26" s="71">
        <v>26</v>
      </c>
      <c r="W26" s="71">
        <v>7</v>
      </c>
      <c r="X26" s="41">
        <f>((0.15+0.05+0.2+0.16+0.14+0.14+0.08+0.11+0.11+0.11+0.2+0.1+0.14+0.2+0.12+0.2+0.16)/17)</f>
        <v>0.13941176470588237</v>
      </c>
      <c r="Y26" s="71">
        <v>18</v>
      </c>
      <c r="Z26" s="7">
        <f t="shared" si="34"/>
        <v>0.23488094117647065</v>
      </c>
      <c r="AA26" s="7">
        <f t="shared" si="36"/>
        <v>0.06323717647058825</v>
      </c>
      <c r="AB26" s="8">
        <v>30</v>
      </c>
      <c r="AC26" s="8">
        <v>12</v>
      </c>
      <c r="AD26" s="13">
        <f t="shared" si="9"/>
        <v>84.55713882352944</v>
      </c>
      <c r="AE26" s="13">
        <f t="shared" si="10"/>
        <v>22.76538352941177</v>
      </c>
      <c r="AF26" s="4" t="s">
        <v>1034</v>
      </c>
      <c r="AG26" s="4">
        <v>16</v>
      </c>
      <c r="AH26" s="96">
        <f>AK26/AG26</f>
        <v>0.008713235294117648</v>
      </c>
      <c r="AI26" s="71">
        <v>26</v>
      </c>
      <c r="AJ26" s="71">
        <v>7</v>
      </c>
      <c r="AK26" s="41">
        <f>((0.15+0.05+0.2+0.16+0.14+0.14+0.08+0.11+0.11+0.11+0.2+0.1+0.14+0.2+0.12+0.2+0.16)/17)</f>
        <v>0.13941176470588237</v>
      </c>
      <c r="AL26" s="71">
        <v>18</v>
      </c>
      <c r="AM26" s="7">
        <f t="shared" si="35"/>
        <v>0.23488094117647065</v>
      </c>
      <c r="AN26" s="7">
        <f t="shared" si="37"/>
        <v>0.06323717647058825</v>
      </c>
      <c r="AO26" s="8">
        <v>30</v>
      </c>
      <c r="AP26" s="8">
        <v>12</v>
      </c>
      <c r="AQ26" s="13">
        <f t="shared" si="38"/>
        <v>84.55713882352944</v>
      </c>
      <c r="AR26" s="80">
        <f t="shared" si="0"/>
        <v>22.76538352941177</v>
      </c>
      <c r="AS26" s="203" t="s">
        <v>1291</v>
      </c>
      <c r="AT26" s="134">
        <v>80</v>
      </c>
      <c r="AU26" s="134">
        <v>50</v>
      </c>
      <c r="AV26" s="13">
        <f>(V26*X26+AI26*AK26)/(X26+AK26)</f>
        <v>26</v>
      </c>
      <c r="AW26" s="13">
        <f>(W26*X26+AJ26*AK26)/(X26+AK26)</f>
        <v>7</v>
      </c>
      <c r="AX26" s="125">
        <f>AVERAGE(X26,AK26)</f>
        <v>0.13941176470588237</v>
      </c>
      <c r="AY26" s="130">
        <v>18</v>
      </c>
      <c r="AZ26" s="125">
        <f>AX26*AV26*AY26*0.0036</f>
        <v>0.23488094117647065</v>
      </c>
      <c r="BA26" s="125">
        <f>AX26*AW26*AY26*0.0036</f>
        <v>0.06323717647058825</v>
      </c>
      <c r="BB26" s="130">
        <v>30</v>
      </c>
      <c r="BC26" s="130">
        <v>12</v>
      </c>
      <c r="BD26" s="125">
        <f>AZ26*BB26*BC26</f>
        <v>84.55713882352944</v>
      </c>
      <c r="BE26" s="125">
        <f>BA26*BB26*BC26</f>
        <v>22.76538352941177</v>
      </c>
      <c r="BF26" s="130">
        <v>80</v>
      </c>
      <c r="BG26" s="130">
        <v>50</v>
      </c>
      <c r="BH26" s="125">
        <f>AX26</f>
        <v>0.13941176470588237</v>
      </c>
      <c r="BI26" s="130">
        <v>18</v>
      </c>
      <c r="BJ26" s="180">
        <f>BH26*BF26*BI26*0.0036</f>
        <v>0.7227105882352942</v>
      </c>
      <c r="BK26" s="180">
        <f>BH26*BG26*BI26*0.0036</f>
        <v>0.45169411764705886</v>
      </c>
      <c r="BL26" s="130">
        <v>30</v>
      </c>
      <c r="BM26" s="130">
        <v>12</v>
      </c>
      <c r="BN26" s="142">
        <f>BJ26*BL26*BM26</f>
        <v>260.17581176470594</v>
      </c>
      <c r="BO26" s="142">
        <f>BK26*BL26*BM26</f>
        <v>162.60988235294118</v>
      </c>
      <c r="BP26" s="180">
        <f t="shared" si="1"/>
        <v>172.3664752941177</v>
      </c>
      <c r="BQ26" s="180">
        <f t="shared" si="2"/>
        <v>92.68763294117647</v>
      </c>
      <c r="BR26" s="207">
        <f aca="true" t="shared" si="39" ref="BR26:BU28">ROUNDUP(BN26,-1)</f>
        <v>270</v>
      </c>
      <c r="BS26" s="207">
        <f t="shared" si="39"/>
        <v>170</v>
      </c>
      <c r="BT26" s="207">
        <f t="shared" si="39"/>
        <v>180</v>
      </c>
      <c r="BU26" s="207">
        <f t="shared" si="39"/>
        <v>100</v>
      </c>
      <c r="BV26" s="207">
        <f aca="true" t="shared" si="40" ref="BV26:BW28">ROUNDUP(BP26,-1)</f>
        <v>180</v>
      </c>
      <c r="BW26" s="207">
        <f t="shared" si="40"/>
        <v>100</v>
      </c>
      <c r="BX26" s="207">
        <f aca="true" t="shared" si="41" ref="BX26:BY28">ROUNDUP(BP26,-1)</f>
        <v>180</v>
      </c>
      <c r="BY26" s="207">
        <f t="shared" si="41"/>
        <v>100</v>
      </c>
      <c r="BZ26" s="207">
        <f aca="true" t="shared" si="42" ref="BZ26:CA28">ROUNDUP(BP26,-1)</f>
        <v>180</v>
      </c>
      <c r="CA26" s="207">
        <f t="shared" si="42"/>
        <v>100</v>
      </c>
    </row>
    <row r="27" spans="1:79" ht="49.5" customHeight="1">
      <c r="A27" s="4">
        <v>16</v>
      </c>
      <c r="B27" s="4" t="s">
        <v>20</v>
      </c>
      <c r="C27" s="4" t="s">
        <v>19</v>
      </c>
      <c r="D27" s="4">
        <v>2</v>
      </c>
      <c r="E27" s="4" t="s">
        <v>409</v>
      </c>
      <c r="F27" s="4" t="s">
        <v>179</v>
      </c>
      <c r="G27" s="4" t="s">
        <v>130</v>
      </c>
      <c r="H27" s="4" t="s">
        <v>11</v>
      </c>
      <c r="I27" s="9" t="s">
        <v>67</v>
      </c>
      <c r="J27" s="9" t="s">
        <v>67</v>
      </c>
      <c r="K27" s="9" t="s">
        <v>67</v>
      </c>
      <c r="L27" s="9" t="s">
        <v>67</v>
      </c>
      <c r="M27" s="9" t="s">
        <v>67</v>
      </c>
      <c r="N27" s="9" t="s">
        <v>67</v>
      </c>
      <c r="O27" s="8" t="s">
        <v>51</v>
      </c>
      <c r="P27" s="8" t="s">
        <v>55</v>
      </c>
      <c r="Q27" s="8" t="s">
        <v>706</v>
      </c>
      <c r="R27" s="8" t="s">
        <v>828</v>
      </c>
      <c r="S27" s="4" t="s">
        <v>1199</v>
      </c>
      <c r="T27" s="4">
        <v>24</v>
      </c>
      <c r="U27" s="96">
        <f>X27/T27</f>
        <v>0.00617156862745098</v>
      </c>
      <c r="V27" s="8">
        <v>46</v>
      </c>
      <c r="W27" s="8">
        <v>14</v>
      </c>
      <c r="X27" s="7">
        <f>((0.142+0.147+0.149+0.156+0.142+0.14+0.144+0.153+0.162+0.156+0.138+0.147+0.153+0.142+0.147+0.158+0.142)/17)</f>
        <v>0.14811764705882352</v>
      </c>
      <c r="Y27" s="8">
        <v>18</v>
      </c>
      <c r="Z27" s="7">
        <f>X27*V27*Y27*0.0036</f>
        <v>0.4415090823529412</v>
      </c>
      <c r="AA27" s="7">
        <f>X27*W27*Y27*0.0036</f>
        <v>0.1343723294117647</v>
      </c>
      <c r="AB27" s="8">
        <v>30</v>
      </c>
      <c r="AC27" s="8">
        <v>12</v>
      </c>
      <c r="AD27" s="13">
        <f t="shared" si="9"/>
        <v>158.94326964705883</v>
      </c>
      <c r="AE27" s="13">
        <f t="shared" si="10"/>
        <v>48.374038588235294</v>
      </c>
      <c r="AF27" s="4" t="s">
        <v>1035</v>
      </c>
      <c r="AG27" s="4">
        <v>24</v>
      </c>
      <c r="AH27" s="96">
        <f>AK27/AG27</f>
        <v>0.006416666666666667</v>
      </c>
      <c r="AI27" s="71">
        <v>28</v>
      </c>
      <c r="AJ27" s="71">
        <v>49</v>
      </c>
      <c r="AK27" s="41">
        <v>0.154</v>
      </c>
      <c r="AL27" s="71">
        <v>18</v>
      </c>
      <c r="AM27" s="7">
        <f t="shared" si="35"/>
        <v>0.2794176</v>
      </c>
      <c r="AN27" s="7">
        <f t="shared" si="37"/>
        <v>0.4889808</v>
      </c>
      <c r="AO27" s="8">
        <v>30</v>
      </c>
      <c r="AP27" s="8">
        <v>12</v>
      </c>
      <c r="AQ27" s="13">
        <f t="shared" si="38"/>
        <v>100.59033599999998</v>
      </c>
      <c r="AR27" s="80">
        <f t="shared" si="0"/>
        <v>176.033088</v>
      </c>
      <c r="AS27" s="89"/>
      <c r="AT27" s="89"/>
      <c r="AU27" s="89"/>
      <c r="AV27" s="13">
        <f>(V27*X27+AI27*AK27)/(X27+AK27)</f>
        <v>36.82476635514019</v>
      </c>
      <c r="AW27" s="13">
        <f>(W27*X27+AJ27*AK27)/(X27+AK27)</f>
        <v>31.84073208722742</v>
      </c>
      <c r="AX27" s="125">
        <f>AVERAGE(X27,AK27)</f>
        <v>0.15105882352941175</v>
      </c>
      <c r="AY27" s="130">
        <v>18</v>
      </c>
      <c r="AZ27" s="125">
        <f>AX27*AV27*AY27*0.0036</f>
        <v>0.3604633411764706</v>
      </c>
      <c r="BA27" s="125">
        <f>AX27*AW27*AY27*0.0036</f>
        <v>0.31167656470588234</v>
      </c>
      <c r="BB27" s="130">
        <v>30</v>
      </c>
      <c r="BC27" s="130">
        <v>12</v>
      </c>
      <c r="BD27" s="125">
        <f>AZ27*BB27*BC27</f>
        <v>129.76680282352942</v>
      </c>
      <c r="BE27" s="125">
        <f>BA27*BB27*BC27</f>
        <v>112.20356329411764</v>
      </c>
      <c r="BF27" s="198">
        <v>90</v>
      </c>
      <c r="BG27" s="198">
        <v>90</v>
      </c>
      <c r="BH27" s="125">
        <f>AX27</f>
        <v>0.15105882352941175</v>
      </c>
      <c r="BI27" s="130">
        <v>18</v>
      </c>
      <c r="BJ27" s="180">
        <f>BH27*BF27*BI27*0.0036</f>
        <v>0.8809750588235293</v>
      </c>
      <c r="BK27" s="180">
        <f>BH27*BG27*BI27*0.0036</f>
        <v>0.8809750588235293</v>
      </c>
      <c r="BL27" s="130">
        <v>30</v>
      </c>
      <c r="BM27" s="130">
        <v>12</v>
      </c>
      <c r="BN27" s="142">
        <f>BJ27*BL27*BM27</f>
        <v>317.1510211764706</v>
      </c>
      <c r="BO27" s="142">
        <f>BK27*BL27*BM27</f>
        <v>317.1510211764706</v>
      </c>
      <c r="BP27" s="180">
        <f t="shared" si="1"/>
        <v>223.458912</v>
      </c>
      <c r="BQ27" s="180">
        <f t="shared" si="2"/>
        <v>214.67729223529412</v>
      </c>
      <c r="BR27" s="207">
        <f t="shared" si="39"/>
        <v>320</v>
      </c>
      <c r="BS27" s="207">
        <f t="shared" si="39"/>
        <v>320</v>
      </c>
      <c r="BT27" s="207">
        <f t="shared" si="39"/>
        <v>230</v>
      </c>
      <c r="BU27" s="207">
        <f t="shared" si="39"/>
        <v>220</v>
      </c>
      <c r="BV27" s="207">
        <f t="shared" si="40"/>
        <v>230</v>
      </c>
      <c r="BW27" s="207">
        <f t="shared" si="40"/>
        <v>220</v>
      </c>
      <c r="BX27" s="207">
        <f t="shared" si="41"/>
        <v>230</v>
      </c>
      <c r="BY27" s="207">
        <f t="shared" si="41"/>
        <v>220</v>
      </c>
      <c r="BZ27" s="207">
        <f t="shared" si="42"/>
        <v>230</v>
      </c>
      <c r="CA27" s="207">
        <f t="shared" si="42"/>
        <v>220</v>
      </c>
    </row>
    <row r="28" spans="1:79" ht="49.5" customHeight="1">
      <c r="A28" s="4">
        <v>17</v>
      </c>
      <c r="B28" s="4" t="s">
        <v>20</v>
      </c>
      <c r="C28" s="4" t="s">
        <v>19</v>
      </c>
      <c r="D28" s="4">
        <v>2</v>
      </c>
      <c r="E28" s="4" t="s">
        <v>387</v>
      </c>
      <c r="F28" s="4" t="s">
        <v>180</v>
      </c>
      <c r="G28" s="4" t="s">
        <v>452</v>
      </c>
      <c r="H28" s="11" t="s">
        <v>227</v>
      </c>
      <c r="I28" s="11" t="s">
        <v>481</v>
      </c>
      <c r="J28" s="27">
        <v>43207</v>
      </c>
      <c r="K28" s="27" t="s">
        <v>482</v>
      </c>
      <c r="L28" s="27" t="s">
        <v>10</v>
      </c>
      <c r="M28" s="5" t="s">
        <v>74</v>
      </c>
      <c r="N28" s="26">
        <v>2023</v>
      </c>
      <c r="O28" s="8" t="s">
        <v>51</v>
      </c>
      <c r="P28" s="8" t="s">
        <v>55</v>
      </c>
      <c r="Q28" s="8" t="s">
        <v>707</v>
      </c>
      <c r="R28" s="8" t="s">
        <v>829</v>
      </c>
      <c r="S28" s="4" t="s">
        <v>1200</v>
      </c>
      <c r="T28" s="4">
        <v>14</v>
      </c>
      <c r="U28" s="96">
        <f>X28/T28</f>
        <v>0.031607142857142854</v>
      </c>
      <c r="V28" s="31">
        <f>(V29*X29+V30*X30)/(X29+X30)</f>
        <v>57.166101694915255</v>
      </c>
      <c r="W28" s="31">
        <f>(W29*X29+W30*X30)/(X29+X30)</f>
        <v>67.66101694915254</v>
      </c>
      <c r="X28" s="31">
        <f>AVERAGE(X29:X30)</f>
        <v>0.4425</v>
      </c>
      <c r="Y28" s="8">
        <v>18</v>
      </c>
      <c r="Z28" s="7"/>
      <c r="AA28" s="7"/>
      <c r="AB28" s="8"/>
      <c r="AC28" s="8"/>
      <c r="AD28" s="13">
        <f>AVERAGE(AD29:AD30)</f>
        <v>590.105088</v>
      </c>
      <c r="AE28" s="13">
        <f>AVERAGE(AE29:AE30)</f>
        <v>698.44032</v>
      </c>
      <c r="AF28" s="4" t="s">
        <v>1036</v>
      </c>
      <c r="AG28" s="4">
        <v>14</v>
      </c>
      <c r="AH28" s="96">
        <f>AK28/AG28</f>
        <v>0.09285714285714286</v>
      </c>
      <c r="AI28" s="71">
        <v>31</v>
      </c>
      <c r="AJ28" s="71">
        <v>20</v>
      </c>
      <c r="AK28" s="50">
        <v>1.3</v>
      </c>
      <c r="AL28" s="71">
        <v>18</v>
      </c>
      <c r="AM28" s="7">
        <f t="shared" si="35"/>
        <v>2.6114400000000004</v>
      </c>
      <c r="AN28" s="7">
        <f t="shared" si="37"/>
        <v>1.6847999999999999</v>
      </c>
      <c r="AO28" s="8">
        <v>30</v>
      </c>
      <c r="AP28" s="8">
        <v>12</v>
      </c>
      <c r="AQ28" s="13">
        <f>AM28*AO28*AP28</f>
        <v>940.1184000000001</v>
      </c>
      <c r="AR28" s="80">
        <f>AN28*AO28*AP28</f>
        <v>606.528</v>
      </c>
      <c r="AS28" s="133" t="s">
        <v>1222</v>
      </c>
      <c r="AT28" s="133" t="s">
        <v>1180</v>
      </c>
      <c r="AU28" s="134">
        <v>100</v>
      </c>
      <c r="AV28" s="13">
        <f>(V28*X28+AI28*AK28)/(X28+AK28)</f>
        <v>37.64476327116212</v>
      </c>
      <c r="AW28" s="13">
        <f>(W28*X28+AJ28*AK28)/(X28+AK28)</f>
        <v>32.103299856527975</v>
      </c>
      <c r="AX28" s="125">
        <f>AVERAGE(X28,AK28)</f>
        <v>0.8712500000000001</v>
      </c>
      <c r="AY28" s="130">
        <v>18</v>
      </c>
      <c r="AZ28" s="125">
        <f>AX28*AV28*AY28*0.0036</f>
        <v>2.1253104</v>
      </c>
      <c r="BA28" s="125">
        <f>AX28*AW28*AY28*0.0036</f>
        <v>1.812456</v>
      </c>
      <c r="BB28" s="130">
        <v>30</v>
      </c>
      <c r="BC28" s="130">
        <v>12</v>
      </c>
      <c r="BD28" s="125">
        <f>AZ28*BB28*BC28</f>
        <v>765.111744</v>
      </c>
      <c r="BE28" s="125">
        <f>BA28*BB28*BC28</f>
        <v>652.48416</v>
      </c>
      <c r="BF28" s="130">
        <v>90</v>
      </c>
      <c r="BG28" s="130">
        <v>100</v>
      </c>
      <c r="BH28" s="125">
        <f>AX28</f>
        <v>0.8712500000000001</v>
      </c>
      <c r="BI28" s="130">
        <v>18</v>
      </c>
      <c r="BJ28" s="180">
        <f>BH28*BF28*BI28*0.0036</f>
        <v>5.081130000000001</v>
      </c>
      <c r="BK28" s="180">
        <f>BH28*BG28*BI28*0.0036</f>
        <v>5.645700000000001</v>
      </c>
      <c r="BL28" s="130">
        <v>30</v>
      </c>
      <c r="BM28" s="130">
        <v>12</v>
      </c>
      <c r="BN28" s="142">
        <f>BJ28*BL28*BM28</f>
        <v>1829.2068000000004</v>
      </c>
      <c r="BO28" s="142">
        <f>BK28*BL28*BM28</f>
        <v>2032.4520000000002</v>
      </c>
      <c r="BP28" s="180">
        <f t="shared" si="1"/>
        <v>1297.1592720000003</v>
      </c>
      <c r="BQ28" s="180">
        <f t="shared" si="2"/>
        <v>1342.46808</v>
      </c>
      <c r="BR28" s="207">
        <f t="shared" si="39"/>
        <v>1830</v>
      </c>
      <c r="BS28" s="207">
        <f t="shared" si="39"/>
        <v>2040</v>
      </c>
      <c r="BT28" s="207">
        <f t="shared" si="39"/>
        <v>1300</v>
      </c>
      <c r="BU28" s="207">
        <f t="shared" si="39"/>
        <v>1350</v>
      </c>
      <c r="BV28" s="207">
        <f t="shared" si="40"/>
        <v>1300</v>
      </c>
      <c r="BW28" s="207">
        <f t="shared" si="40"/>
        <v>1350</v>
      </c>
      <c r="BX28" s="207">
        <f t="shared" si="41"/>
        <v>1300</v>
      </c>
      <c r="BY28" s="207">
        <f t="shared" si="41"/>
        <v>1350</v>
      </c>
      <c r="BZ28" s="207">
        <f t="shared" si="42"/>
        <v>1300</v>
      </c>
      <c r="CA28" s="207">
        <f t="shared" si="42"/>
        <v>1350</v>
      </c>
    </row>
    <row r="29" spans="1:79" s="122" customFormat="1" ht="49.5" customHeight="1" hidden="1">
      <c r="A29" s="4"/>
      <c r="B29" s="4"/>
      <c r="C29" s="4"/>
      <c r="D29" s="4"/>
      <c r="E29" s="4"/>
      <c r="F29" s="4"/>
      <c r="G29" s="4"/>
      <c r="H29" s="11"/>
      <c r="I29" s="11"/>
      <c r="J29" s="27"/>
      <c r="K29" s="27"/>
      <c r="L29" s="27"/>
      <c r="M29" s="5"/>
      <c r="N29" s="26"/>
      <c r="O29" s="8"/>
      <c r="P29" s="8"/>
      <c r="Q29" s="8"/>
      <c r="R29" s="8"/>
      <c r="S29" s="4" t="s">
        <v>1201</v>
      </c>
      <c r="T29" s="4"/>
      <c r="U29" s="4"/>
      <c r="V29" s="8">
        <v>76.6</v>
      </c>
      <c r="W29" s="8">
        <v>94</v>
      </c>
      <c r="X29" s="7">
        <f>(1.33+0.1+1.07+0.27+0.08)/5</f>
        <v>0.5700000000000001</v>
      </c>
      <c r="Y29" s="8">
        <v>18</v>
      </c>
      <c r="Z29" s="7">
        <f>X29*V29*Y29*0.0036</f>
        <v>2.8292976</v>
      </c>
      <c r="AA29" s="7">
        <f>X29*W29*Y29*0.0036</f>
        <v>3.471984</v>
      </c>
      <c r="AB29" s="8">
        <v>30</v>
      </c>
      <c r="AC29" s="8">
        <v>12</v>
      </c>
      <c r="AD29" s="13">
        <f>Z29*AB29*AC29</f>
        <v>1018.547136</v>
      </c>
      <c r="AE29" s="13">
        <f>AA29*AB29*AC29</f>
        <v>1249.91424</v>
      </c>
      <c r="AF29" s="4"/>
      <c r="AG29" s="4"/>
      <c r="AH29" s="4"/>
      <c r="AI29" s="128"/>
      <c r="AJ29" s="128"/>
      <c r="AK29" s="126"/>
      <c r="AL29" s="128"/>
      <c r="AM29" s="7"/>
      <c r="AN29" s="7"/>
      <c r="AO29" s="8"/>
      <c r="AP29" s="8"/>
      <c r="AQ29" s="13"/>
      <c r="AR29" s="80"/>
      <c r="AS29" s="131"/>
      <c r="AT29" s="131"/>
      <c r="AU29" s="131"/>
      <c r="AV29" s="131"/>
      <c r="AW29" s="131"/>
      <c r="AX29" s="131"/>
      <c r="AY29" s="131"/>
      <c r="AZ29" s="131"/>
      <c r="BA29" s="131"/>
      <c r="BB29" s="131"/>
      <c r="BC29" s="131"/>
      <c r="BD29" s="131"/>
      <c r="BE29" s="131"/>
      <c r="BF29" s="131"/>
      <c r="BG29" s="131"/>
      <c r="BH29" s="131"/>
      <c r="BI29" s="131"/>
      <c r="BJ29" s="206"/>
      <c r="BK29" s="206"/>
      <c r="BL29" s="131"/>
      <c r="BM29" s="131"/>
      <c r="BN29" s="131"/>
      <c r="BO29" s="131"/>
      <c r="BP29" s="180"/>
      <c r="BQ29" s="180"/>
      <c r="BR29" s="207"/>
      <c r="BS29" s="207"/>
      <c r="BT29" s="207"/>
      <c r="BU29" s="207"/>
      <c r="BV29" s="207"/>
      <c r="BW29" s="207"/>
      <c r="BX29" s="207"/>
      <c r="BY29" s="207"/>
      <c r="BZ29" s="207"/>
      <c r="CA29" s="207"/>
    </row>
    <row r="30" spans="1:79" s="122" customFormat="1" ht="49.5" customHeight="1" hidden="1">
      <c r="A30" s="4"/>
      <c r="B30" s="4"/>
      <c r="C30" s="4"/>
      <c r="D30" s="4"/>
      <c r="E30" s="4"/>
      <c r="F30" s="4"/>
      <c r="G30" s="4"/>
      <c r="H30" s="11"/>
      <c r="I30" s="11"/>
      <c r="J30" s="27"/>
      <c r="K30" s="27"/>
      <c r="L30" s="27"/>
      <c r="M30" s="5"/>
      <c r="N30" s="26"/>
      <c r="O30" s="8"/>
      <c r="P30" s="8"/>
      <c r="Q30" s="8"/>
      <c r="R30" s="8"/>
      <c r="S30" s="4" t="s">
        <v>1202</v>
      </c>
      <c r="T30" s="4"/>
      <c r="U30" s="4"/>
      <c r="V30" s="8">
        <v>22</v>
      </c>
      <c r="W30" s="8">
        <v>20</v>
      </c>
      <c r="X30" s="7">
        <v>0.315</v>
      </c>
      <c r="Y30" s="8">
        <v>18</v>
      </c>
      <c r="Z30" s="7">
        <f>X30*V30*Y30*0.0036</f>
        <v>0.44906399999999996</v>
      </c>
      <c r="AA30" s="7">
        <f>X30*W30*Y30*0.0036</f>
        <v>0.40823999999999994</v>
      </c>
      <c r="AB30" s="8">
        <v>30</v>
      </c>
      <c r="AC30" s="8">
        <v>12</v>
      </c>
      <c r="AD30" s="13">
        <f>Z30*AB30*AC30</f>
        <v>161.66304</v>
      </c>
      <c r="AE30" s="13">
        <f>AA30*AB30*AC30</f>
        <v>146.96639999999996</v>
      </c>
      <c r="AF30" s="4"/>
      <c r="AG30" s="4"/>
      <c r="AH30" s="4"/>
      <c r="AI30" s="128"/>
      <c r="AJ30" s="128"/>
      <c r="AK30" s="126"/>
      <c r="AL30" s="128"/>
      <c r="AM30" s="7"/>
      <c r="AN30" s="7"/>
      <c r="AO30" s="8"/>
      <c r="AP30" s="8"/>
      <c r="AQ30" s="13"/>
      <c r="AR30" s="80"/>
      <c r="AS30" s="131"/>
      <c r="AT30" s="131"/>
      <c r="AU30" s="131"/>
      <c r="AV30" s="131"/>
      <c r="AW30" s="131"/>
      <c r="AX30" s="131"/>
      <c r="AY30" s="131"/>
      <c r="AZ30" s="131"/>
      <c r="BA30" s="131"/>
      <c r="BB30" s="131"/>
      <c r="BC30" s="131"/>
      <c r="BD30" s="131"/>
      <c r="BE30" s="131"/>
      <c r="BF30" s="131"/>
      <c r="BG30" s="131"/>
      <c r="BH30" s="131"/>
      <c r="BI30" s="131"/>
      <c r="BJ30" s="206"/>
      <c r="BK30" s="206"/>
      <c r="BL30" s="131"/>
      <c r="BM30" s="131"/>
      <c r="BN30" s="131"/>
      <c r="BO30" s="131"/>
      <c r="BP30" s="180"/>
      <c r="BQ30" s="180"/>
      <c r="BR30" s="207"/>
      <c r="BS30" s="207"/>
      <c r="BT30" s="207"/>
      <c r="BU30" s="207"/>
      <c r="BV30" s="207"/>
      <c r="BW30" s="207"/>
      <c r="BX30" s="207"/>
      <c r="BY30" s="207"/>
      <c r="BZ30" s="207"/>
      <c r="CA30" s="207"/>
    </row>
    <row r="31" spans="1:79" ht="49.5" customHeight="1">
      <c r="A31" s="4">
        <v>18</v>
      </c>
      <c r="B31" s="4" t="s">
        <v>20</v>
      </c>
      <c r="C31" s="4" t="s">
        <v>19</v>
      </c>
      <c r="D31" s="4">
        <v>2</v>
      </c>
      <c r="E31" s="4" t="s">
        <v>131</v>
      </c>
      <c r="F31" s="4" t="s">
        <v>181</v>
      </c>
      <c r="G31" s="4" t="s">
        <v>132</v>
      </c>
      <c r="H31" s="11" t="s">
        <v>227</v>
      </c>
      <c r="I31" s="11" t="s">
        <v>492</v>
      </c>
      <c r="J31" s="27">
        <v>43981</v>
      </c>
      <c r="K31" s="27" t="s">
        <v>491</v>
      </c>
      <c r="L31" s="27" t="s">
        <v>10</v>
      </c>
      <c r="M31" s="5" t="s">
        <v>74</v>
      </c>
      <c r="N31" s="27">
        <v>2025</v>
      </c>
      <c r="O31" s="8" t="s">
        <v>51</v>
      </c>
      <c r="P31" s="8" t="s">
        <v>55</v>
      </c>
      <c r="Q31" s="8" t="s">
        <v>708</v>
      </c>
      <c r="R31" s="8" t="s">
        <v>830</v>
      </c>
      <c r="S31" s="4" t="s">
        <v>1203</v>
      </c>
      <c r="T31" s="4">
        <v>14</v>
      </c>
      <c r="U31" s="96">
        <f aca="true" t="shared" si="43" ref="U31:U39">X31/T31</f>
        <v>0.011957983193277308</v>
      </c>
      <c r="V31" s="8">
        <v>70</v>
      </c>
      <c r="W31" s="8">
        <v>23</v>
      </c>
      <c r="X31" s="7">
        <f>((0.2+0.166+0.142+0.166+0.2+0.2+0.166+0.166+0.166+0.16+0.142+0.166+0.166+0.166+0.142+0.166+0.166)/17)</f>
        <v>0.16741176470588232</v>
      </c>
      <c r="Y31" s="71">
        <v>18</v>
      </c>
      <c r="Z31" s="7">
        <f t="shared" si="34"/>
        <v>0.7593797647058822</v>
      </c>
      <c r="AA31" s="7">
        <f t="shared" si="36"/>
        <v>0.249510494117647</v>
      </c>
      <c r="AB31" s="8">
        <v>30</v>
      </c>
      <c r="AC31" s="8">
        <v>12</v>
      </c>
      <c r="AD31" s="13">
        <f t="shared" si="9"/>
        <v>273.3767152941176</v>
      </c>
      <c r="AE31" s="13">
        <f t="shared" si="10"/>
        <v>89.82377788235291</v>
      </c>
      <c r="AF31" s="4" t="s">
        <v>1037</v>
      </c>
      <c r="AG31" s="4">
        <v>14</v>
      </c>
      <c r="AH31" s="96">
        <f aca="true" t="shared" si="44" ref="AH31:AH45">AK31/AG31</f>
        <v>0.011957983193277308</v>
      </c>
      <c r="AI31" s="71">
        <v>70</v>
      </c>
      <c r="AJ31" s="71">
        <v>23</v>
      </c>
      <c r="AK31" s="41">
        <f>((0.2+0.166+0.142+0.166+0.2+0.2+0.166+0.166+0.166+0.16+0.142+0.166+0.166+0.166+0.142+0.166+0.166)/17)</f>
        <v>0.16741176470588232</v>
      </c>
      <c r="AL31" s="71">
        <v>18</v>
      </c>
      <c r="AM31" s="7">
        <f t="shared" si="35"/>
        <v>0.7593797647058822</v>
      </c>
      <c r="AN31" s="7">
        <f t="shared" si="37"/>
        <v>0.249510494117647</v>
      </c>
      <c r="AO31" s="8">
        <v>30</v>
      </c>
      <c r="AP31" s="8">
        <v>12</v>
      </c>
      <c r="AQ31" s="13">
        <f>AM31*AO31*AP31</f>
        <v>273.3767152941176</v>
      </c>
      <c r="AR31" s="80">
        <f t="shared" si="0"/>
        <v>89.82377788235291</v>
      </c>
      <c r="AS31" s="134" t="s">
        <v>1142</v>
      </c>
      <c r="AT31" s="134">
        <v>90</v>
      </c>
      <c r="AU31" s="134">
        <v>90</v>
      </c>
      <c r="AV31" s="13">
        <f aca="true" t="shared" si="45" ref="AV31:AV49">(V31*X31+AI31*AK31)/(X31+AK31)</f>
        <v>70</v>
      </c>
      <c r="AW31" s="13">
        <f aca="true" t="shared" si="46" ref="AW31:AW49">(W31*X31+AJ31*AK31)/(X31+AK31)</f>
        <v>23</v>
      </c>
      <c r="AX31" s="125">
        <f aca="true" t="shared" si="47" ref="AX31:AX49">AVERAGE(X31,AK31)</f>
        <v>0.16741176470588232</v>
      </c>
      <c r="AY31" s="130">
        <v>18</v>
      </c>
      <c r="AZ31" s="125">
        <f aca="true" t="shared" si="48" ref="AZ31:AZ49">AX31*AV31*AY31*0.0036</f>
        <v>0.7593797647058822</v>
      </c>
      <c r="BA31" s="125">
        <f aca="true" t="shared" si="49" ref="BA31:BA49">AX31*AW31*AY31*0.0036</f>
        <v>0.249510494117647</v>
      </c>
      <c r="BB31" s="130">
        <v>30</v>
      </c>
      <c r="BC31" s="130">
        <v>12</v>
      </c>
      <c r="BD31" s="125">
        <f aca="true" t="shared" si="50" ref="BD31:BD49">AZ31*BB31*BC31</f>
        <v>273.3767152941176</v>
      </c>
      <c r="BE31" s="125">
        <f aca="true" t="shared" si="51" ref="BE31:BE49">BA31*BB31*BC31</f>
        <v>89.82377788235291</v>
      </c>
      <c r="BF31" s="130">
        <v>90</v>
      </c>
      <c r="BG31" s="130">
        <v>90</v>
      </c>
      <c r="BH31" s="125">
        <f aca="true" t="shared" si="52" ref="BH31:BH49">AX31</f>
        <v>0.16741176470588232</v>
      </c>
      <c r="BI31" s="130">
        <v>18</v>
      </c>
      <c r="BJ31" s="180">
        <f aca="true" t="shared" si="53" ref="BJ31:BJ49">BH31*BF31*BI31*0.0036</f>
        <v>0.9763454117647056</v>
      </c>
      <c r="BK31" s="180">
        <f aca="true" t="shared" si="54" ref="BK31:BK49">BH31*BG31*BI31*0.0036</f>
        <v>0.9763454117647056</v>
      </c>
      <c r="BL31" s="130">
        <v>30</v>
      </c>
      <c r="BM31" s="130">
        <v>12</v>
      </c>
      <c r="BN31" s="142">
        <f aca="true" t="shared" si="55" ref="BN31:BN49">BJ31*BL31*BM31</f>
        <v>351.48434823529396</v>
      </c>
      <c r="BO31" s="142">
        <f aca="true" t="shared" si="56" ref="BO31:BO49">BK31*BL31*BM31</f>
        <v>351.48434823529396</v>
      </c>
      <c r="BP31" s="180">
        <f t="shared" si="1"/>
        <v>312.4305317647058</v>
      </c>
      <c r="BQ31" s="180">
        <f t="shared" si="2"/>
        <v>220.65406305882345</v>
      </c>
      <c r="BR31" s="207">
        <f aca="true" t="shared" si="57" ref="BR31:BR49">ROUNDUP(BN31,-1)</f>
        <v>360</v>
      </c>
      <c r="BS31" s="207">
        <f aca="true" t="shared" si="58" ref="BS31:BS49">ROUNDUP(BO31,-1)</f>
        <v>360</v>
      </c>
      <c r="BT31" s="207">
        <f aca="true" t="shared" si="59" ref="BT31:BT49">ROUNDUP(BP31,-1)</f>
        <v>320</v>
      </c>
      <c r="BU31" s="207">
        <f aca="true" t="shared" si="60" ref="BU31:BU49">ROUNDUP(BQ31,-1)</f>
        <v>230</v>
      </c>
      <c r="BV31" s="207">
        <f aca="true" t="shared" si="61" ref="BV31:BV49">ROUNDUP(BP31,-1)</f>
        <v>320</v>
      </c>
      <c r="BW31" s="207">
        <f aca="true" t="shared" si="62" ref="BW31:BW49">ROUNDUP(BQ31,-1)</f>
        <v>230</v>
      </c>
      <c r="BX31" s="207">
        <f aca="true" t="shared" si="63" ref="BX31:BX49">ROUNDUP(BP31,-1)</f>
        <v>320</v>
      </c>
      <c r="BY31" s="207">
        <f aca="true" t="shared" si="64" ref="BY31:BY49">ROUNDUP(BQ31,-1)</f>
        <v>230</v>
      </c>
      <c r="BZ31" s="207">
        <f aca="true" t="shared" si="65" ref="BZ31:BZ49">ROUNDUP(BP31,-1)</f>
        <v>320</v>
      </c>
      <c r="CA31" s="207">
        <f aca="true" t="shared" si="66" ref="CA31:CA49">ROUNDUP(BQ31,-1)</f>
        <v>230</v>
      </c>
    </row>
    <row r="32" spans="1:79" ht="49.5" customHeight="1">
      <c r="A32" s="4">
        <v>19</v>
      </c>
      <c r="B32" s="4" t="s">
        <v>20</v>
      </c>
      <c r="C32" s="4" t="s">
        <v>19</v>
      </c>
      <c r="D32" s="4">
        <v>2</v>
      </c>
      <c r="E32" s="4" t="s">
        <v>133</v>
      </c>
      <c r="F32" s="4" t="s">
        <v>431</v>
      </c>
      <c r="G32" s="4" t="s">
        <v>134</v>
      </c>
      <c r="H32" s="4" t="s">
        <v>11</v>
      </c>
      <c r="I32" s="9" t="s">
        <v>67</v>
      </c>
      <c r="J32" s="9" t="s">
        <v>67</v>
      </c>
      <c r="K32" s="9" t="s">
        <v>67</v>
      </c>
      <c r="L32" s="9" t="s">
        <v>67</v>
      </c>
      <c r="M32" s="9" t="s">
        <v>67</v>
      </c>
      <c r="N32" s="9" t="s">
        <v>67</v>
      </c>
      <c r="O32" s="8" t="s">
        <v>51</v>
      </c>
      <c r="P32" s="8" t="s">
        <v>55</v>
      </c>
      <c r="Q32" s="8" t="s">
        <v>709</v>
      </c>
      <c r="R32" s="8" t="s">
        <v>831</v>
      </c>
      <c r="S32" s="4" t="s">
        <v>1204</v>
      </c>
      <c r="T32" s="4">
        <v>10</v>
      </c>
      <c r="U32" s="96">
        <f t="shared" si="43"/>
        <v>0.009505882352941175</v>
      </c>
      <c r="V32" s="8">
        <v>15</v>
      </c>
      <c r="W32" s="8">
        <v>5</v>
      </c>
      <c r="X32" s="7">
        <f>(0.095+0.095+0.095+0.095+0.095+0.095+0.095+0.095+0.095+0.095+0.095+0.096+0.095+0.095+0.095+0.095+0.095)/17</f>
        <v>0.09505882352941175</v>
      </c>
      <c r="Y32" s="71">
        <v>18</v>
      </c>
      <c r="Z32" s="7">
        <f t="shared" si="34"/>
        <v>0.09239717647058823</v>
      </c>
      <c r="AA32" s="7">
        <f t="shared" si="36"/>
        <v>0.03079905882352941</v>
      </c>
      <c r="AB32" s="8">
        <v>30</v>
      </c>
      <c r="AC32" s="8">
        <v>12</v>
      </c>
      <c r="AD32" s="13">
        <f t="shared" si="9"/>
        <v>33.26298352941176</v>
      </c>
      <c r="AE32" s="13">
        <f t="shared" si="10"/>
        <v>11.087661176470586</v>
      </c>
      <c r="AF32" s="4" t="s">
        <v>1038</v>
      </c>
      <c r="AG32" s="4">
        <v>10</v>
      </c>
      <c r="AH32" s="96">
        <f t="shared" si="44"/>
        <v>0.0107</v>
      </c>
      <c r="AI32" s="71">
        <v>25</v>
      </c>
      <c r="AJ32" s="71">
        <v>9</v>
      </c>
      <c r="AK32" s="41">
        <v>0.107</v>
      </c>
      <c r="AL32" s="71">
        <v>18</v>
      </c>
      <c r="AM32" s="7">
        <f t="shared" si="35"/>
        <v>0.17334</v>
      </c>
      <c r="AN32" s="7">
        <f t="shared" si="37"/>
        <v>0.0624024</v>
      </c>
      <c r="AO32" s="8">
        <v>30</v>
      </c>
      <c r="AP32" s="8">
        <v>12</v>
      </c>
      <c r="AQ32" s="13">
        <f>AM32*AO32*AP32</f>
        <v>62.4024</v>
      </c>
      <c r="AR32" s="80">
        <f>AN32*AO32*AP32</f>
        <v>22.464864</v>
      </c>
      <c r="AS32" s="89"/>
      <c r="AT32" s="89"/>
      <c r="AU32" s="89"/>
      <c r="AV32" s="13">
        <f t="shared" si="45"/>
        <v>20.295487627365357</v>
      </c>
      <c r="AW32" s="13">
        <f t="shared" si="46"/>
        <v>7.118195050946143</v>
      </c>
      <c r="AX32" s="125">
        <f t="shared" si="47"/>
        <v>0.10102941176470587</v>
      </c>
      <c r="AY32" s="130">
        <v>18</v>
      </c>
      <c r="AZ32" s="125">
        <f t="shared" si="48"/>
        <v>0.1328685882352941</v>
      </c>
      <c r="BA32" s="125">
        <f t="shared" si="49"/>
        <v>0.046600729411764706</v>
      </c>
      <c r="BB32" s="130">
        <v>30</v>
      </c>
      <c r="BC32" s="130">
        <v>12</v>
      </c>
      <c r="BD32" s="125">
        <f t="shared" si="50"/>
        <v>47.83269176470588</v>
      </c>
      <c r="BE32" s="125">
        <f t="shared" si="51"/>
        <v>16.776262588235294</v>
      </c>
      <c r="BF32" s="198">
        <v>90</v>
      </c>
      <c r="BG32" s="198">
        <v>90</v>
      </c>
      <c r="BH32" s="125">
        <f t="shared" si="52"/>
        <v>0.10102941176470587</v>
      </c>
      <c r="BI32" s="130">
        <v>18</v>
      </c>
      <c r="BJ32" s="180">
        <f t="shared" si="53"/>
        <v>0.5892035294117647</v>
      </c>
      <c r="BK32" s="180">
        <f t="shared" si="54"/>
        <v>0.5892035294117647</v>
      </c>
      <c r="BL32" s="130">
        <v>30</v>
      </c>
      <c r="BM32" s="130">
        <v>12</v>
      </c>
      <c r="BN32" s="142">
        <f t="shared" si="55"/>
        <v>212.11327058823525</v>
      </c>
      <c r="BO32" s="142">
        <f t="shared" si="56"/>
        <v>212.11327058823525</v>
      </c>
      <c r="BP32" s="180">
        <f t="shared" si="1"/>
        <v>129.97298117647057</v>
      </c>
      <c r="BQ32" s="180">
        <f t="shared" si="2"/>
        <v>114.44476658823527</v>
      </c>
      <c r="BR32" s="207">
        <f t="shared" si="57"/>
        <v>220</v>
      </c>
      <c r="BS32" s="207">
        <f t="shared" si="58"/>
        <v>220</v>
      </c>
      <c r="BT32" s="207">
        <f t="shared" si="59"/>
        <v>130</v>
      </c>
      <c r="BU32" s="207">
        <f t="shared" si="60"/>
        <v>120</v>
      </c>
      <c r="BV32" s="207">
        <f t="shared" si="61"/>
        <v>130</v>
      </c>
      <c r="BW32" s="207">
        <f t="shared" si="62"/>
        <v>120</v>
      </c>
      <c r="BX32" s="207">
        <f t="shared" si="63"/>
        <v>130</v>
      </c>
      <c r="BY32" s="207">
        <f t="shared" si="64"/>
        <v>120</v>
      </c>
      <c r="BZ32" s="207">
        <f t="shared" si="65"/>
        <v>130</v>
      </c>
      <c r="CA32" s="207">
        <f t="shared" si="66"/>
        <v>120</v>
      </c>
    </row>
    <row r="33" spans="1:79" ht="49.5" customHeight="1">
      <c r="A33" s="4">
        <v>20</v>
      </c>
      <c r="B33" s="4" t="s">
        <v>20</v>
      </c>
      <c r="C33" s="4" t="s">
        <v>19</v>
      </c>
      <c r="D33" s="4">
        <v>2</v>
      </c>
      <c r="E33" s="4" t="s">
        <v>408</v>
      </c>
      <c r="F33" s="4" t="s">
        <v>182</v>
      </c>
      <c r="G33" s="4" t="s">
        <v>135</v>
      </c>
      <c r="H33" s="4" t="s">
        <v>11</v>
      </c>
      <c r="I33" s="9" t="s">
        <v>67</v>
      </c>
      <c r="J33" s="9" t="s">
        <v>67</v>
      </c>
      <c r="K33" s="9" t="s">
        <v>67</v>
      </c>
      <c r="L33" s="9" t="s">
        <v>67</v>
      </c>
      <c r="M33" s="9" t="s">
        <v>67</v>
      </c>
      <c r="N33" s="9" t="s">
        <v>67</v>
      </c>
      <c r="O33" s="8" t="s">
        <v>51</v>
      </c>
      <c r="P33" s="8" t="s">
        <v>55</v>
      </c>
      <c r="Q33" s="8" t="s">
        <v>710</v>
      </c>
      <c r="R33" s="8" t="s">
        <v>832</v>
      </c>
      <c r="S33" s="4" t="s">
        <v>1205</v>
      </c>
      <c r="T33" s="4">
        <v>15</v>
      </c>
      <c r="U33" s="96">
        <f t="shared" si="43"/>
        <v>0.007823529411764705</v>
      </c>
      <c r="V33" s="8">
        <v>54</v>
      </c>
      <c r="W33" s="8">
        <v>18</v>
      </c>
      <c r="X33" s="7">
        <f>((0.11+0.11+0.112+0.112+0.119+0.118+0.116+0.119+0.118+0.121+0.121+0.123+0.119+0.118+0.114+0.122+0.123)/17)</f>
        <v>0.11735294117647058</v>
      </c>
      <c r="Y33" s="71">
        <v>18</v>
      </c>
      <c r="Z33" s="7">
        <f t="shared" si="34"/>
        <v>0.4106414117647058</v>
      </c>
      <c r="AA33" s="7">
        <f t="shared" si="36"/>
        <v>0.1368804705882353</v>
      </c>
      <c r="AB33" s="8">
        <v>30</v>
      </c>
      <c r="AC33" s="8">
        <v>12</v>
      </c>
      <c r="AD33" s="13">
        <f aca="true" t="shared" si="67" ref="AD33:AD38">Z33*AB33*AC33</f>
        <v>147.8309082352941</v>
      </c>
      <c r="AE33" s="13">
        <f aca="true" t="shared" si="68" ref="AE33:AE38">AA33*AB33*AC33</f>
        <v>49.27696941176471</v>
      </c>
      <c r="AF33" s="4" t="s">
        <v>1039</v>
      </c>
      <c r="AG33" s="4">
        <v>15</v>
      </c>
      <c r="AH33" s="96">
        <f t="shared" si="44"/>
        <v>0.007933333333333332</v>
      </c>
      <c r="AI33" s="71">
        <v>15</v>
      </c>
      <c r="AJ33" s="71">
        <v>5</v>
      </c>
      <c r="AK33" s="41">
        <v>0.119</v>
      </c>
      <c r="AL33" s="71">
        <v>18</v>
      </c>
      <c r="AM33" s="7">
        <f t="shared" si="35"/>
        <v>0.11566799999999998</v>
      </c>
      <c r="AN33" s="7">
        <f t="shared" si="37"/>
        <v>0.03855599999999999</v>
      </c>
      <c r="AO33" s="8">
        <v>30</v>
      </c>
      <c r="AP33" s="8">
        <v>12</v>
      </c>
      <c r="AQ33" s="13">
        <f t="shared" si="38"/>
        <v>41.64048</v>
      </c>
      <c r="AR33" s="80">
        <f t="shared" si="0"/>
        <v>13.880159999999997</v>
      </c>
      <c r="AS33" s="89"/>
      <c r="AT33" s="89"/>
      <c r="AU33" s="89"/>
      <c r="AV33" s="13">
        <f t="shared" si="45"/>
        <v>34.36411149825784</v>
      </c>
      <c r="AW33" s="13">
        <f t="shared" si="46"/>
        <v>11.454703832752612</v>
      </c>
      <c r="AX33" s="125">
        <f t="shared" si="47"/>
        <v>0.11817647058823529</v>
      </c>
      <c r="AY33" s="130">
        <v>18</v>
      </c>
      <c r="AZ33" s="125">
        <f t="shared" si="48"/>
        <v>0.2631547058823529</v>
      </c>
      <c r="BA33" s="125">
        <f t="shared" si="49"/>
        <v>0.08771823529411764</v>
      </c>
      <c r="BB33" s="130">
        <v>30</v>
      </c>
      <c r="BC33" s="130">
        <v>12</v>
      </c>
      <c r="BD33" s="125">
        <f t="shared" si="50"/>
        <v>94.73569411764706</v>
      </c>
      <c r="BE33" s="125">
        <f t="shared" si="51"/>
        <v>31.57856470588235</v>
      </c>
      <c r="BF33" s="198">
        <v>90</v>
      </c>
      <c r="BG33" s="198">
        <v>90</v>
      </c>
      <c r="BH33" s="125">
        <f t="shared" si="52"/>
        <v>0.11817647058823529</v>
      </c>
      <c r="BI33" s="130">
        <v>18</v>
      </c>
      <c r="BJ33" s="180">
        <f t="shared" si="53"/>
        <v>0.6892051764705882</v>
      </c>
      <c r="BK33" s="180">
        <f t="shared" si="54"/>
        <v>0.6892051764705882</v>
      </c>
      <c r="BL33" s="130">
        <v>30</v>
      </c>
      <c r="BM33" s="130">
        <v>12</v>
      </c>
      <c r="BN33" s="142">
        <f t="shared" si="55"/>
        <v>248.11386352941173</v>
      </c>
      <c r="BO33" s="142">
        <f t="shared" si="56"/>
        <v>248.11386352941173</v>
      </c>
      <c r="BP33" s="180">
        <f t="shared" si="1"/>
        <v>171.42477882352938</v>
      </c>
      <c r="BQ33" s="180">
        <f t="shared" si="2"/>
        <v>139.84621411764704</v>
      </c>
      <c r="BR33" s="207">
        <f t="shared" si="57"/>
        <v>250</v>
      </c>
      <c r="BS33" s="207">
        <f t="shared" si="58"/>
        <v>250</v>
      </c>
      <c r="BT33" s="207">
        <f t="shared" si="59"/>
        <v>180</v>
      </c>
      <c r="BU33" s="207">
        <f t="shared" si="60"/>
        <v>140</v>
      </c>
      <c r="BV33" s="207">
        <f t="shared" si="61"/>
        <v>180</v>
      </c>
      <c r="BW33" s="207">
        <f t="shared" si="62"/>
        <v>140</v>
      </c>
      <c r="BX33" s="207">
        <f t="shared" si="63"/>
        <v>180</v>
      </c>
      <c r="BY33" s="207">
        <f t="shared" si="64"/>
        <v>140</v>
      </c>
      <c r="BZ33" s="207">
        <f t="shared" si="65"/>
        <v>180</v>
      </c>
      <c r="CA33" s="207">
        <f t="shared" si="66"/>
        <v>140</v>
      </c>
    </row>
    <row r="34" spans="1:79" ht="49.5" customHeight="1">
      <c r="A34" s="4">
        <v>21</v>
      </c>
      <c r="B34" s="4" t="s">
        <v>20</v>
      </c>
      <c r="C34" s="4" t="s">
        <v>19</v>
      </c>
      <c r="D34" s="4">
        <v>2</v>
      </c>
      <c r="E34" s="4" t="s">
        <v>407</v>
      </c>
      <c r="F34" s="4" t="s">
        <v>183</v>
      </c>
      <c r="G34" s="4" t="s">
        <v>136</v>
      </c>
      <c r="H34" s="11" t="s">
        <v>227</v>
      </c>
      <c r="I34" s="11" t="s">
        <v>483</v>
      </c>
      <c r="J34" s="27">
        <v>43003</v>
      </c>
      <c r="K34" s="27">
        <v>43005</v>
      </c>
      <c r="L34" s="27">
        <v>43020</v>
      </c>
      <c r="M34" s="5" t="s">
        <v>74</v>
      </c>
      <c r="N34" s="27">
        <v>44846</v>
      </c>
      <c r="O34" s="8" t="s">
        <v>51</v>
      </c>
      <c r="P34" s="8" t="s">
        <v>55</v>
      </c>
      <c r="Q34" s="8" t="s">
        <v>702</v>
      </c>
      <c r="R34" s="8" t="s">
        <v>824</v>
      </c>
      <c r="S34" s="4" t="s">
        <v>1206</v>
      </c>
      <c r="T34" s="4">
        <v>16</v>
      </c>
      <c r="U34" s="96">
        <f t="shared" si="43"/>
        <v>0.006852941176470588</v>
      </c>
      <c r="V34" s="8">
        <v>53</v>
      </c>
      <c r="W34" s="8">
        <v>14</v>
      </c>
      <c r="X34" s="7">
        <f>(0+0+0.125+0.142+0.111+0.111+0.125+0.125+0.125+0.125+0.125+0.125+0.125+0.125+0.125+0.125+0.125)/17</f>
        <v>0.1096470588235294</v>
      </c>
      <c r="Y34" s="71">
        <v>18</v>
      </c>
      <c r="Z34" s="7">
        <f t="shared" si="34"/>
        <v>0.3765718588235294</v>
      </c>
      <c r="AA34" s="7">
        <f t="shared" si="36"/>
        <v>0.09947181176470586</v>
      </c>
      <c r="AB34" s="8">
        <v>30</v>
      </c>
      <c r="AC34" s="8">
        <v>12</v>
      </c>
      <c r="AD34" s="13">
        <f t="shared" si="67"/>
        <v>135.56586917647058</v>
      </c>
      <c r="AE34" s="13">
        <f t="shared" si="68"/>
        <v>35.809852235294116</v>
      </c>
      <c r="AF34" s="4" t="s">
        <v>1040</v>
      </c>
      <c r="AG34" s="4">
        <v>16</v>
      </c>
      <c r="AH34" s="96">
        <f t="shared" si="44"/>
        <v>0.006852941176470588</v>
      </c>
      <c r="AI34" s="71">
        <v>53</v>
      </c>
      <c r="AJ34" s="71">
        <v>14</v>
      </c>
      <c r="AK34" s="7">
        <f>(0+0+0.125+0.142+0.111+0.111+0.125+0.125+0.125+0.125+0.125+0.125+0.125+0.125+0.125+0.125+0.125)/17</f>
        <v>0.1096470588235294</v>
      </c>
      <c r="AL34" s="71">
        <v>18</v>
      </c>
      <c r="AM34" s="7">
        <f t="shared" si="35"/>
        <v>0.3765718588235294</v>
      </c>
      <c r="AN34" s="7">
        <f t="shared" si="37"/>
        <v>0.09947181176470586</v>
      </c>
      <c r="AO34" s="8">
        <v>30</v>
      </c>
      <c r="AP34" s="8">
        <v>12</v>
      </c>
      <c r="AQ34" s="13">
        <f t="shared" si="38"/>
        <v>135.56586917647058</v>
      </c>
      <c r="AR34" s="80">
        <f t="shared" si="0"/>
        <v>35.809852235294116</v>
      </c>
      <c r="AS34" s="203" t="s">
        <v>1291</v>
      </c>
      <c r="AT34" s="134">
        <v>80</v>
      </c>
      <c r="AU34" s="134">
        <v>50</v>
      </c>
      <c r="AV34" s="13">
        <f t="shared" si="45"/>
        <v>53</v>
      </c>
      <c r="AW34" s="13">
        <f t="shared" si="46"/>
        <v>14</v>
      </c>
      <c r="AX34" s="125">
        <f t="shared" si="47"/>
        <v>0.1096470588235294</v>
      </c>
      <c r="AY34" s="130">
        <v>18</v>
      </c>
      <c r="AZ34" s="125">
        <f t="shared" si="48"/>
        <v>0.3765718588235294</v>
      </c>
      <c r="BA34" s="125">
        <f t="shared" si="49"/>
        <v>0.09947181176470586</v>
      </c>
      <c r="BB34" s="130">
        <v>30</v>
      </c>
      <c r="BC34" s="130">
        <v>12</v>
      </c>
      <c r="BD34" s="125">
        <f t="shared" si="50"/>
        <v>135.56586917647058</v>
      </c>
      <c r="BE34" s="125">
        <f t="shared" si="51"/>
        <v>35.809852235294116</v>
      </c>
      <c r="BF34" s="130">
        <v>80</v>
      </c>
      <c r="BG34" s="130">
        <v>50</v>
      </c>
      <c r="BH34" s="125">
        <f t="shared" si="52"/>
        <v>0.1096470588235294</v>
      </c>
      <c r="BI34" s="130">
        <v>18</v>
      </c>
      <c r="BJ34" s="180">
        <f t="shared" si="53"/>
        <v>0.5684103529411764</v>
      </c>
      <c r="BK34" s="180">
        <f t="shared" si="54"/>
        <v>0.35525647058823523</v>
      </c>
      <c r="BL34" s="130">
        <v>30</v>
      </c>
      <c r="BM34" s="130">
        <v>12</v>
      </c>
      <c r="BN34" s="142">
        <f t="shared" si="55"/>
        <v>204.6277270588235</v>
      </c>
      <c r="BO34" s="142">
        <f t="shared" si="56"/>
        <v>127.89232941176469</v>
      </c>
      <c r="BP34" s="180">
        <f t="shared" si="1"/>
        <v>170.09679811764704</v>
      </c>
      <c r="BQ34" s="180">
        <f t="shared" si="2"/>
        <v>81.8510908235294</v>
      </c>
      <c r="BR34" s="207">
        <f t="shared" si="57"/>
        <v>210</v>
      </c>
      <c r="BS34" s="207">
        <f t="shared" si="58"/>
        <v>130</v>
      </c>
      <c r="BT34" s="207">
        <f t="shared" si="59"/>
        <v>180</v>
      </c>
      <c r="BU34" s="207">
        <f t="shared" si="60"/>
        <v>90</v>
      </c>
      <c r="BV34" s="207">
        <f t="shared" si="61"/>
        <v>180</v>
      </c>
      <c r="BW34" s="207">
        <f t="shared" si="62"/>
        <v>90</v>
      </c>
      <c r="BX34" s="207">
        <f t="shared" si="63"/>
        <v>180</v>
      </c>
      <c r="BY34" s="207">
        <f t="shared" si="64"/>
        <v>90</v>
      </c>
      <c r="BZ34" s="207">
        <f t="shared" si="65"/>
        <v>180</v>
      </c>
      <c r="CA34" s="207">
        <f t="shared" si="66"/>
        <v>90</v>
      </c>
    </row>
    <row r="35" spans="1:79" ht="49.5" customHeight="1">
      <c r="A35" s="4">
        <v>22</v>
      </c>
      <c r="B35" s="4" t="s">
        <v>20</v>
      </c>
      <c r="C35" s="4" t="s">
        <v>19</v>
      </c>
      <c r="D35" s="4">
        <v>2</v>
      </c>
      <c r="E35" s="4" t="s">
        <v>406</v>
      </c>
      <c r="F35" s="4" t="s">
        <v>184</v>
      </c>
      <c r="G35" s="4" t="s">
        <v>137</v>
      </c>
      <c r="H35" s="11" t="s">
        <v>227</v>
      </c>
      <c r="I35" s="4" t="s">
        <v>568</v>
      </c>
      <c r="J35" s="10" t="s">
        <v>569</v>
      </c>
      <c r="K35" s="55" t="s">
        <v>570</v>
      </c>
      <c r="L35" s="9" t="s">
        <v>571</v>
      </c>
      <c r="M35" s="8" t="s">
        <v>74</v>
      </c>
      <c r="N35" s="9" t="s">
        <v>572</v>
      </c>
      <c r="O35" s="4" t="s">
        <v>51</v>
      </c>
      <c r="P35" s="8" t="s">
        <v>55</v>
      </c>
      <c r="Q35" s="8" t="s">
        <v>711</v>
      </c>
      <c r="R35" s="8" t="s">
        <v>833</v>
      </c>
      <c r="S35" s="4" t="s">
        <v>1207</v>
      </c>
      <c r="T35" s="4">
        <v>13</v>
      </c>
      <c r="U35" s="96">
        <f t="shared" si="43"/>
        <v>0.014717948717948716</v>
      </c>
      <c r="V35" s="8">
        <v>78</v>
      </c>
      <c r="W35" s="8">
        <v>20</v>
      </c>
      <c r="X35" s="7">
        <f>((0.013+0.407+0.291+0.225+0.204+0.033+0.22+0.014+0.315)/9)</f>
        <v>0.1913333333333333</v>
      </c>
      <c r="Y35" s="8">
        <v>18</v>
      </c>
      <c r="Z35" s="7">
        <f t="shared" si="34"/>
        <v>0.9670751999999998</v>
      </c>
      <c r="AA35" s="7">
        <f t="shared" si="36"/>
        <v>0.24796799999999997</v>
      </c>
      <c r="AB35" s="8">
        <v>30</v>
      </c>
      <c r="AC35" s="8">
        <v>12</v>
      </c>
      <c r="AD35" s="13">
        <f t="shared" si="67"/>
        <v>348.1470719999999</v>
      </c>
      <c r="AE35" s="13">
        <f t="shared" si="68"/>
        <v>89.26847999999998</v>
      </c>
      <c r="AF35" s="4" t="s">
        <v>1041</v>
      </c>
      <c r="AG35" s="4">
        <v>13</v>
      </c>
      <c r="AH35" s="96">
        <f t="shared" si="44"/>
        <v>0.01076923076923077</v>
      </c>
      <c r="AI35" s="8">
        <v>71</v>
      </c>
      <c r="AJ35" s="8">
        <v>21</v>
      </c>
      <c r="AK35" s="7">
        <v>0.14</v>
      </c>
      <c r="AL35" s="8">
        <v>18</v>
      </c>
      <c r="AM35" s="7">
        <f t="shared" si="35"/>
        <v>0.644112</v>
      </c>
      <c r="AN35" s="7">
        <f t="shared" si="37"/>
        <v>0.19051200000000001</v>
      </c>
      <c r="AO35" s="8">
        <v>30</v>
      </c>
      <c r="AP35" s="8">
        <v>12</v>
      </c>
      <c r="AQ35" s="13">
        <f t="shared" si="38"/>
        <v>231.88032</v>
      </c>
      <c r="AR35" s="80">
        <f t="shared" si="0"/>
        <v>68.58432</v>
      </c>
      <c r="AS35" s="134" t="s">
        <v>1142</v>
      </c>
      <c r="AT35" s="134">
        <v>90</v>
      </c>
      <c r="AU35" s="134">
        <v>90</v>
      </c>
      <c r="AV35" s="13">
        <f t="shared" si="45"/>
        <v>75.04225352112675</v>
      </c>
      <c r="AW35" s="13">
        <f t="shared" si="46"/>
        <v>20.422535211267608</v>
      </c>
      <c r="AX35" s="125">
        <f>AVERAGE(X35,AK35)</f>
        <v>0.16566666666666666</v>
      </c>
      <c r="AY35" s="130">
        <v>18</v>
      </c>
      <c r="AZ35" s="125">
        <f t="shared" si="48"/>
        <v>0.8055935999999999</v>
      </c>
      <c r="BA35" s="125">
        <f t="shared" si="49"/>
        <v>0.21924</v>
      </c>
      <c r="BB35" s="130">
        <v>30</v>
      </c>
      <c r="BC35" s="130">
        <v>12</v>
      </c>
      <c r="BD35" s="125">
        <f t="shared" si="50"/>
        <v>290.013696</v>
      </c>
      <c r="BE35" s="125">
        <f t="shared" si="51"/>
        <v>78.9264</v>
      </c>
      <c r="BF35" s="130">
        <v>90</v>
      </c>
      <c r="BG35" s="130">
        <v>90</v>
      </c>
      <c r="BH35" s="125">
        <f t="shared" si="52"/>
        <v>0.16566666666666666</v>
      </c>
      <c r="BI35" s="130">
        <v>18</v>
      </c>
      <c r="BJ35" s="180">
        <f t="shared" si="53"/>
        <v>0.9661679999999999</v>
      </c>
      <c r="BK35" s="180">
        <f t="shared" si="54"/>
        <v>0.9661679999999999</v>
      </c>
      <c r="BL35" s="130">
        <v>30</v>
      </c>
      <c r="BM35" s="130">
        <v>12</v>
      </c>
      <c r="BN35" s="142">
        <f t="shared" si="55"/>
        <v>347.82048</v>
      </c>
      <c r="BO35" s="142">
        <f t="shared" si="56"/>
        <v>347.82048</v>
      </c>
      <c r="BP35" s="180">
        <f t="shared" si="1"/>
        <v>318.917088</v>
      </c>
      <c r="BQ35" s="180">
        <f t="shared" si="2"/>
        <v>213.37344</v>
      </c>
      <c r="BR35" s="207">
        <f t="shared" si="57"/>
        <v>350</v>
      </c>
      <c r="BS35" s="207">
        <f t="shared" si="58"/>
        <v>350</v>
      </c>
      <c r="BT35" s="207">
        <f>BR35</f>
        <v>350</v>
      </c>
      <c r="BU35" s="207">
        <f>BS35</f>
        <v>350</v>
      </c>
      <c r="BV35" s="207">
        <f aca="true" t="shared" si="69" ref="BV35:CA35">BT35</f>
        <v>350</v>
      </c>
      <c r="BW35" s="207">
        <f t="shared" si="69"/>
        <v>350</v>
      </c>
      <c r="BX35" s="207">
        <f t="shared" si="69"/>
        <v>350</v>
      </c>
      <c r="BY35" s="207">
        <f t="shared" si="69"/>
        <v>350</v>
      </c>
      <c r="BZ35" s="207">
        <f t="shared" si="69"/>
        <v>350</v>
      </c>
      <c r="CA35" s="207">
        <f t="shared" si="69"/>
        <v>350</v>
      </c>
    </row>
    <row r="36" spans="1:79" ht="49.5" customHeight="1">
      <c r="A36" s="4">
        <v>23</v>
      </c>
      <c r="B36" s="4" t="s">
        <v>20</v>
      </c>
      <c r="C36" s="4" t="s">
        <v>19</v>
      </c>
      <c r="D36" s="4">
        <v>2</v>
      </c>
      <c r="E36" s="4" t="s">
        <v>138</v>
      </c>
      <c r="F36" s="4" t="s">
        <v>185</v>
      </c>
      <c r="G36" s="4" t="s">
        <v>139</v>
      </c>
      <c r="H36" s="4" t="s">
        <v>11</v>
      </c>
      <c r="I36" s="9" t="s">
        <v>67</v>
      </c>
      <c r="J36" s="9" t="s">
        <v>67</v>
      </c>
      <c r="K36" s="9" t="s">
        <v>67</v>
      </c>
      <c r="L36" s="9" t="s">
        <v>67</v>
      </c>
      <c r="M36" s="9" t="s">
        <v>67</v>
      </c>
      <c r="N36" s="9" t="s">
        <v>67</v>
      </c>
      <c r="O36" s="8" t="s">
        <v>51</v>
      </c>
      <c r="P36" s="8" t="s">
        <v>55</v>
      </c>
      <c r="Q36" s="8" t="s">
        <v>712</v>
      </c>
      <c r="R36" s="8" t="s">
        <v>834</v>
      </c>
      <c r="S36" s="4" t="s">
        <v>1208</v>
      </c>
      <c r="T36" s="4">
        <v>14</v>
      </c>
      <c r="U36" s="96">
        <f t="shared" si="43"/>
        <v>0.00876470588235294</v>
      </c>
      <c r="V36" s="8">
        <v>88</v>
      </c>
      <c r="W36" s="8">
        <v>82</v>
      </c>
      <c r="X36" s="7">
        <f>((0.125+0.142+0.125+0.111+0.125+0.125+0.111+0.125+0.125+0.125+0.125+0.111+0.125+0.125+0.125+0.111+0.125)/17)</f>
        <v>0.12270588235294116</v>
      </c>
      <c r="Y36" s="8">
        <v>18</v>
      </c>
      <c r="Z36" s="7">
        <f t="shared" si="34"/>
        <v>0.6997180235294116</v>
      </c>
      <c r="AA36" s="7">
        <f t="shared" si="36"/>
        <v>0.6520099764705882</v>
      </c>
      <c r="AB36" s="8">
        <v>30</v>
      </c>
      <c r="AC36" s="8">
        <v>12</v>
      </c>
      <c r="AD36" s="13">
        <f t="shared" si="67"/>
        <v>251.89848847058818</v>
      </c>
      <c r="AE36" s="13">
        <f t="shared" si="68"/>
        <v>234.72359152941178</v>
      </c>
      <c r="AF36" s="4" t="s">
        <v>1042</v>
      </c>
      <c r="AG36" s="4">
        <v>14</v>
      </c>
      <c r="AH36" s="96">
        <f t="shared" si="44"/>
        <v>0.009714285714285715</v>
      </c>
      <c r="AI36" s="8">
        <v>32</v>
      </c>
      <c r="AJ36" s="8">
        <v>15</v>
      </c>
      <c r="AK36" s="7">
        <v>0.136</v>
      </c>
      <c r="AL36" s="8">
        <v>18</v>
      </c>
      <c r="AM36" s="7">
        <f t="shared" si="35"/>
        <v>0.2820096</v>
      </c>
      <c r="AN36" s="7">
        <f t="shared" si="37"/>
        <v>0.132192</v>
      </c>
      <c r="AO36" s="8">
        <v>30</v>
      </c>
      <c r="AP36" s="8">
        <v>12</v>
      </c>
      <c r="AQ36" s="13">
        <f t="shared" si="38"/>
        <v>101.52345600000001</v>
      </c>
      <c r="AR36" s="80">
        <f t="shared" si="0"/>
        <v>47.58912</v>
      </c>
      <c r="AS36" s="89"/>
      <c r="AT36" s="89"/>
      <c r="AU36" s="89"/>
      <c r="AV36" s="13">
        <f t="shared" si="45"/>
        <v>58.56116416552978</v>
      </c>
      <c r="AW36" s="13">
        <f t="shared" si="46"/>
        <v>46.77853569804456</v>
      </c>
      <c r="AX36" s="125">
        <f t="shared" si="47"/>
        <v>0.1293529411764706</v>
      </c>
      <c r="AY36" s="130">
        <v>18</v>
      </c>
      <c r="AZ36" s="125">
        <f t="shared" si="48"/>
        <v>0.49086381176470584</v>
      </c>
      <c r="BA36" s="125">
        <f t="shared" si="49"/>
        <v>0.39210098823529405</v>
      </c>
      <c r="BB36" s="130">
        <v>30</v>
      </c>
      <c r="BC36" s="130">
        <v>12</v>
      </c>
      <c r="BD36" s="125">
        <f t="shared" si="50"/>
        <v>176.7109722352941</v>
      </c>
      <c r="BE36" s="125">
        <f t="shared" si="51"/>
        <v>141.15635576470586</v>
      </c>
      <c r="BF36" s="198">
        <v>90</v>
      </c>
      <c r="BG36" s="198">
        <v>90</v>
      </c>
      <c r="BH36" s="125">
        <f t="shared" si="52"/>
        <v>0.1293529411764706</v>
      </c>
      <c r="BI36" s="130">
        <v>18</v>
      </c>
      <c r="BJ36" s="180">
        <f t="shared" si="53"/>
        <v>0.7543863529411765</v>
      </c>
      <c r="BK36" s="180">
        <f t="shared" si="54"/>
        <v>0.7543863529411765</v>
      </c>
      <c r="BL36" s="130">
        <v>30</v>
      </c>
      <c r="BM36" s="130">
        <v>12</v>
      </c>
      <c r="BN36" s="142">
        <f t="shared" si="55"/>
        <v>271.5790870588235</v>
      </c>
      <c r="BO36" s="142">
        <f t="shared" si="56"/>
        <v>271.5790870588235</v>
      </c>
      <c r="BP36" s="180">
        <f t="shared" si="1"/>
        <v>224.1450296470588</v>
      </c>
      <c r="BQ36" s="180">
        <f t="shared" si="2"/>
        <v>206.3677214117647</v>
      </c>
      <c r="BR36" s="207">
        <f t="shared" si="57"/>
        <v>280</v>
      </c>
      <c r="BS36" s="207">
        <f t="shared" si="58"/>
        <v>280</v>
      </c>
      <c r="BT36" s="207">
        <f t="shared" si="59"/>
        <v>230</v>
      </c>
      <c r="BU36" s="207">
        <f t="shared" si="60"/>
        <v>210</v>
      </c>
      <c r="BV36" s="207">
        <f t="shared" si="61"/>
        <v>230</v>
      </c>
      <c r="BW36" s="207">
        <f t="shared" si="62"/>
        <v>210</v>
      </c>
      <c r="BX36" s="207">
        <f t="shared" si="63"/>
        <v>230</v>
      </c>
      <c r="BY36" s="207">
        <f t="shared" si="64"/>
        <v>210</v>
      </c>
      <c r="BZ36" s="207">
        <f t="shared" si="65"/>
        <v>230</v>
      </c>
      <c r="CA36" s="207">
        <f t="shared" si="66"/>
        <v>210</v>
      </c>
    </row>
    <row r="37" spans="1:79" ht="49.5" customHeight="1">
      <c r="A37" s="4">
        <v>24</v>
      </c>
      <c r="B37" s="4" t="s">
        <v>20</v>
      </c>
      <c r="C37" s="4" t="s">
        <v>19</v>
      </c>
      <c r="D37" s="4">
        <v>2</v>
      </c>
      <c r="E37" s="4" t="s">
        <v>140</v>
      </c>
      <c r="F37" s="4" t="s">
        <v>186</v>
      </c>
      <c r="G37" s="4" t="s">
        <v>463</v>
      </c>
      <c r="H37" s="4" t="s">
        <v>11</v>
      </c>
      <c r="I37" s="9" t="s">
        <v>67</v>
      </c>
      <c r="J37" s="9" t="s">
        <v>67</v>
      </c>
      <c r="K37" s="9" t="s">
        <v>67</v>
      </c>
      <c r="L37" s="9" t="s">
        <v>67</v>
      </c>
      <c r="M37" s="9" t="s">
        <v>67</v>
      </c>
      <c r="N37" s="9" t="s">
        <v>67</v>
      </c>
      <c r="O37" s="8" t="s">
        <v>51</v>
      </c>
      <c r="P37" s="8" t="s">
        <v>55</v>
      </c>
      <c r="Q37" s="8" t="s">
        <v>713</v>
      </c>
      <c r="R37" s="8" t="s">
        <v>835</v>
      </c>
      <c r="S37" s="4" t="s">
        <v>1209</v>
      </c>
      <c r="T37" s="4">
        <v>13</v>
      </c>
      <c r="U37" s="96">
        <f t="shared" si="43"/>
        <v>0.010628959276018101</v>
      </c>
      <c r="V37" s="8">
        <v>22</v>
      </c>
      <c r="W37" s="8">
        <v>10</v>
      </c>
      <c r="X37" s="7">
        <f>((0+0+0.097+0.099+0.099+0.097+0.098+0.098+0.098+0.097+0.098+0.098+0.097+0.097+0.098+0.098+0.98)/17)</f>
        <v>0.13817647058823532</v>
      </c>
      <c r="Y37" s="8">
        <v>18</v>
      </c>
      <c r="Z37" s="7">
        <f t="shared" si="34"/>
        <v>0.19698437647058828</v>
      </c>
      <c r="AA37" s="7">
        <f t="shared" si="36"/>
        <v>0.08953835294117649</v>
      </c>
      <c r="AB37" s="8">
        <v>30</v>
      </c>
      <c r="AC37" s="8">
        <v>12</v>
      </c>
      <c r="AD37" s="13">
        <f t="shared" si="67"/>
        <v>70.91437552941179</v>
      </c>
      <c r="AE37" s="13">
        <f t="shared" si="68"/>
        <v>32.23380705882354</v>
      </c>
      <c r="AF37" s="4" t="s">
        <v>1043</v>
      </c>
      <c r="AG37" s="4">
        <v>13</v>
      </c>
      <c r="AH37" s="96">
        <f t="shared" si="44"/>
        <v>0.07538461538461538</v>
      </c>
      <c r="AI37" s="8">
        <v>52</v>
      </c>
      <c r="AJ37" s="8">
        <v>31</v>
      </c>
      <c r="AK37" s="7">
        <v>0.98</v>
      </c>
      <c r="AL37" s="8">
        <v>18</v>
      </c>
      <c r="AM37" s="7">
        <f t="shared" si="35"/>
        <v>3.302208</v>
      </c>
      <c r="AN37" s="7">
        <f t="shared" si="37"/>
        <v>1.9686240000000002</v>
      </c>
      <c r="AO37" s="8">
        <v>30</v>
      </c>
      <c r="AP37" s="8">
        <v>12</v>
      </c>
      <c r="AQ37" s="13">
        <f t="shared" si="38"/>
        <v>1188.79488</v>
      </c>
      <c r="AR37" s="80">
        <f t="shared" si="0"/>
        <v>708.7046400000002</v>
      </c>
      <c r="AS37" s="89"/>
      <c r="AT37" s="89"/>
      <c r="AU37" s="89"/>
      <c r="AV37" s="13">
        <f t="shared" si="45"/>
        <v>48.29280866957757</v>
      </c>
      <c r="AW37" s="13">
        <f t="shared" si="46"/>
        <v>28.404966068704297</v>
      </c>
      <c r="AX37" s="125">
        <f t="shared" si="47"/>
        <v>0.5590882352941177</v>
      </c>
      <c r="AY37" s="130">
        <v>18</v>
      </c>
      <c r="AZ37" s="125">
        <f t="shared" si="48"/>
        <v>1.7495961882352942</v>
      </c>
      <c r="BA37" s="125">
        <f t="shared" si="49"/>
        <v>1.0290811764705883</v>
      </c>
      <c r="BB37" s="130">
        <v>30</v>
      </c>
      <c r="BC37" s="130">
        <v>12</v>
      </c>
      <c r="BD37" s="125">
        <f t="shared" si="50"/>
        <v>629.8546277647059</v>
      </c>
      <c r="BE37" s="125">
        <f t="shared" si="51"/>
        <v>370.46922352941175</v>
      </c>
      <c r="BF37" s="198">
        <v>90</v>
      </c>
      <c r="BG37" s="198">
        <v>90</v>
      </c>
      <c r="BH37" s="125">
        <f t="shared" si="52"/>
        <v>0.5590882352941177</v>
      </c>
      <c r="BI37" s="130">
        <v>18</v>
      </c>
      <c r="BJ37" s="180">
        <f t="shared" si="53"/>
        <v>3.2606025882352943</v>
      </c>
      <c r="BK37" s="180">
        <f t="shared" si="54"/>
        <v>3.2606025882352943</v>
      </c>
      <c r="BL37" s="130">
        <v>30</v>
      </c>
      <c r="BM37" s="130">
        <v>12</v>
      </c>
      <c r="BN37" s="142">
        <f t="shared" si="55"/>
        <v>1173.816931764706</v>
      </c>
      <c r="BO37" s="142">
        <f t="shared" si="56"/>
        <v>1173.816931764706</v>
      </c>
      <c r="BP37" s="180">
        <f t="shared" si="1"/>
        <v>901.8357797647059</v>
      </c>
      <c r="BQ37" s="180">
        <f t="shared" si="2"/>
        <v>772.1430776470588</v>
      </c>
      <c r="BR37" s="207">
        <f t="shared" si="57"/>
        <v>1180</v>
      </c>
      <c r="BS37" s="207">
        <f t="shared" si="58"/>
        <v>1180</v>
      </c>
      <c r="BT37" s="207">
        <f t="shared" si="59"/>
        <v>910</v>
      </c>
      <c r="BU37" s="207">
        <f t="shared" si="60"/>
        <v>780</v>
      </c>
      <c r="BV37" s="207">
        <f t="shared" si="61"/>
        <v>910</v>
      </c>
      <c r="BW37" s="207">
        <f t="shared" si="62"/>
        <v>780</v>
      </c>
      <c r="BX37" s="207">
        <f t="shared" si="63"/>
        <v>910</v>
      </c>
      <c r="BY37" s="207">
        <f t="shared" si="64"/>
        <v>780</v>
      </c>
      <c r="BZ37" s="207">
        <f t="shared" si="65"/>
        <v>910</v>
      </c>
      <c r="CA37" s="207">
        <f t="shared" si="66"/>
        <v>780</v>
      </c>
    </row>
    <row r="38" spans="1:79" ht="49.5" customHeight="1">
      <c r="A38" s="4">
        <v>25</v>
      </c>
      <c r="B38" s="4" t="s">
        <v>20</v>
      </c>
      <c r="C38" s="4" t="s">
        <v>19</v>
      </c>
      <c r="D38" s="4">
        <v>2</v>
      </c>
      <c r="E38" s="4" t="s">
        <v>142</v>
      </c>
      <c r="F38" s="4" t="s">
        <v>432</v>
      </c>
      <c r="G38" s="4" t="s">
        <v>464</v>
      </c>
      <c r="H38" s="4" t="s">
        <v>11</v>
      </c>
      <c r="I38" s="9" t="s">
        <v>67</v>
      </c>
      <c r="J38" s="9" t="s">
        <v>67</v>
      </c>
      <c r="K38" s="9" t="s">
        <v>67</v>
      </c>
      <c r="L38" s="9" t="s">
        <v>67</v>
      </c>
      <c r="M38" s="9" t="s">
        <v>67</v>
      </c>
      <c r="N38" s="9" t="s">
        <v>67</v>
      </c>
      <c r="O38" s="8" t="s">
        <v>51</v>
      </c>
      <c r="P38" s="8" t="s">
        <v>55</v>
      </c>
      <c r="Q38" s="8" t="s">
        <v>714</v>
      </c>
      <c r="R38" s="8" t="s">
        <v>836</v>
      </c>
      <c r="S38" s="4" t="s">
        <v>1210</v>
      </c>
      <c r="T38" s="4">
        <v>13</v>
      </c>
      <c r="U38" s="96">
        <f t="shared" si="43"/>
        <v>0.019592760180995476</v>
      </c>
      <c r="V38" s="8">
        <v>40.5</v>
      </c>
      <c r="W38" s="8">
        <v>13</v>
      </c>
      <c r="X38" s="7">
        <f>(0.19+0.28+0.19+0.2+0.25+0.26+0.32+0.21+0.33+0.38+0.17+0.19+0.22+0.22+0.12+0.36+0.44)/17</f>
        <v>0.25470588235294117</v>
      </c>
      <c r="Y38" s="8">
        <v>18</v>
      </c>
      <c r="Z38" s="7">
        <f>X38*V38*Y38*0.0036</f>
        <v>0.6684501176470588</v>
      </c>
      <c r="AA38" s="7">
        <f>X38*W38*Y38*0.0036</f>
        <v>0.21456423529411764</v>
      </c>
      <c r="AB38" s="8">
        <v>30</v>
      </c>
      <c r="AC38" s="8">
        <v>12</v>
      </c>
      <c r="AD38" s="13">
        <f t="shared" si="67"/>
        <v>240.64204235294116</v>
      </c>
      <c r="AE38" s="13">
        <f t="shared" si="68"/>
        <v>77.24312470588235</v>
      </c>
      <c r="AF38" s="4" t="s">
        <v>1044</v>
      </c>
      <c r="AG38" s="4">
        <v>13</v>
      </c>
      <c r="AH38" s="96">
        <f t="shared" si="44"/>
        <v>0.019592760180995476</v>
      </c>
      <c r="AI38" s="8">
        <v>40.5</v>
      </c>
      <c r="AJ38" s="8">
        <v>13</v>
      </c>
      <c r="AK38" s="7">
        <f>(0.19+0.28+0.19+0.2+0.25+0.26+0.32+0.21+0.33+0.38+0.17+0.19+0.22+0.22+0.12+0.36+0.44)/17</f>
        <v>0.25470588235294117</v>
      </c>
      <c r="AL38" s="8">
        <v>18</v>
      </c>
      <c r="AM38" s="7">
        <f t="shared" si="35"/>
        <v>0.6684501176470588</v>
      </c>
      <c r="AN38" s="7">
        <f t="shared" si="37"/>
        <v>0.21456423529411764</v>
      </c>
      <c r="AO38" s="8">
        <v>30</v>
      </c>
      <c r="AP38" s="8">
        <v>12</v>
      </c>
      <c r="AQ38" s="13">
        <f t="shared" si="38"/>
        <v>240.64204235294116</v>
      </c>
      <c r="AR38" s="80">
        <f t="shared" si="0"/>
        <v>77.24312470588235</v>
      </c>
      <c r="AS38" s="89"/>
      <c r="AT38" s="89"/>
      <c r="AU38" s="89"/>
      <c r="AV38" s="13">
        <f t="shared" si="45"/>
        <v>40.5</v>
      </c>
      <c r="AW38" s="13">
        <f t="shared" si="46"/>
        <v>13</v>
      </c>
      <c r="AX38" s="125">
        <f t="shared" si="47"/>
        <v>0.25470588235294117</v>
      </c>
      <c r="AY38" s="130">
        <v>18</v>
      </c>
      <c r="AZ38" s="125">
        <f t="shared" si="48"/>
        <v>0.6684501176470588</v>
      </c>
      <c r="BA38" s="125">
        <f t="shared" si="49"/>
        <v>0.21456423529411764</v>
      </c>
      <c r="BB38" s="130">
        <v>30</v>
      </c>
      <c r="BC38" s="130">
        <v>12</v>
      </c>
      <c r="BD38" s="125">
        <f t="shared" si="50"/>
        <v>240.64204235294116</v>
      </c>
      <c r="BE38" s="125">
        <f t="shared" si="51"/>
        <v>77.24312470588235</v>
      </c>
      <c r="BF38" s="198">
        <v>90</v>
      </c>
      <c r="BG38" s="198">
        <v>90</v>
      </c>
      <c r="BH38" s="125">
        <f t="shared" si="52"/>
        <v>0.25470588235294117</v>
      </c>
      <c r="BI38" s="130">
        <v>18</v>
      </c>
      <c r="BJ38" s="180">
        <f t="shared" si="53"/>
        <v>1.485444705882353</v>
      </c>
      <c r="BK38" s="180">
        <f t="shared" si="54"/>
        <v>1.485444705882353</v>
      </c>
      <c r="BL38" s="130">
        <v>30</v>
      </c>
      <c r="BM38" s="130">
        <v>12</v>
      </c>
      <c r="BN38" s="142">
        <f t="shared" si="55"/>
        <v>534.760094117647</v>
      </c>
      <c r="BO38" s="142">
        <f t="shared" si="56"/>
        <v>534.760094117647</v>
      </c>
      <c r="BP38" s="180">
        <f t="shared" si="1"/>
        <v>387.7010682352941</v>
      </c>
      <c r="BQ38" s="180">
        <f t="shared" si="2"/>
        <v>306.00160941176466</v>
      </c>
      <c r="BR38" s="207">
        <f t="shared" si="57"/>
        <v>540</v>
      </c>
      <c r="BS38" s="207">
        <f t="shared" si="58"/>
        <v>540</v>
      </c>
      <c r="BT38" s="207">
        <f t="shared" si="59"/>
        <v>390</v>
      </c>
      <c r="BU38" s="207">
        <f t="shared" si="60"/>
        <v>310</v>
      </c>
      <c r="BV38" s="207">
        <f t="shared" si="61"/>
        <v>390</v>
      </c>
      <c r="BW38" s="207">
        <f t="shared" si="62"/>
        <v>310</v>
      </c>
      <c r="BX38" s="207">
        <f t="shared" si="63"/>
        <v>390</v>
      </c>
      <c r="BY38" s="207">
        <f t="shared" si="64"/>
        <v>310</v>
      </c>
      <c r="BZ38" s="207">
        <f t="shared" si="65"/>
        <v>390</v>
      </c>
      <c r="CA38" s="207">
        <f t="shared" si="66"/>
        <v>310</v>
      </c>
    </row>
    <row r="39" spans="1:79" ht="49.5" customHeight="1">
      <c r="A39" s="4">
        <v>26</v>
      </c>
      <c r="B39" s="4" t="s">
        <v>20</v>
      </c>
      <c r="C39" s="4" t="s">
        <v>19</v>
      </c>
      <c r="D39" s="4">
        <v>2</v>
      </c>
      <c r="E39" s="4" t="s">
        <v>143</v>
      </c>
      <c r="F39" s="4" t="s">
        <v>187</v>
      </c>
      <c r="G39" s="4" t="s">
        <v>465</v>
      </c>
      <c r="H39" s="4" t="s">
        <v>11</v>
      </c>
      <c r="I39" s="9" t="s">
        <v>67</v>
      </c>
      <c r="J39" s="9" t="s">
        <v>67</v>
      </c>
      <c r="K39" s="9" t="s">
        <v>67</v>
      </c>
      <c r="L39" s="9" t="s">
        <v>67</v>
      </c>
      <c r="M39" s="9" t="s">
        <v>67</v>
      </c>
      <c r="N39" s="9" t="s">
        <v>67</v>
      </c>
      <c r="O39" s="8" t="s">
        <v>51</v>
      </c>
      <c r="P39" s="8" t="s">
        <v>55</v>
      </c>
      <c r="Q39" s="8" t="s">
        <v>715</v>
      </c>
      <c r="R39" s="8" t="s">
        <v>837</v>
      </c>
      <c r="S39" s="4" t="s">
        <v>1211</v>
      </c>
      <c r="T39" s="4">
        <v>23</v>
      </c>
      <c r="U39" s="96">
        <f t="shared" si="43"/>
        <v>0.009616368286445012</v>
      </c>
      <c r="V39" s="8">
        <v>35</v>
      </c>
      <c r="W39" s="8">
        <v>35</v>
      </c>
      <c r="X39" s="7">
        <f>(0+0+0.25+0.25+0.25+0.25+0.25+0.25+0.25+0.25+0.25+0.25+0.26+0.25+0.25+0.25+0.25)/17</f>
        <v>0.22117647058823528</v>
      </c>
      <c r="Y39" s="8">
        <v>18</v>
      </c>
      <c r="Z39" s="7">
        <f>X39*V39*Y39*0.0036</f>
        <v>0.5016282352941175</v>
      </c>
      <c r="AA39" s="7">
        <f>X39*W39*Y39*0.0036</f>
        <v>0.5016282352941175</v>
      </c>
      <c r="AB39" s="8">
        <v>30</v>
      </c>
      <c r="AC39" s="8">
        <v>12</v>
      </c>
      <c r="AD39" s="13">
        <f>Z39*AB39*AC39</f>
        <v>180.58616470588228</v>
      </c>
      <c r="AE39" s="13">
        <f>AA39*AB39*AC39</f>
        <v>180.58616470588228</v>
      </c>
      <c r="AF39" s="4" t="s">
        <v>1045</v>
      </c>
      <c r="AG39" s="4">
        <v>23</v>
      </c>
      <c r="AH39" s="96">
        <f t="shared" si="44"/>
        <v>0.009347826086956522</v>
      </c>
      <c r="AI39" s="8">
        <v>37</v>
      </c>
      <c r="AJ39" s="8">
        <v>5</v>
      </c>
      <c r="AK39" s="7">
        <v>0.215</v>
      </c>
      <c r="AL39" s="8">
        <v>18</v>
      </c>
      <c r="AM39" s="7">
        <f t="shared" si="35"/>
        <v>0.5154839999999999</v>
      </c>
      <c r="AN39" s="7">
        <f t="shared" si="37"/>
        <v>0.06965999999999999</v>
      </c>
      <c r="AO39" s="8">
        <v>30</v>
      </c>
      <c r="AP39" s="8">
        <v>12</v>
      </c>
      <c r="AQ39" s="13">
        <f>AM39*AO39*AP39</f>
        <v>185.57423999999997</v>
      </c>
      <c r="AR39" s="80">
        <f>AN39*AO39*AP39</f>
        <v>25.077599999999993</v>
      </c>
      <c r="AS39" s="89"/>
      <c r="AT39" s="89"/>
      <c r="AU39" s="89"/>
      <c r="AV39" s="13">
        <f t="shared" si="45"/>
        <v>35.98583951449764</v>
      </c>
      <c r="AW39" s="13">
        <f t="shared" si="46"/>
        <v>20.2124072825354</v>
      </c>
      <c r="AX39" s="125">
        <f t="shared" si="47"/>
        <v>0.21808823529411764</v>
      </c>
      <c r="AY39" s="130">
        <v>18</v>
      </c>
      <c r="AZ39" s="125">
        <f t="shared" si="48"/>
        <v>0.5085561176470588</v>
      </c>
      <c r="BA39" s="125">
        <f t="shared" si="49"/>
        <v>0.28564411764705877</v>
      </c>
      <c r="BB39" s="130">
        <v>30</v>
      </c>
      <c r="BC39" s="130">
        <v>12</v>
      </c>
      <c r="BD39" s="125">
        <f t="shared" si="50"/>
        <v>183.08020235294117</v>
      </c>
      <c r="BE39" s="125">
        <f t="shared" si="51"/>
        <v>102.83188235294116</v>
      </c>
      <c r="BF39" s="198">
        <v>90</v>
      </c>
      <c r="BG39" s="198">
        <v>90</v>
      </c>
      <c r="BH39" s="125">
        <f t="shared" si="52"/>
        <v>0.21808823529411764</v>
      </c>
      <c r="BI39" s="130">
        <v>18</v>
      </c>
      <c r="BJ39" s="180">
        <f t="shared" si="53"/>
        <v>1.2718905882352942</v>
      </c>
      <c r="BK39" s="180">
        <f t="shared" si="54"/>
        <v>1.2718905882352942</v>
      </c>
      <c r="BL39" s="130">
        <v>30</v>
      </c>
      <c r="BM39" s="130">
        <v>12</v>
      </c>
      <c r="BN39" s="142">
        <f t="shared" si="55"/>
        <v>457.8806117647059</v>
      </c>
      <c r="BO39" s="142">
        <f t="shared" si="56"/>
        <v>457.8806117647059</v>
      </c>
      <c r="BP39" s="180">
        <f t="shared" si="1"/>
        <v>320.4804070588235</v>
      </c>
      <c r="BQ39" s="180">
        <f t="shared" si="2"/>
        <v>280.35624705882356</v>
      </c>
      <c r="BR39" s="207">
        <f t="shared" si="57"/>
        <v>460</v>
      </c>
      <c r="BS39" s="207">
        <f t="shared" si="58"/>
        <v>460</v>
      </c>
      <c r="BT39" s="207">
        <f t="shared" si="59"/>
        <v>330</v>
      </c>
      <c r="BU39" s="207">
        <f t="shared" si="60"/>
        <v>290</v>
      </c>
      <c r="BV39" s="207">
        <f t="shared" si="61"/>
        <v>330</v>
      </c>
      <c r="BW39" s="207">
        <f t="shared" si="62"/>
        <v>290</v>
      </c>
      <c r="BX39" s="207">
        <f t="shared" si="63"/>
        <v>330</v>
      </c>
      <c r="BY39" s="207">
        <f t="shared" si="64"/>
        <v>290</v>
      </c>
      <c r="BZ39" s="207">
        <f t="shared" si="65"/>
        <v>330</v>
      </c>
      <c r="CA39" s="207">
        <f t="shared" si="66"/>
        <v>290</v>
      </c>
    </row>
    <row r="40" spans="1:79" ht="49.5" customHeight="1">
      <c r="A40" s="4">
        <v>27</v>
      </c>
      <c r="B40" s="4" t="s">
        <v>20</v>
      </c>
      <c r="C40" s="4" t="s">
        <v>19</v>
      </c>
      <c r="D40" s="4">
        <v>2</v>
      </c>
      <c r="E40" s="4" t="s">
        <v>388</v>
      </c>
      <c r="F40" s="4" t="s">
        <v>346</v>
      </c>
      <c r="G40" s="4" t="s">
        <v>466</v>
      </c>
      <c r="H40" s="4" t="s">
        <v>11</v>
      </c>
      <c r="I40" s="9" t="s">
        <v>67</v>
      </c>
      <c r="J40" s="9" t="s">
        <v>67</v>
      </c>
      <c r="K40" s="9" t="s">
        <v>67</v>
      </c>
      <c r="L40" s="9" t="s">
        <v>67</v>
      </c>
      <c r="M40" s="9" t="s">
        <v>67</v>
      </c>
      <c r="N40" s="9" t="s">
        <v>67</v>
      </c>
      <c r="O40" s="8" t="s">
        <v>51</v>
      </c>
      <c r="P40" s="8" t="s">
        <v>55</v>
      </c>
      <c r="Q40" s="8" t="s">
        <v>716</v>
      </c>
      <c r="R40" s="8" t="s">
        <v>838</v>
      </c>
      <c r="S40" s="4" t="s">
        <v>1212</v>
      </c>
      <c r="T40" s="4">
        <v>15</v>
      </c>
      <c r="U40" s="96">
        <f>X40/T40</f>
        <v>0.004066666666666666</v>
      </c>
      <c r="V40" s="8">
        <v>65.8</v>
      </c>
      <c r="W40" s="8">
        <v>27.2</v>
      </c>
      <c r="X40" s="7">
        <v>0.061</v>
      </c>
      <c r="Y40" s="8">
        <v>18</v>
      </c>
      <c r="Z40" s="7">
        <f>X40*V40*Y40*0.0036</f>
        <v>0.26009424000000003</v>
      </c>
      <c r="AA40" s="7">
        <f>X40*W40*Y40*0.0036</f>
        <v>0.10751616</v>
      </c>
      <c r="AB40" s="8">
        <v>30</v>
      </c>
      <c r="AC40" s="8">
        <v>12</v>
      </c>
      <c r="AD40" s="13">
        <f aca="true" t="shared" si="70" ref="AD40:AD49">Z40*AB40*AC40</f>
        <v>93.63392640000001</v>
      </c>
      <c r="AE40" s="13">
        <f aca="true" t="shared" si="71" ref="AE40:AE49">AA40*AB40*AC40</f>
        <v>38.705817599999996</v>
      </c>
      <c r="AF40" s="4" t="s">
        <v>1046</v>
      </c>
      <c r="AG40" s="4">
        <v>15</v>
      </c>
      <c r="AH40" s="96">
        <f t="shared" si="44"/>
        <v>0.007333333333333333</v>
      </c>
      <c r="AI40" s="158">
        <f>'Estandarizaciónparámetros SS-SS'!$F$38</f>
        <v>34</v>
      </c>
      <c r="AJ40" s="158">
        <f>'Estandarizaciónparámetros SS-SS'!$F$70</f>
        <v>17.5</v>
      </c>
      <c r="AK40" s="7">
        <v>0.11</v>
      </c>
      <c r="AL40" s="8">
        <v>18</v>
      </c>
      <c r="AM40" s="7">
        <f t="shared" si="35"/>
        <v>0.242352</v>
      </c>
      <c r="AN40" s="7">
        <f t="shared" si="37"/>
        <v>0.12473999999999999</v>
      </c>
      <c r="AO40" s="8">
        <v>30</v>
      </c>
      <c r="AP40" s="8">
        <v>12</v>
      </c>
      <c r="AQ40" s="13">
        <f t="shared" si="38"/>
        <v>87.24672000000001</v>
      </c>
      <c r="AR40" s="80">
        <f t="shared" si="0"/>
        <v>44.90639999999999</v>
      </c>
      <c r="AS40" s="89"/>
      <c r="AT40" s="89"/>
      <c r="AU40" s="89"/>
      <c r="AV40" s="13">
        <f t="shared" si="45"/>
        <v>45.34385964912281</v>
      </c>
      <c r="AW40" s="13">
        <f t="shared" si="46"/>
        <v>20.960233918128658</v>
      </c>
      <c r="AX40" s="125">
        <f t="shared" si="47"/>
        <v>0.08549999999999999</v>
      </c>
      <c r="AY40" s="130">
        <v>18</v>
      </c>
      <c r="AZ40" s="125">
        <f t="shared" si="48"/>
        <v>0.25122311999999997</v>
      </c>
      <c r="BA40" s="125">
        <f t="shared" si="49"/>
        <v>0.11612808000000001</v>
      </c>
      <c r="BB40" s="130">
        <v>30</v>
      </c>
      <c r="BC40" s="130">
        <v>12</v>
      </c>
      <c r="BD40" s="125">
        <f t="shared" si="50"/>
        <v>90.44032319999998</v>
      </c>
      <c r="BE40" s="125">
        <f t="shared" si="51"/>
        <v>41.806108800000004</v>
      </c>
      <c r="BF40" s="198">
        <v>90</v>
      </c>
      <c r="BG40" s="198">
        <v>90</v>
      </c>
      <c r="BH40" s="125">
        <f t="shared" si="52"/>
        <v>0.08549999999999999</v>
      </c>
      <c r="BI40" s="130">
        <v>18</v>
      </c>
      <c r="BJ40" s="180">
        <f t="shared" si="53"/>
        <v>0.49863599999999997</v>
      </c>
      <c r="BK40" s="180">
        <f t="shared" si="54"/>
        <v>0.49863599999999997</v>
      </c>
      <c r="BL40" s="130">
        <v>30</v>
      </c>
      <c r="BM40" s="130">
        <v>12</v>
      </c>
      <c r="BN40" s="142">
        <f t="shared" si="55"/>
        <v>179.50895999999997</v>
      </c>
      <c r="BO40" s="142">
        <f t="shared" si="56"/>
        <v>179.50895999999997</v>
      </c>
      <c r="BP40" s="180">
        <f t="shared" si="1"/>
        <v>134.97464159999998</v>
      </c>
      <c r="BQ40" s="180">
        <f t="shared" si="2"/>
        <v>110.65753439999999</v>
      </c>
      <c r="BR40" s="207">
        <f t="shared" si="57"/>
        <v>180</v>
      </c>
      <c r="BS40" s="207">
        <f t="shared" si="58"/>
        <v>180</v>
      </c>
      <c r="BT40" s="207">
        <f t="shared" si="59"/>
        <v>140</v>
      </c>
      <c r="BU40" s="207">
        <f t="shared" si="60"/>
        <v>120</v>
      </c>
      <c r="BV40" s="207">
        <f t="shared" si="61"/>
        <v>140</v>
      </c>
      <c r="BW40" s="207">
        <f t="shared" si="62"/>
        <v>120</v>
      </c>
      <c r="BX40" s="207">
        <f t="shared" si="63"/>
        <v>140</v>
      </c>
      <c r="BY40" s="207">
        <f t="shared" si="64"/>
        <v>120</v>
      </c>
      <c r="BZ40" s="207">
        <f t="shared" si="65"/>
        <v>140</v>
      </c>
      <c r="CA40" s="207">
        <f t="shared" si="66"/>
        <v>120</v>
      </c>
    </row>
    <row r="41" spans="1:79" ht="49.5" customHeight="1">
      <c r="A41" s="4">
        <v>28</v>
      </c>
      <c r="B41" s="4" t="s">
        <v>20</v>
      </c>
      <c r="C41" s="4" t="s">
        <v>19</v>
      </c>
      <c r="D41" s="4">
        <v>2</v>
      </c>
      <c r="E41" s="4" t="s">
        <v>433</v>
      </c>
      <c r="F41" s="4" t="s">
        <v>188</v>
      </c>
      <c r="G41" s="4" t="s">
        <v>467</v>
      </c>
      <c r="H41" s="4" t="s">
        <v>11</v>
      </c>
      <c r="I41" s="17" t="s">
        <v>67</v>
      </c>
      <c r="J41" s="17" t="s">
        <v>67</v>
      </c>
      <c r="K41" s="17" t="s">
        <v>67</v>
      </c>
      <c r="L41" s="17" t="s">
        <v>67</v>
      </c>
      <c r="M41" s="17" t="s">
        <v>67</v>
      </c>
      <c r="N41" s="17" t="s">
        <v>67</v>
      </c>
      <c r="O41" s="4" t="s">
        <v>51</v>
      </c>
      <c r="P41" s="4" t="s">
        <v>55</v>
      </c>
      <c r="Q41" s="8" t="s">
        <v>717</v>
      </c>
      <c r="R41" s="8" t="s">
        <v>839</v>
      </c>
      <c r="S41" s="4" t="s">
        <v>1213</v>
      </c>
      <c r="T41" s="4">
        <v>25</v>
      </c>
      <c r="U41" s="4"/>
      <c r="V41" s="158">
        <f>'Estandarizaciónparámetros SS-SS'!$C$38</f>
        <v>35</v>
      </c>
      <c r="W41" s="158">
        <f>'Estandarizaciónparámetros SS-SS'!$C$70</f>
        <v>19</v>
      </c>
      <c r="X41" s="112">
        <f>T41*'Estandarizaciónparámetros SS-SS'!$C$3</f>
        <v>0.28846153846153844</v>
      </c>
      <c r="Y41" s="8">
        <v>18</v>
      </c>
      <c r="Z41" s="7">
        <f>(50*25*4)/1000</f>
        <v>5</v>
      </c>
      <c r="AA41" s="7">
        <f>(50*25*4)/1000</f>
        <v>5</v>
      </c>
      <c r="AB41" s="8">
        <v>30</v>
      </c>
      <c r="AC41" s="8">
        <v>12</v>
      </c>
      <c r="AD41" s="13">
        <f t="shared" si="70"/>
        <v>1800</v>
      </c>
      <c r="AE41" s="13">
        <f t="shared" si="71"/>
        <v>1800</v>
      </c>
      <c r="AF41" s="4" t="s">
        <v>1047</v>
      </c>
      <c r="AG41" s="4">
        <v>25</v>
      </c>
      <c r="AH41" s="96">
        <f t="shared" si="44"/>
        <v>0.004719999999999999</v>
      </c>
      <c r="AI41" s="4">
        <v>71</v>
      </c>
      <c r="AJ41" s="4">
        <v>14</v>
      </c>
      <c r="AK41" s="58">
        <v>0.118</v>
      </c>
      <c r="AL41" s="8">
        <v>18</v>
      </c>
      <c r="AM41" s="7">
        <f t="shared" si="35"/>
        <v>0.5428944</v>
      </c>
      <c r="AN41" s="7">
        <f t="shared" si="37"/>
        <v>0.10704959999999998</v>
      </c>
      <c r="AO41" s="8">
        <v>30</v>
      </c>
      <c r="AP41" s="8">
        <v>12</v>
      </c>
      <c r="AQ41" s="13">
        <f t="shared" si="38"/>
        <v>195.441984</v>
      </c>
      <c r="AR41" s="80">
        <f t="shared" si="0"/>
        <v>38.53785599999999</v>
      </c>
      <c r="AS41" s="89"/>
      <c r="AT41" s="89"/>
      <c r="AU41" s="89"/>
      <c r="AV41" s="13">
        <f t="shared" si="45"/>
        <v>45.45117335352007</v>
      </c>
      <c r="AW41" s="13">
        <f t="shared" si="46"/>
        <v>17.548448145344437</v>
      </c>
      <c r="AX41" s="125">
        <f t="shared" si="47"/>
        <v>0.20323076923076921</v>
      </c>
      <c r="AY41" s="130">
        <v>18</v>
      </c>
      <c r="AZ41" s="125">
        <f t="shared" si="48"/>
        <v>0.5985625846153847</v>
      </c>
      <c r="BA41" s="125">
        <f t="shared" si="49"/>
        <v>0.23110172307692306</v>
      </c>
      <c r="BB41" s="130">
        <v>30</v>
      </c>
      <c r="BC41" s="130">
        <v>12</v>
      </c>
      <c r="BD41" s="125">
        <f t="shared" si="50"/>
        <v>215.4825304615385</v>
      </c>
      <c r="BE41" s="125">
        <f t="shared" si="51"/>
        <v>83.1966203076923</v>
      </c>
      <c r="BF41" s="198">
        <v>90</v>
      </c>
      <c r="BG41" s="198">
        <v>90</v>
      </c>
      <c r="BH41" s="125">
        <f t="shared" si="52"/>
        <v>0.20323076923076921</v>
      </c>
      <c r="BI41" s="130">
        <v>18</v>
      </c>
      <c r="BJ41" s="180">
        <f t="shared" si="53"/>
        <v>1.185241846153846</v>
      </c>
      <c r="BK41" s="180">
        <f t="shared" si="54"/>
        <v>1.185241846153846</v>
      </c>
      <c r="BL41" s="130">
        <v>30</v>
      </c>
      <c r="BM41" s="130">
        <v>12</v>
      </c>
      <c r="BN41" s="142">
        <f t="shared" si="55"/>
        <v>426.68706461538454</v>
      </c>
      <c r="BO41" s="142">
        <f t="shared" si="56"/>
        <v>426.68706461538454</v>
      </c>
      <c r="BP41" s="180">
        <f t="shared" si="1"/>
        <v>321.08479753846154</v>
      </c>
      <c r="BQ41" s="180">
        <f t="shared" si="2"/>
        <v>254.9418424615384</v>
      </c>
      <c r="BR41" s="207">
        <f t="shared" si="57"/>
        <v>430</v>
      </c>
      <c r="BS41" s="207">
        <f t="shared" si="58"/>
        <v>430</v>
      </c>
      <c r="BT41" s="207">
        <f t="shared" si="59"/>
        <v>330</v>
      </c>
      <c r="BU41" s="207">
        <f t="shared" si="60"/>
        <v>260</v>
      </c>
      <c r="BV41" s="207">
        <f t="shared" si="61"/>
        <v>330</v>
      </c>
      <c r="BW41" s="207">
        <f t="shared" si="62"/>
        <v>260</v>
      </c>
      <c r="BX41" s="207">
        <f t="shared" si="63"/>
        <v>330</v>
      </c>
      <c r="BY41" s="207">
        <f t="shared" si="64"/>
        <v>260</v>
      </c>
      <c r="BZ41" s="207">
        <f t="shared" si="65"/>
        <v>330</v>
      </c>
      <c r="CA41" s="207">
        <f t="shared" si="66"/>
        <v>260</v>
      </c>
    </row>
    <row r="42" spans="1:79" ht="49.5" customHeight="1">
      <c r="A42" s="4">
        <v>29</v>
      </c>
      <c r="B42" s="4" t="s">
        <v>20</v>
      </c>
      <c r="C42" s="4" t="s">
        <v>19</v>
      </c>
      <c r="D42" s="4">
        <v>2</v>
      </c>
      <c r="E42" s="4" t="s">
        <v>405</v>
      </c>
      <c r="F42" s="4" t="s">
        <v>197</v>
      </c>
      <c r="G42" s="4" t="s">
        <v>157</v>
      </c>
      <c r="H42" s="4" t="s">
        <v>486</v>
      </c>
      <c r="I42" s="17" t="s">
        <v>574</v>
      </c>
      <c r="J42" s="25">
        <v>42489</v>
      </c>
      <c r="K42" s="9" t="s">
        <v>10</v>
      </c>
      <c r="L42" s="9" t="s">
        <v>10</v>
      </c>
      <c r="M42" s="9" t="s">
        <v>74</v>
      </c>
      <c r="N42" s="9" t="s">
        <v>10</v>
      </c>
      <c r="O42" s="8" t="s">
        <v>51</v>
      </c>
      <c r="P42" s="4" t="s">
        <v>55</v>
      </c>
      <c r="Q42" s="8" t="s">
        <v>718</v>
      </c>
      <c r="R42" s="8" t="s">
        <v>840</v>
      </c>
      <c r="S42" s="4" t="s">
        <v>1214</v>
      </c>
      <c r="T42" s="4">
        <v>15</v>
      </c>
      <c r="U42" s="4"/>
      <c r="V42" s="158">
        <f>'Estandarizaciónparámetros SS-SS'!$C$38</f>
        <v>35</v>
      </c>
      <c r="W42" s="158">
        <f>'Estandarizaciónparámetros SS-SS'!$C$70</f>
        <v>19</v>
      </c>
      <c r="X42" s="112">
        <f>T42*'Estandarizaciónparámetros SS-SS'!$C$3</f>
        <v>0.17307692307692307</v>
      </c>
      <c r="Y42" s="8">
        <v>18</v>
      </c>
      <c r="Z42" s="7">
        <f>(50*15*4)/1000</f>
        <v>3</v>
      </c>
      <c r="AA42" s="7">
        <f>(50*15*4)/1000</f>
        <v>3</v>
      </c>
      <c r="AB42" s="8">
        <v>30</v>
      </c>
      <c r="AC42" s="8">
        <v>12</v>
      </c>
      <c r="AD42" s="13">
        <f>Z42*AB42*AC42</f>
        <v>1080</v>
      </c>
      <c r="AE42" s="13">
        <f>AA42*AB42*AC42</f>
        <v>1080</v>
      </c>
      <c r="AF42" s="4" t="s">
        <v>1048</v>
      </c>
      <c r="AG42" s="4">
        <v>15</v>
      </c>
      <c r="AH42" s="96">
        <f t="shared" si="44"/>
        <v>0.0246</v>
      </c>
      <c r="AI42" s="71">
        <v>77</v>
      </c>
      <c r="AJ42" s="71">
        <v>32</v>
      </c>
      <c r="AK42" s="41">
        <v>0.369</v>
      </c>
      <c r="AL42" s="8">
        <v>18</v>
      </c>
      <c r="AM42" s="31">
        <f t="shared" si="35"/>
        <v>1.8411624</v>
      </c>
      <c r="AN42" s="31">
        <f t="shared" si="37"/>
        <v>0.7651583999999999</v>
      </c>
      <c r="AO42" s="8">
        <v>30</v>
      </c>
      <c r="AP42" s="8">
        <v>12</v>
      </c>
      <c r="AQ42" s="31">
        <f t="shared" si="38"/>
        <v>662.818464</v>
      </c>
      <c r="AR42" s="84">
        <f t="shared" si="0"/>
        <v>275.45702399999993</v>
      </c>
      <c r="AS42" s="133" t="s">
        <v>1222</v>
      </c>
      <c r="AT42" s="133" t="s">
        <v>1180</v>
      </c>
      <c r="AU42" s="134">
        <v>100</v>
      </c>
      <c r="AV42" s="13">
        <f t="shared" si="45"/>
        <v>63.59003831417625</v>
      </c>
      <c r="AW42" s="13">
        <f t="shared" si="46"/>
        <v>27.8492975734355</v>
      </c>
      <c r="AX42" s="125">
        <f t="shared" si="47"/>
        <v>0.27103846153846156</v>
      </c>
      <c r="AY42" s="130">
        <v>18</v>
      </c>
      <c r="AZ42" s="125">
        <f t="shared" si="48"/>
        <v>1.1168504307692309</v>
      </c>
      <c r="BA42" s="125">
        <f t="shared" si="49"/>
        <v>0.4891253538461538</v>
      </c>
      <c r="BB42" s="130">
        <v>30</v>
      </c>
      <c r="BC42" s="130">
        <v>12</v>
      </c>
      <c r="BD42" s="125">
        <f t="shared" si="50"/>
        <v>402.0661550769231</v>
      </c>
      <c r="BE42" s="125">
        <f t="shared" si="51"/>
        <v>176.08512738461536</v>
      </c>
      <c r="BF42" s="130">
        <v>90</v>
      </c>
      <c r="BG42" s="130">
        <v>100</v>
      </c>
      <c r="BH42" s="125">
        <f t="shared" si="52"/>
        <v>0.27103846153846156</v>
      </c>
      <c r="BI42" s="130">
        <v>18</v>
      </c>
      <c r="BJ42" s="180">
        <f t="shared" si="53"/>
        <v>1.5806963076923077</v>
      </c>
      <c r="BK42" s="180">
        <f t="shared" si="54"/>
        <v>1.7563292307692309</v>
      </c>
      <c r="BL42" s="130">
        <v>30</v>
      </c>
      <c r="BM42" s="130">
        <v>12</v>
      </c>
      <c r="BN42" s="142">
        <f t="shared" si="55"/>
        <v>569.0506707692308</v>
      </c>
      <c r="BO42" s="142">
        <f t="shared" si="56"/>
        <v>632.2785230769231</v>
      </c>
      <c r="BP42" s="180">
        <f t="shared" si="1"/>
        <v>485.55841292307696</v>
      </c>
      <c r="BQ42" s="180">
        <f t="shared" si="2"/>
        <v>404.1818252307692</v>
      </c>
      <c r="BR42" s="207">
        <f t="shared" si="57"/>
        <v>570</v>
      </c>
      <c r="BS42" s="207">
        <f t="shared" si="58"/>
        <v>640</v>
      </c>
      <c r="BT42" s="207">
        <f t="shared" si="59"/>
        <v>490</v>
      </c>
      <c r="BU42" s="207">
        <f t="shared" si="60"/>
        <v>410</v>
      </c>
      <c r="BV42" s="207">
        <f t="shared" si="61"/>
        <v>490</v>
      </c>
      <c r="BW42" s="207">
        <f t="shared" si="62"/>
        <v>410</v>
      </c>
      <c r="BX42" s="207">
        <f t="shared" si="63"/>
        <v>490</v>
      </c>
      <c r="BY42" s="207">
        <f t="shared" si="64"/>
        <v>410</v>
      </c>
      <c r="BZ42" s="207">
        <f t="shared" si="65"/>
        <v>490</v>
      </c>
      <c r="CA42" s="207">
        <f t="shared" si="66"/>
        <v>410</v>
      </c>
    </row>
    <row r="43" spans="1:79" ht="49.5" customHeight="1">
      <c r="A43" s="4">
        <v>30</v>
      </c>
      <c r="B43" s="4" t="s">
        <v>20</v>
      </c>
      <c r="C43" s="4" t="s">
        <v>19</v>
      </c>
      <c r="D43" s="4">
        <v>2</v>
      </c>
      <c r="E43" s="4" t="s">
        <v>155</v>
      </c>
      <c r="F43" s="4" t="s">
        <v>196</v>
      </c>
      <c r="G43" s="4" t="s">
        <v>156</v>
      </c>
      <c r="H43" s="4" t="s">
        <v>11</v>
      </c>
      <c r="I43" s="8"/>
      <c r="J43" s="10"/>
      <c r="K43" s="10"/>
      <c r="L43" s="10"/>
      <c r="M43" s="8"/>
      <c r="N43" s="10"/>
      <c r="O43" s="8" t="s">
        <v>51</v>
      </c>
      <c r="P43" s="4" t="s">
        <v>55</v>
      </c>
      <c r="Q43" s="8" t="s">
        <v>719</v>
      </c>
      <c r="R43" s="8" t="s">
        <v>841</v>
      </c>
      <c r="S43" s="4" t="s">
        <v>1215</v>
      </c>
      <c r="T43" s="4">
        <v>13</v>
      </c>
      <c r="U43" s="96">
        <f>X43/T43</f>
        <v>0.047692307692307694</v>
      </c>
      <c r="V43" s="144">
        <v>13</v>
      </c>
      <c r="W43" s="8">
        <v>43</v>
      </c>
      <c r="X43" s="8">
        <v>0.62</v>
      </c>
      <c r="Y43" s="8">
        <v>18</v>
      </c>
      <c r="Z43" s="7">
        <f t="shared" si="34"/>
        <v>0.5222880000000001</v>
      </c>
      <c r="AA43" s="7">
        <f t="shared" si="36"/>
        <v>1.727568</v>
      </c>
      <c r="AB43" s="8">
        <v>30</v>
      </c>
      <c r="AC43" s="8">
        <v>12</v>
      </c>
      <c r="AD43" s="13">
        <f t="shared" si="70"/>
        <v>188.02368000000004</v>
      </c>
      <c r="AE43" s="13">
        <f t="shared" si="71"/>
        <v>621.9244799999999</v>
      </c>
      <c r="AF43" s="4" t="s">
        <v>1049</v>
      </c>
      <c r="AG43" s="4">
        <v>13</v>
      </c>
      <c r="AH43" s="96">
        <f t="shared" si="44"/>
        <v>0.047692307692307694</v>
      </c>
      <c r="AI43" s="71">
        <v>13</v>
      </c>
      <c r="AJ43" s="71">
        <v>43</v>
      </c>
      <c r="AK43" s="71">
        <v>0.62</v>
      </c>
      <c r="AL43" s="8">
        <v>18</v>
      </c>
      <c r="AM43" s="7">
        <f t="shared" si="35"/>
        <v>0.5222880000000001</v>
      </c>
      <c r="AN43" s="7">
        <f t="shared" si="37"/>
        <v>1.727568</v>
      </c>
      <c r="AO43" s="8">
        <v>30</v>
      </c>
      <c r="AP43" s="8">
        <v>12</v>
      </c>
      <c r="AQ43" s="13">
        <f t="shared" si="38"/>
        <v>188.02368000000004</v>
      </c>
      <c r="AR43" s="80">
        <f t="shared" si="0"/>
        <v>621.9244799999999</v>
      </c>
      <c r="AS43" s="89"/>
      <c r="AT43" s="89"/>
      <c r="AU43" s="89"/>
      <c r="AV43" s="13">
        <f t="shared" si="45"/>
        <v>13.000000000000002</v>
      </c>
      <c r="AW43" s="13">
        <f t="shared" si="46"/>
        <v>43</v>
      </c>
      <c r="AX43" s="125">
        <f t="shared" si="47"/>
        <v>0.62</v>
      </c>
      <c r="AY43" s="130">
        <v>18</v>
      </c>
      <c r="AZ43" s="125">
        <f t="shared" si="48"/>
        <v>0.5222880000000001</v>
      </c>
      <c r="BA43" s="125">
        <f t="shared" si="49"/>
        <v>1.727568</v>
      </c>
      <c r="BB43" s="130">
        <v>30</v>
      </c>
      <c r="BC43" s="130">
        <v>12</v>
      </c>
      <c r="BD43" s="125">
        <f t="shared" si="50"/>
        <v>188.02368000000004</v>
      </c>
      <c r="BE43" s="125">
        <f t="shared" si="51"/>
        <v>621.9244799999999</v>
      </c>
      <c r="BF43" s="198">
        <v>90</v>
      </c>
      <c r="BG43" s="198">
        <v>90</v>
      </c>
      <c r="BH43" s="125">
        <f t="shared" si="52"/>
        <v>0.62</v>
      </c>
      <c r="BI43" s="130">
        <v>18</v>
      </c>
      <c r="BJ43" s="180">
        <f t="shared" si="53"/>
        <v>3.61584</v>
      </c>
      <c r="BK43" s="180">
        <f t="shared" si="54"/>
        <v>3.61584</v>
      </c>
      <c r="BL43" s="130">
        <v>30</v>
      </c>
      <c r="BM43" s="130">
        <v>12</v>
      </c>
      <c r="BN43" s="142">
        <f t="shared" si="55"/>
        <v>1301.7024000000001</v>
      </c>
      <c r="BO43" s="142">
        <f t="shared" si="56"/>
        <v>1301.7024000000001</v>
      </c>
      <c r="BP43" s="180">
        <f t="shared" si="1"/>
        <v>744.8630400000001</v>
      </c>
      <c r="BQ43" s="180">
        <f t="shared" si="2"/>
        <v>961.81344</v>
      </c>
      <c r="BR43" s="207">
        <f t="shared" si="57"/>
        <v>1310</v>
      </c>
      <c r="BS43" s="207">
        <f t="shared" si="58"/>
        <v>1310</v>
      </c>
      <c r="BT43" s="207">
        <f t="shared" si="59"/>
        <v>750</v>
      </c>
      <c r="BU43" s="207">
        <f t="shared" si="60"/>
        <v>970</v>
      </c>
      <c r="BV43" s="207">
        <f t="shared" si="61"/>
        <v>750</v>
      </c>
      <c r="BW43" s="207">
        <f t="shared" si="62"/>
        <v>970</v>
      </c>
      <c r="BX43" s="207">
        <f t="shared" si="63"/>
        <v>750</v>
      </c>
      <c r="BY43" s="207">
        <f t="shared" si="64"/>
        <v>970</v>
      </c>
      <c r="BZ43" s="207">
        <f t="shared" si="65"/>
        <v>750</v>
      </c>
      <c r="CA43" s="207">
        <f t="shared" si="66"/>
        <v>970</v>
      </c>
    </row>
    <row r="44" spans="1:79" ht="49.5" customHeight="1">
      <c r="A44" s="4">
        <v>31</v>
      </c>
      <c r="B44" s="4" t="s">
        <v>20</v>
      </c>
      <c r="C44" s="4" t="s">
        <v>19</v>
      </c>
      <c r="D44" s="4">
        <v>2</v>
      </c>
      <c r="E44" s="4" t="s">
        <v>160</v>
      </c>
      <c r="F44" s="4" t="s">
        <v>198</v>
      </c>
      <c r="G44" s="4" t="s">
        <v>161</v>
      </c>
      <c r="H44" s="4" t="s">
        <v>11</v>
      </c>
      <c r="I44" s="9" t="s">
        <v>67</v>
      </c>
      <c r="J44" s="9" t="s">
        <v>67</v>
      </c>
      <c r="K44" s="9" t="s">
        <v>67</v>
      </c>
      <c r="L44" s="9" t="s">
        <v>67</v>
      </c>
      <c r="M44" s="9" t="s">
        <v>67</v>
      </c>
      <c r="N44" s="9" t="s">
        <v>67</v>
      </c>
      <c r="O44" s="8" t="s">
        <v>51</v>
      </c>
      <c r="P44" s="8" t="s">
        <v>55</v>
      </c>
      <c r="Q44" s="8" t="s">
        <v>720</v>
      </c>
      <c r="R44" s="8" t="s">
        <v>842</v>
      </c>
      <c r="S44" s="4" t="s">
        <v>1216</v>
      </c>
      <c r="T44" s="4">
        <v>12</v>
      </c>
      <c r="U44" s="96">
        <f>X44/T44</f>
        <v>0.020416666666666666</v>
      </c>
      <c r="V44" s="8">
        <v>31</v>
      </c>
      <c r="W44" s="8">
        <v>20</v>
      </c>
      <c r="X44" s="8">
        <v>0.245</v>
      </c>
      <c r="Y44" s="8">
        <v>18</v>
      </c>
      <c r="Z44" s="7">
        <f t="shared" si="34"/>
        <v>0.49215600000000004</v>
      </c>
      <c r="AA44" s="7">
        <f t="shared" si="36"/>
        <v>0.31752</v>
      </c>
      <c r="AB44" s="8">
        <v>30</v>
      </c>
      <c r="AC44" s="8">
        <v>12</v>
      </c>
      <c r="AD44" s="13">
        <f t="shared" si="70"/>
        <v>177.17616000000004</v>
      </c>
      <c r="AE44" s="13">
        <f t="shared" si="71"/>
        <v>114.30720000000001</v>
      </c>
      <c r="AF44" s="4" t="s">
        <v>1050</v>
      </c>
      <c r="AG44" s="4">
        <v>12</v>
      </c>
      <c r="AH44" s="96">
        <f t="shared" si="44"/>
        <v>0.14333333333333334</v>
      </c>
      <c r="AI44" s="8">
        <v>16</v>
      </c>
      <c r="AJ44" s="187">
        <v>56</v>
      </c>
      <c r="AK44" s="8">
        <v>1.72</v>
      </c>
      <c r="AL44" s="8">
        <v>18</v>
      </c>
      <c r="AM44" s="7">
        <f>AK44*AI44*AL44*0.0036</f>
        <v>1.783296</v>
      </c>
      <c r="AN44" s="7">
        <f>AK44*AJ44*AL44*0.0036</f>
        <v>6.241535999999999</v>
      </c>
      <c r="AO44" s="8">
        <v>30</v>
      </c>
      <c r="AP44" s="8">
        <v>12</v>
      </c>
      <c r="AQ44" s="13">
        <f t="shared" si="38"/>
        <v>641.98656</v>
      </c>
      <c r="AR44" s="80">
        <f>AN44*AO44*AP44</f>
        <v>2246.9529599999996</v>
      </c>
      <c r="AS44" s="196" t="s">
        <v>1142</v>
      </c>
      <c r="AT44" s="196">
        <v>90</v>
      </c>
      <c r="AU44" s="196">
        <v>90</v>
      </c>
      <c r="AV44" s="13">
        <f t="shared" si="45"/>
        <v>17.87022900763359</v>
      </c>
      <c r="AW44" s="13">
        <f t="shared" si="46"/>
        <v>51.511450381679396</v>
      </c>
      <c r="AX44" s="125">
        <f t="shared" si="47"/>
        <v>0.9824999999999999</v>
      </c>
      <c r="AY44" s="130">
        <v>18</v>
      </c>
      <c r="AZ44" s="125">
        <f t="shared" si="48"/>
        <v>1.137726</v>
      </c>
      <c r="BA44" s="125">
        <f t="shared" si="49"/>
        <v>3.279528</v>
      </c>
      <c r="BB44" s="130">
        <v>30</v>
      </c>
      <c r="BC44" s="130">
        <v>12</v>
      </c>
      <c r="BD44" s="125">
        <f t="shared" si="50"/>
        <v>409.58136</v>
      </c>
      <c r="BE44" s="125">
        <f t="shared" si="51"/>
        <v>1180.63008</v>
      </c>
      <c r="BF44" s="130">
        <v>90</v>
      </c>
      <c r="BG44" s="130">
        <v>90</v>
      </c>
      <c r="BH44" s="125">
        <f t="shared" si="52"/>
        <v>0.9824999999999999</v>
      </c>
      <c r="BI44" s="130">
        <v>18</v>
      </c>
      <c r="BJ44" s="180">
        <f t="shared" si="53"/>
        <v>5.729939999999999</v>
      </c>
      <c r="BK44" s="180">
        <f t="shared" si="54"/>
        <v>5.729939999999999</v>
      </c>
      <c r="BL44" s="130">
        <v>30</v>
      </c>
      <c r="BM44" s="130">
        <v>12</v>
      </c>
      <c r="BN44" s="142">
        <f t="shared" si="55"/>
        <v>2062.7783999999997</v>
      </c>
      <c r="BO44" s="142">
        <f t="shared" si="56"/>
        <v>2062.7783999999997</v>
      </c>
      <c r="BP44" s="180">
        <f t="shared" si="1"/>
        <v>1236.17988</v>
      </c>
      <c r="BQ44" s="180">
        <f t="shared" si="2"/>
        <v>1621.7042399999998</v>
      </c>
      <c r="BR44" s="207">
        <f t="shared" si="57"/>
        <v>2070</v>
      </c>
      <c r="BS44" s="207">
        <f t="shared" si="58"/>
        <v>2070</v>
      </c>
      <c r="BT44" s="207">
        <f t="shared" si="59"/>
        <v>1240</v>
      </c>
      <c r="BU44" s="207">
        <f t="shared" si="60"/>
        <v>1630</v>
      </c>
      <c r="BV44" s="207">
        <f t="shared" si="61"/>
        <v>1240</v>
      </c>
      <c r="BW44" s="207">
        <f t="shared" si="62"/>
        <v>1630</v>
      </c>
      <c r="BX44" s="207">
        <f t="shared" si="63"/>
        <v>1240</v>
      </c>
      <c r="BY44" s="207">
        <f t="shared" si="64"/>
        <v>1630</v>
      </c>
      <c r="BZ44" s="207">
        <f t="shared" si="65"/>
        <v>1240</v>
      </c>
      <c r="CA44" s="207">
        <f t="shared" si="66"/>
        <v>1630</v>
      </c>
    </row>
    <row r="45" spans="1:79" ht="49.5" customHeight="1">
      <c r="A45" s="8">
        <v>32</v>
      </c>
      <c r="B45" s="4" t="s">
        <v>20</v>
      </c>
      <c r="C45" s="4" t="s">
        <v>19</v>
      </c>
      <c r="D45" s="4">
        <v>2</v>
      </c>
      <c r="E45" s="4" t="s">
        <v>672</v>
      </c>
      <c r="F45" s="8" t="s">
        <v>384</v>
      </c>
      <c r="G45" s="8" t="s">
        <v>332</v>
      </c>
      <c r="H45" s="8" t="s">
        <v>11</v>
      </c>
      <c r="I45" s="9" t="s">
        <v>67</v>
      </c>
      <c r="J45" s="9" t="s">
        <v>67</v>
      </c>
      <c r="K45" s="9" t="s">
        <v>67</v>
      </c>
      <c r="L45" s="9" t="s">
        <v>67</v>
      </c>
      <c r="M45" s="9" t="s">
        <v>67</v>
      </c>
      <c r="N45" s="9" t="s">
        <v>67</v>
      </c>
      <c r="O45" s="8" t="s">
        <v>51</v>
      </c>
      <c r="P45" s="8" t="s">
        <v>55</v>
      </c>
      <c r="Q45" s="8" t="s">
        <v>721</v>
      </c>
      <c r="R45" s="8" t="s">
        <v>843</v>
      </c>
      <c r="S45" s="4" t="s">
        <v>1217</v>
      </c>
      <c r="T45" s="4">
        <v>28</v>
      </c>
      <c r="U45" s="96">
        <f>X45/T45</f>
        <v>0.0017142857142857144</v>
      </c>
      <c r="V45" s="8">
        <v>70.2</v>
      </c>
      <c r="W45" s="8">
        <v>22</v>
      </c>
      <c r="X45" s="8">
        <v>0.048</v>
      </c>
      <c r="Y45" s="8">
        <v>18</v>
      </c>
      <c r="Z45" s="7">
        <f t="shared" si="34"/>
        <v>0.21835008</v>
      </c>
      <c r="AA45" s="7">
        <f t="shared" si="36"/>
        <v>0.06842880000000001</v>
      </c>
      <c r="AB45" s="8">
        <v>30</v>
      </c>
      <c r="AC45" s="8">
        <v>12</v>
      </c>
      <c r="AD45" s="13">
        <f t="shared" si="70"/>
        <v>78.6060288</v>
      </c>
      <c r="AE45" s="13">
        <f t="shared" si="71"/>
        <v>24.634368000000006</v>
      </c>
      <c r="AF45" s="4" t="s">
        <v>1051</v>
      </c>
      <c r="AG45" s="4">
        <v>28</v>
      </c>
      <c r="AH45" s="96">
        <f t="shared" si="44"/>
        <v>0.0017142857142857144</v>
      </c>
      <c r="AI45" s="75">
        <v>70.2</v>
      </c>
      <c r="AJ45" s="75">
        <v>22</v>
      </c>
      <c r="AK45" s="75">
        <v>0.048</v>
      </c>
      <c r="AL45" s="8">
        <v>18</v>
      </c>
      <c r="AM45" s="7">
        <f t="shared" si="35"/>
        <v>0.21835008</v>
      </c>
      <c r="AN45" s="7">
        <f t="shared" si="37"/>
        <v>0.06842880000000001</v>
      </c>
      <c r="AO45" s="8">
        <v>30</v>
      </c>
      <c r="AP45" s="8">
        <v>12</v>
      </c>
      <c r="AQ45" s="13">
        <f t="shared" si="38"/>
        <v>78.6060288</v>
      </c>
      <c r="AR45" s="80">
        <f t="shared" si="0"/>
        <v>24.634368000000006</v>
      </c>
      <c r="AS45" s="89"/>
      <c r="AT45" s="89"/>
      <c r="AU45" s="89"/>
      <c r="AV45" s="13">
        <f t="shared" si="45"/>
        <v>70.2</v>
      </c>
      <c r="AW45" s="13">
        <f t="shared" si="46"/>
        <v>22</v>
      </c>
      <c r="AX45" s="125">
        <f t="shared" si="47"/>
        <v>0.048</v>
      </c>
      <c r="AY45" s="130">
        <v>18</v>
      </c>
      <c r="AZ45" s="125">
        <f t="shared" si="48"/>
        <v>0.21835008</v>
      </c>
      <c r="BA45" s="125">
        <f t="shared" si="49"/>
        <v>0.06842880000000001</v>
      </c>
      <c r="BB45" s="130">
        <v>30</v>
      </c>
      <c r="BC45" s="130">
        <v>12</v>
      </c>
      <c r="BD45" s="125">
        <f t="shared" si="50"/>
        <v>78.6060288</v>
      </c>
      <c r="BE45" s="125">
        <f t="shared" si="51"/>
        <v>24.634368000000006</v>
      </c>
      <c r="BF45" s="198">
        <v>90</v>
      </c>
      <c r="BG45" s="198">
        <v>90</v>
      </c>
      <c r="BH45" s="125">
        <f t="shared" si="52"/>
        <v>0.048</v>
      </c>
      <c r="BI45" s="130">
        <v>18</v>
      </c>
      <c r="BJ45" s="180">
        <f t="shared" si="53"/>
        <v>0.279936</v>
      </c>
      <c r="BK45" s="180">
        <f t="shared" si="54"/>
        <v>0.279936</v>
      </c>
      <c r="BL45" s="130">
        <v>30</v>
      </c>
      <c r="BM45" s="130">
        <v>12</v>
      </c>
      <c r="BN45" s="142">
        <f t="shared" si="55"/>
        <v>100.77696</v>
      </c>
      <c r="BO45" s="142">
        <f t="shared" si="56"/>
        <v>100.77696</v>
      </c>
      <c r="BP45" s="180">
        <f t="shared" si="1"/>
        <v>89.69149440000001</v>
      </c>
      <c r="BQ45" s="180">
        <f t="shared" si="2"/>
        <v>62.705664000000006</v>
      </c>
      <c r="BR45" s="207">
        <f t="shared" si="57"/>
        <v>110</v>
      </c>
      <c r="BS45" s="207">
        <f t="shared" si="58"/>
        <v>110</v>
      </c>
      <c r="BT45" s="207">
        <f t="shared" si="59"/>
        <v>90</v>
      </c>
      <c r="BU45" s="207">
        <f t="shared" si="60"/>
        <v>70</v>
      </c>
      <c r="BV45" s="207">
        <f t="shared" si="61"/>
        <v>90</v>
      </c>
      <c r="BW45" s="207">
        <f t="shared" si="62"/>
        <v>70</v>
      </c>
      <c r="BX45" s="207">
        <f t="shared" si="63"/>
        <v>90</v>
      </c>
      <c r="BY45" s="207">
        <f t="shared" si="64"/>
        <v>70</v>
      </c>
      <c r="BZ45" s="207">
        <f t="shared" si="65"/>
        <v>90</v>
      </c>
      <c r="CA45" s="207">
        <f t="shared" si="66"/>
        <v>70</v>
      </c>
    </row>
    <row r="46" spans="1:79" ht="49.5" customHeight="1">
      <c r="A46" s="8">
        <v>33</v>
      </c>
      <c r="B46" s="4" t="s">
        <v>20</v>
      </c>
      <c r="C46" s="4" t="s">
        <v>19</v>
      </c>
      <c r="D46" s="4">
        <v>2</v>
      </c>
      <c r="E46" s="4" t="s">
        <v>683</v>
      </c>
      <c r="F46" s="8" t="s">
        <v>219</v>
      </c>
      <c r="G46" s="8" t="s">
        <v>333</v>
      </c>
      <c r="H46" s="5" t="s">
        <v>227</v>
      </c>
      <c r="I46" s="24" t="s">
        <v>484</v>
      </c>
      <c r="J46" s="28">
        <v>43063</v>
      </c>
      <c r="K46" s="28">
        <v>43216</v>
      </c>
      <c r="L46" s="28">
        <v>43235</v>
      </c>
      <c r="M46" s="26" t="s">
        <v>74</v>
      </c>
      <c r="N46" s="28">
        <v>45061</v>
      </c>
      <c r="O46" s="4" t="s">
        <v>51</v>
      </c>
      <c r="P46" s="8" t="s">
        <v>55</v>
      </c>
      <c r="Q46" s="8" t="s">
        <v>722</v>
      </c>
      <c r="R46" s="8" t="s">
        <v>844</v>
      </c>
      <c r="S46" s="4" t="s">
        <v>1218</v>
      </c>
      <c r="T46" s="4">
        <v>14</v>
      </c>
      <c r="U46" s="4"/>
      <c r="V46" s="158">
        <f>'Estandarizaciónparámetros SS-SS'!$C$38</f>
        <v>35</v>
      </c>
      <c r="W46" s="158">
        <f>'Estandarizaciónparámetros SS-SS'!$C$70</f>
        <v>19</v>
      </c>
      <c r="X46" s="112">
        <f>T46*'Estandarizaciónparámetros SS-SS'!$C$3</f>
        <v>0.16153846153846152</v>
      </c>
      <c r="Y46" s="8">
        <v>18</v>
      </c>
      <c r="Z46" s="32">
        <f>50*14*4/1000</f>
        <v>2.8</v>
      </c>
      <c r="AA46" s="32">
        <f>50*14*4/1000</f>
        <v>2.8</v>
      </c>
      <c r="AB46" s="8">
        <v>30</v>
      </c>
      <c r="AC46" s="8">
        <v>12</v>
      </c>
      <c r="AD46" s="13">
        <f t="shared" si="70"/>
        <v>1008</v>
      </c>
      <c r="AE46" s="13">
        <f t="shared" si="71"/>
        <v>1008</v>
      </c>
      <c r="AF46" s="4" t="s">
        <v>1052</v>
      </c>
      <c r="AG46" s="4">
        <v>14</v>
      </c>
      <c r="AH46" s="4"/>
      <c r="AI46" s="158">
        <f>'Estandarizaciónparámetros SS-SS'!$F$38</f>
        <v>34</v>
      </c>
      <c r="AJ46" s="158">
        <f>'Estandarizaciónparámetros SS-SS'!$F$70</f>
        <v>17.5</v>
      </c>
      <c r="AK46" s="112">
        <f>AG46*'Estandarizaciónparámetros SS-SS'!$F$3</f>
        <v>0.15615384615384614</v>
      </c>
      <c r="AL46" s="8">
        <v>18</v>
      </c>
      <c r="AM46" s="7">
        <f>50*14*4/1000</f>
        <v>2.8</v>
      </c>
      <c r="AN46" s="7">
        <f>50*14*4/1000</f>
        <v>2.8</v>
      </c>
      <c r="AO46" s="8">
        <v>30</v>
      </c>
      <c r="AP46" s="8">
        <v>12</v>
      </c>
      <c r="AQ46" s="13">
        <f t="shared" si="38"/>
        <v>1008</v>
      </c>
      <c r="AR46" s="80">
        <f t="shared" si="0"/>
        <v>1008</v>
      </c>
      <c r="AS46" s="203" t="s">
        <v>1291</v>
      </c>
      <c r="AT46" s="134">
        <v>80</v>
      </c>
      <c r="AU46" s="134">
        <v>50</v>
      </c>
      <c r="AV46" s="13">
        <f t="shared" si="45"/>
        <v>34.50847457627119</v>
      </c>
      <c r="AW46" s="13">
        <f t="shared" si="46"/>
        <v>18.26271186440678</v>
      </c>
      <c r="AX46" s="125">
        <f t="shared" si="47"/>
        <v>0.15884615384615383</v>
      </c>
      <c r="AY46" s="130">
        <v>18</v>
      </c>
      <c r="AZ46" s="125">
        <f t="shared" si="48"/>
        <v>0.3552036923076923</v>
      </c>
      <c r="BA46" s="125">
        <f t="shared" si="49"/>
        <v>0.18798230769230767</v>
      </c>
      <c r="BB46" s="130">
        <v>30</v>
      </c>
      <c r="BC46" s="130">
        <v>12</v>
      </c>
      <c r="BD46" s="125">
        <f t="shared" si="50"/>
        <v>127.87332923076922</v>
      </c>
      <c r="BE46" s="125">
        <f t="shared" si="51"/>
        <v>67.67363076923077</v>
      </c>
      <c r="BF46" s="130">
        <v>80</v>
      </c>
      <c r="BG46" s="130">
        <v>50</v>
      </c>
      <c r="BH46" s="125">
        <f t="shared" si="52"/>
        <v>0.15884615384615383</v>
      </c>
      <c r="BI46" s="130">
        <v>18</v>
      </c>
      <c r="BJ46" s="180">
        <f t="shared" si="53"/>
        <v>0.8234584615384615</v>
      </c>
      <c r="BK46" s="180">
        <f t="shared" si="54"/>
        <v>0.5146615384615384</v>
      </c>
      <c r="BL46" s="130">
        <v>30</v>
      </c>
      <c r="BM46" s="130">
        <v>12</v>
      </c>
      <c r="BN46" s="142">
        <f t="shared" si="55"/>
        <v>296.44504615384614</v>
      </c>
      <c r="BO46" s="142">
        <f t="shared" si="56"/>
        <v>185.27815384615383</v>
      </c>
      <c r="BP46" s="180">
        <f t="shared" si="1"/>
        <v>212.15918769230768</v>
      </c>
      <c r="BQ46" s="180">
        <f t="shared" si="2"/>
        <v>126.4758923076923</v>
      </c>
      <c r="BR46" s="207">
        <f t="shared" si="57"/>
        <v>300</v>
      </c>
      <c r="BS46" s="207">
        <f t="shared" si="58"/>
        <v>190</v>
      </c>
      <c r="BT46" s="207">
        <f t="shared" si="59"/>
        <v>220</v>
      </c>
      <c r="BU46" s="207">
        <f t="shared" si="60"/>
        <v>130</v>
      </c>
      <c r="BV46" s="207">
        <f t="shared" si="61"/>
        <v>220</v>
      </c>
      <c r="BW46" s="207">
        <f t="shared" si="62"/>
        <v>130</v>
      </c>
      <c r="BX46" s="207">
        <f t="shared" si="63"/>
        <v>220</v>
      </c>
      <c r="BY46" s="207">
        <f t="shared" si="64"/>
        <v>130</v>
      </c>
      <c r="BZ46" s="207">
        <f t="shared" si="65"/>
        <v>220</v>
      </c>
      <c r="CA46" s="207">
        <f t="shared" si="66"/>
        <v>130</v>
      </c>
    </row>
    <row r="47" spans="1:79" ht="49.5" customHeight="1">
      <c r="A47" s="8">
        <v>34</v>
      </c>
      <c r="B47" s="4" t="s">
        <v>20</v>
      </c>
      <c r="C47" s="4" t="s">
        <v>19</v>
      </c>
      <c r="D47" s="4">
        <v>2</v>
      </c>
      <c r="E47" s="4" t="s">
        <v>682</v>
      </c>
      <c r="F47" s="8" t="s">
        <v>386</v>
      </c>
      <c r="G47" s="8" t="s">
        <v>213</v>
      </c>
      <c r="H47" s="4" t="s">
        <v>486</v>
      </c>
      <c r="I47" s="17" t="s">
        <v>575</v>
      </c>
      <c r="J47" s="25">
        <v>43426</v>
      </c>
      <c r="K47" s="25">
        <v>44193</v>
      </c>
      <c r="L47" s="25">
        <v>44209</v>
      </c>
      <c r="M47" s="9" t="s">
        <v>74</v>
      </c>
      <c r="N47" s="25">
        <v>46034</v>
      </c>
      <c r="O47" s="4" t="s">
        <v>51</v>
      </c>
      <c r="P47" s="8" t="s">
        <v>55</v>
      </c>
      <c r="Q47" s="8" t="s">
        <v>723</v>
      </c>
      <c r="R47" s="8" t="s">
        <v>845</v>
      </c>
      <c r="S47" s="4" t="s">
        <v>1219</v>
      </c>
      <c r="T47" s="4">
        <v>12</v>
      </c>
      <c r="U47" s="96">
        <f>X47/T47</f>
        <v>0.0185</v>
      </c>
      <c r="V47" s="44">
        <v>88</v>
      </c>
      <c r="W47" s="8">
        <v>52</v>
      </c>
      <c r="X47" s="8">
        <v>0.222</v>
      </c>
      <c r="Y47" s="8">
        <v>18</v>
      </c>
      <c r="Z47" s="7">
        <f>X47*V47*Y47*0.0036</f>
        <v>1.2659328</v>
      </c>
      <c r="AA47" s="7">
        <f>X47*W47*Y47*0.0036</f>
        <v>0.7480512</v>
      </c>
      <c r="AB47" s="8">
        <v>30</v>
      </c>
      <c r="AC47" s="8">
        <v>12</v>
      </c>
      <c r="AD47" s="13">
        <f t="shared" si="70"/>
        <v>455.735808</v>
      </c>
      <c r="AE47" s="13">
        <f t="shared" si="71"/>
        <v>269.298432</v>
      </c>
      <c r="AF47" s="4" t="s">
        <v>1053</v>
      </c>
      <c r="AG47" s="4">
        <v>12</v>
      </c>
      <c r="AH47" s="96">
        <f>AK47/AG47</f>
        <v>0.063</v>
      </c>
      <c r="AI47" s="8">
        <v>29</v>
      </c>
      <c r="AJ47" s="8">
        <v>32</v>
      </c>
      <c r="AK47" s="8">
        <v>0.756</v>
      </c>
      <c r="AL47" s="8">
        <v>18</v>
      </c>
      <c r="AM47" s="7">
        <f>AK47*AI47*AL47*0.0036</f>
        <v>1.4206752</v>
      </c>
      <c r="AN47" s="7">
        <f>AK47*AJ47*AL47*0.0036</f>
        <v>1.5676416</v>
      </c>
      <c r="AO47" s="8">
        <v>30</v>
      </c>
      <c r="AP47" s="8">
        <v>12</v>
      </c>
      <c r="AQ47" s="13">
        <f t="shared" si="38"/>
        <v>511.443072</v>
      </c>
      <c r="AR47" s="80">
        <f t="shared" si="0"/>
        <v>564.350976</v>
      </c>
      <c r="AS47" s="134" t="s">
        <v>1142</v>
      </c>
      <c r="AT47" s="134">
        <v>90</v>
      </c>
      <c r="AU47" s="134">
        <v>90</v>
      </c>
      <c r="AV47" s="13">
        <f t="shared" si="45"/>
        <v>42.39263803680982</v>
      </c>
      <c r="AW47" s="13">
        <f t="shared" si="46"/>
        <v>36.539877300613504</v>
      </c>
      <c r="AX47" s="125">
        <f t="shared" si="47"/>
        <v>0.489</v>
      </c>
      <c r="AY47" s="130">
        <v>18</v>
      </c>
      <c r="AZ47" s="125">
        <f t="shared" si="48"/>
        <v>1.3433039999999998</v>
      </c>
      <c r="BA47" s="125">
        <f t="shared" si="49"/>
        <v>1.1578464000000002</v>
      </c>
      <c r="BB47" s="130">
        <v>30</v>
      </c>
      <c r="BC47" s="130">
        <v>12</v>
      </c>
      <c r="BD47" s="125">
        <f t="shared" si="50"/>
        <v>483.58943999999997</v>
      </c>
      <c r="BE47" s="125">
        <f t="shared" si="51"/>
        <v>416.82470400000005</v>
      </c>
      <c r="BF47" s="130">
        <v>90</v>
      </c>
      <c r="BG47" s="130">
        <v>90</v>
      </c>
      <c r="BH47" s="125">
        <f t="shared" si="52"/>
        <v>0.489</v>
      </c>
      <c r="BI47" s="130">
        <v>18</v>
      </c>
      <c r="BJ47" s="180">
        <f t="shared" si="53"/>
        <v>2.851848</v>
      </c>
      <c r="BK47" s="180">
        <f t="shared" si="54"/>
        <v>2.851848</v>
      </c>
      <c r="BL47" s="130">
        <v>30</v>
      </c>
      <c r="BM47" s="130">
        <v>12</v>
      </c>
      <c r="BN47" s="142">
        <f t="shared" si="55"/>
        <v>1026.6652800000002</v>
      </c>
      <c r="BO47" s="142">
        <f t="shared" si="56"/>
        <v>1026.6652800000002</v>
      </c>
      <c r="BP47" s="180">
        <f t="shared" si="1"/>
        <v>755.1273600000001</v>
      </c>
      <c r="BQ47" s="180">
        <f t="shared" si="2"/>
        <v>721.7449920000001</v>
      </c>
      <c r="BR47" s="207">
        <f t="shared" si="57"/>
        <v>1030</v>
      </c>
      <c r="BS47" s="207">
        <f t="shared" si="58"/>
        <v>1030</v>
      </c>
      <c r="BT47" s="207">
        <f t="shared" si="59"/>
        <v>760</v>
      </c>
      <c r="BU47" s="207">
        <f t="shared" si="60"/>
        <v>730</v>
      </c>
      <c r="BV47" s="207">
        <f t="shared" si="61"/>
        <v>760</v>
      </c>
      <c r="BW47" s="207">
        <f t="shared" si="62"/>
        <v>730</v>
      </c>
      <c r="BX47" s="207">
        <f t="shared" si="63"/>
        <v>760</v>
      </c>
      <c r="BY47" s="207">
        <f t="shared" si="64"/>
        <v>730</v>
      </c>
      <c r="BZ47" s="207">
        <f t="shared" si="65"/>
        <v>760</v>
      </c>
      <c r="CA47" s="207">
        <f t="shared" si="66"/>
        <v>730</v>
      </c>
    </row>
    <row r="48" spans="1:79" s="18" customFormat="1" ht="70.5" customHeight="1">
      <c r="A48" s="4">
        <v>35</v>
      </c>
      <c r="B48" s="4" t="s">
        <v>541</v>
      </c>
      <c r="C48" s="4" t="s">
        <v>19</v>
      </c>
      <c r="D48" s="4">
        <v>2</v>
      </c>
      <c r="E48" s="4" t="s">
        <v>141</v>
      </c>
      <c r="F48" s="4" t="s">
        <v>345</v>
      </c>
      <c r="G48" s="4" t="s">
        <v>423</v>
      </c>
      <c r="H48" s="11" t="s">
        <v>227</v>
      </c>
      <c r="I48" s="24" t="s">
        <v>511</v>
      </c>
      <c r="J48" s="28">
        <v>43810</v>
      </c>
      <c r="K48" s="57">
        <v>43819</v>
      </c>
      <c r="L48" s="57">
        <v>43839</v>
      </c>
      <c r="M48" s="26">
        <v>5</v>
      </c>
      <c r="N48" s="28">
        <v>45665</v>
      </c>
      <c r="O48" s="8" t="s">
        <v>51</v>
      </c>
      <c r="P48" s="8" t="s">
        <v>55</v>
      </c>
      <c r="Q48" s="8" t="s">
        <v>724</v>
      </c>
      <c r="R48" s="8" t="s">
        <v>846</v>
      </c>
      <c r="S48" s="4" t="s">
        <v>1220</v>
      </c>
      <c r="T48" s="4">
        <v>11</v>
      </c>
      <c r="U48" s="96">
        <f>X48/T48</f>
        <v>0.00978609625668449</v>
      </c>
      <c r="V48" s="8">
        <v>88</v>
      </c>
      <c r="W48" s="8">
        <v>23</v>
      </c>
      <c r="X48" s="7">
        <f>((0.16+0.1+0.09+0.16+0.16+0+0+0.16+0.16+0.16+0+0.2+0.16+0+0+0.16+0.16)/17)</f>
        <v>0.1076470588235294</v>
      </c>
      <c r="Y48" s="8">
        <v>18</v>
      </c>
      <c r="Z48" s="7">
        <f>X48*V48*Y48*0.0036</f>
        <v>0.613846588235294</v>
      </c>
      <c r="AA48" s="7">
        <f>X48*W48*Y48*0.0036</f>
        <v>0.16043717647058822</v>
      </c>
      <c r="AB48" s="8">
        <v>30</v>
      </c>
      <c r="AC48" s="8">
        <v>12</v>
      </c>
      <c r="AD48" s="13">
        <f t="shared" si="70"/>
        <v>220.98477176470584</v>
      </c>
      <c r="AE48" s="13">
        <f t="shared" si="71"/>
        <v>57.757383529411754</v>
      </c>
      <c r="AF48" s="4" t="s">
        <v>1054</v>
      </c>
      <c r="AG48" s="4">
        <v>11</v>
      </c>
      <c r="AH48" s="96">
        <f>AK48/AG48</f>
        <v>0.014636363636363637</v>
      </c>
      <c r="AI48" s="8">
        <v>34</v>
      </c>
      <c r="AJ48" s="8">
        <v>6</v>
      </c>
      <c r="AK48" s="7">
        <v>0.161</v>
      </c>
      <c r="AL48" s="8">
        <v>18</v>
      </c>
      <c r="AM48" s="7">
        <f>AK48*AI48*AL48*0.0036</f>
        <v>0.3547152</v>
      </c>
      <c r="AN48" s="7">
        <f>AK48*AJ48*AL48*0.0036</f>
        <v>0.0625968</v>
      </c>
      <c r="AO48" s="8">
        <v>30</v>
      </c>
      <c r="AP48" s="8">
        <v>12</v>
      </c>
      <c r="AQ48" s="13">
        <f t="shared" si="38"/>
        <v>127.697472</v>
      </c>
      <c r="AR48" s="80">
        <f t="shared" si="0"/>
        <v>22.534847999999997</v>
      </c>
      <c r="AS48" s="134" t="s">
        <v>1142</v>
      </c>
      <c r="AT48" s="134">
        <v>90</v>
      </c>
      <c r="AU48" s="134">
        <v>90</v>
      </c>
      <c r="AV48" s="13">
        <f t="shared" si="45"/>
        <v>55.63783665425881</v>
      </c>
      <c r="AW48" s="13">
        <f t="shared" si="46"/>
        <v>12.8119115393037</v>
      </c>
      <c r="AX48" s="125">
        <f t="shared" si="47"/>
        <v>0.1343235294117647</v>
      </c>
      <c r="AY48" s="130">
        <v>18</v>
      </c>
      <c r="AZ48" s="125">
        <f t="shared" si="48"/>
        <v>0.4842808941176471</v>
      </c>
      <c r="BA48" s="125">
        <f t="shared" si="49"/>
        <v>0.11151698823529411</v>
      </c>
      <c r="BB48" s="130">
        <v>30</v>
      </c>
      <c r="BC48" s="130">
        <v>12</v>
      </c>
      <c r="BD48" s="125">
        <f t="shared" si="50"/>
        <v>174.34112188235292</v>
      </c>
      <c r="BE48" s="125">
        <f t="shared" si="51"/>
        <v>40.14611576470588</v>
      </c>
      <c r="BF48" s="130">
        <v>90</v>
      </c>
      <c r="BG48" s="130">
        <v>90</v>
      </c>
      <c r="BH48" s="125">
        <f t="shared" si="52"/>
        <v>0.1343235294117647</v>
      </c>
      <c r="BI48" s="130">
        <v>18</v>
      </c>
      <c r="BJ48" s="180">
        <f t="shared" si="53"/>
        <v>0.7833748235294117</v>
      </c>
      <c r="BK48" s="180">
        <f t="shared" si="54"/>
        <v>0.7833748235294117</v>
      </c>
      <c r="BL48" s="130">
        <v>30</v>
      </c>
      <c r="BM48" s="130">
        <v>12</v>
      </c>
      <c r="BN48" s="142">
        <f t="shared" si="55"/>
        <v>282.01493647058817</v>
      </c>
      <c r="BO48" s="142">
        <f t="shared" si="56"/>
        <v>282.01493647058817</v>
      </c>
      <c r="BP48" s="180">
        <f t="shared" si="1"/>
        <v>228.17802917647055</v>
      </c>
      <c r="BQ48" s="180">
        <f t="shared" si="2"/>
        <v>161.08052611764703</v>
      </c>
      <c r="BR48" s="207">
        <f t="shared" si="57"/>
        <v>290</v>
      </c>
      <c r="BS48" s="207">
        <f t="shared" si="58"/>
        <v>290</v>
      </c>
      <c r="BT48" s="207">
        <f t="shared" si="59"/>
        <v>230</v>
      </c>
      <c r="BU48" s="207">
        <f t="shared" si="60"/>
        <v>170</v>
      </c>
      <c r="BV48" s="207">
        <f t="shared" si="61"/>
        <v>230</v>
      </c>
      <c r="BW48" s="207">
        <f t="shared" si="62"/>
        <v>170</v>
      </c>
      <c r="BX48" s="207">
        <f t="shared" si="63"/>
        <v>230</v>
      </c>
      <c r="BY48" s="207">
        <f t="shared" si="64"/>
        <v>170</v>
      </c>
      <c r="BZ48" s="207">
        <f t="shared" si="65"/>
        <v>230</v>
      </c>
      <c r="CA48" s="207">
        <f t="shared" si="66"/>
        <v>170</v>
      </c>
    </row>
    <row r="49" spans="1:79" s="21" customFormat="1" ht="73.5" customHeight="1">
      <c r="A49" s="8">
        <v>36</v>
      </c>
      <c r="B49" s="4" t="s">
        <v>541</v>
      </c>
      <c r="C49" s="4" t="s">
        <v>19</v>
      </c>
      <c r="D49" s="4">
        <v>2</v>
      </c>
      <c r="E49" s="4" t="s">
        <v>497</v>
      </c>
      <c r="F49" s="8" t="s">
        <v>498</v>
      </c>
      <c r="G49" s="8" t="s">
        <v>499</v>
      </c>
      <c r="H49" s="8" t="s">
        <v>11</v>
      </c>
      <c r="I49" s="9" t="s">
        <v>67</v>
      </c>
      <c r="J49" s="9" t="s">
        <v>67</v>
      </c>
      <c r="K49" s="9" t="s">
        <v>67</v>
      </c>
      <c r="L49" s="9" t="s">
        <v>67</v>
      </c>
      <c r="M49" s="9" t="s">
        <v>67</v>
      </c>
      <c r="N49" s="9" t="s">
        <v>67</v>
      </c>
      <c r="O49" s="8" t="s">
        <v>51</v>
      </c>
      <c r="P49" s="8" t="s">
        <v>55</v>
      </c>
      <c r="Q49" s="8" t="s">
        <v>725</v>
      </c>
      <c r="R49" s="8" t="s">
        <v>847</v>
      </c>
      <c r="S49" s="4"/>
      <c r="T49" s="4">
        <v>6</v>
      </c>
      <c r="U49" s="4"/>
      <c r="V49" s="158">
        <f>'Estandarizaciónparámetros SS-SS'!$C$38</f>
        <v>35</v>
      </c>
      <c r="W49" s="158">
        <f>'Estandarizaciónparámetros SS-SS'!$C$70</f>
        <v>19</v>
      </c>
      <c r="X49" s="112">
        <f>T49*'Estandarizaciónparámetros SS-SS'!$C$3</f>
        <v>0.06923076923076922</v>
      </c>
      <c r="Y49" s="8">
        <v>18</v>
      </c>
      <c r="Z49" s="34">
        <f>(50*6*4)/1000</f>
        <v>1.2</v>
      </c>
      <c r="AA49" s="34">
        <f>50*6*4/1000</f>
        <v>1.2</v>
      </c>
      <c r="AB49" s="8">
        <v>30</v>
      </c>
      <c r="AC49" s="8">
        <v>12</v>
      </c>
      <c r="AD49" s="13">
        <f t="shared" si="70"/>
        <v>432</v>
      </c>
      <c r="AE49" s="13">
        <f t="shared" si="71"/>
        <v>432</v>
      </c>
      <c r="AF49" s="4" t="s">
        <v>1143</v>
      </c>
      <c r="AG49" s="4">
        <v>6</v>
      </c>
      <c r="AH49" s="4"/>
      <c r="AI49" s="158">
        <f>'Estandarizaciónparámetros SS-SS'!$F$38</f>
        <v>34</v>
      </c>
      <c r="AJ49" s="158">
        <f>'Estandarizaciónparámetros SS-SS'!$F$70</f>
        <v>17.5</v>
      </c>
      <c r="AK49" s="112">
        <f>AG49*'Estandarizaciónparámetros SS-SS'!$F$3</f>
        <v>0.06692307692307692</v>
      </c>
      <c r="AL49" s="8">
        <v>18</v>
      </c>
      <c r="AM49" s="34">
        <f>(50*6*4)/1000</f>
        <v>1.2</v>
      </c>
      <c r="AN49" s="34">
        <f>50*6*4/1000</f>
        <v>1.2</v>
      </c>
      <c r="AO49" s="8">
        <v>30</v>
      </c>
      <c r="AP49" s="8">
        <v>12</v>
      </c>
      <c r="AQ49" s="13">
        <f t="shared" si="38"/>
        <v>432</v>
      </c>
      <c r="AR49" s="80">
        <f t="shared" si="0"/>
        <v>432</v>
      </c>
      <c r="AS49" s="19"/>
      <c r="AT49" s="19"/>
      <c r="AU49" s="19"/>
      <c r="AV49" s="13">
        <f t="shared" si="45"/>
        <v>34.50847457627119</v>
      </c>
      <c r="AW49" s="13">
        <f t="shared" si="46"/>
        <v>18.262711864406782</v>
      </c>
      <c r="AX49" s="125">
        <f t="shared" si="47"/>
        <v>0.06807692307692306</v>
      </c>
      <c r="AY49" s="130">
        <v>18</v>
      </c>
      <c r="AZ49" s="125">
        <f t="shared" si="48"/>
        <v>0.15223015384615382</v>
      </c>
      <c r="BA49" s="125">
        <f t="shared" si="49"/>
        <v>0.08056384615384614</v>
      </c>
      <c r="BB49" s="130">
        <v>30</v>
      </c>
      <c r="BC49" s="130">
        <v>12</v>
      </c>
      <c r="BD49" s="125">
        <f t="shared" si="50"/>
        <v>54.80285538461537</v>
      </c>
      <c r="BE49" s="125">
        <f t="shared" si="51"/>
        <v>29.002984615384612</v>
      </c>
      <c r="BF49" s="198">
        <v>90</v>
      </c>
      <c r="BG49" s="198">
        <v>90</v>
      </c>
      <c r="BH49" s="125">
        <f t="shared" si="52"/>
        <v>0.06807692307692306</v>
      </c>
      <c r="BI49" s="130">
        <v>18</v>
      </c>
      <c r="BJ49" s="180">
        <f t="shared" si="53"/>
        <v>0.3970246153846153</v>
      </c>
      <c r="BK49" s="180">
        <f t="shared" si="54"/>
        <v>0.3970246153846153</v>
      </c>
      <c r="BL49" s="130">
        <v>30</v>
      </c>
      <c r="BM49" s="130">
        <v>12</v>
      </c>
      <c r="BN49" s="142">
        <f t="shared" si="55"/>
        <v>142.92886153846152</v>
      </c>
      <c r="BO49" s="142">
        <f t="shared" si="56"/>
        <v>142.92886153846152</v>
      </c>
      <c r="BP49" s="180">
        <f t="shared" si="1"/>
        <v>98.86585846153844</v>
      </c>
      <c r="BQ49" s="180">
        <f t="shared" si="2"/>
        <v>85.96592307692306</v>
      </c>
      <c r="BR49" s="207">
        <f t="shared" si="57"/>
        <v>150</v>
      </c>
      <c r="BS49" s="207">
        <f t="shared" si="58"/>
        <v>150</v>
      </c>
      <c r="BT49" s="207">
        <f t="shared" si="59"/>
        <v>100</v>
      </c>
      <c r="BU49" s="207">
        <f t="shared" si="60"/>
        <v>90</v>
      </c>
      <c r="BV49" s="207">
        <f t="shared" si="61"/>
        <v>100</v>
      </c>
      <c r="BW49" s="207">
        <f t="shared" si="62"/>
        <v>90</v>
      </c>
      <c r="BX49" s="207">
        <f t="shared" si="63"/>
        <v>100</v>
      </c>
      <c r="BY49" s="207">
        <f t="shared" si="64"/>
        <v>90</v>
      </c>
      <c r="BZ49" s="207">
        <f t="shared" si="65"/>
        <v>100</v>
      </c>
      <c r="CA49" s="207">
        <f t="shared" si="66"/>
        <v>90</v>
      </c>
    </row>
    <row r="53" spans="78:79" ht="12.75">
      <c r="BZ53" s="228"/>
      <c r="CA53" s="228"/>
    </row>
  </sheetData>
  <sheetProtection/>
  <protectedRanges>
    <protectedRange sqref="Q40" name="Rango5_6"/>
    <protectedRange sqref="Q40" name="Rango1_1_3"/>
  </protectedRanges>
  <mergeCells count="74">
    <mergeCell ref="BP1:BQ1"/>
    <mergeCell ref="BR1:CA1"/>
    <mergeCell ref="BP2:BP3"/>
    <mergeCell ref="BQ2:BQ3"/>
    <mergeCell ref="BR2:BS2"/>
    <mergeCell ref="BT2:BU2"/>
    <mergeCell ref="BV2:BW2"/>
    <mergeCell ref="BX2:BY2"/>
    <mergeCell ref="BZ2:CA2"/>
    <mergeCell ref="AF1:AR1"/>
    <mergeCell ref="AS1:AU1"/>
    <mergeCell ref="AV1:BE1"/>
    <mergeCell ref="A2:A3"/>
    <mergeCell ref="B2:B3"/>
    <mergeCell ref="C2:C3"/>
    <mergeCell ref="D2:D3"/>
    <mergeCell ref="F2:F3"/>
    <mergeCell ref="G2:G3"/>
    <mergeCell ref="H2:N2"/>
    <mergeCell ref="O2:O3"/>
    <mergeCell ref="P2:P3"/>
    <mergeCell ref="Q2:R2"/>
    <mergeCell ref="S1:AE1"/>
    <mergeCell ref="S2:S3"/>
    <mergeCell ref="V2:V3"/>
    <mergeCell ref="W2:W3"/>
    <mergeCell ref="X2:X3"/>
    <mergeCell ref="Y2:Y3"/>
    <mergeCell ref="Z2:Z3"/>
    <mergeCell ref="AA2:AA3"/>
    <mergeCell ref="AB2:AB3"/>
    <mergeCell ref="AC2:AC3"/>
    <mergeCell ref="AD2:AD3"/>
    <mergeCell ref="AE2:AE3"/>
    <mergeCell ref="AF2:AF3"/>
    <mergeCell ref="AI2:AI3"/>
    <mergeCell ref="AJ2:AJ3"/>
    <mergeCell ref="AK2:AK3"/>
    <mergeCell ref="AL2:AL3"/>
    <mergeCell ref="AM2:AM3"/>
    <mergeCell ref="AN2:AN3"/>
    <mergeCell ref="AZ2:AZ3"/>
    <mergeCell ref="AO2:AO3"/>
    <mergeCell ref="AP2:AP3"/>
    <mergeCell ref="AQ2:AQ3"/>
    <mergeCell ref="AR2:AR3"/>
    <mergeCell ref="AS2:AS3"/>
    <mergeCell ref="AT2:AT3"/>
    <mergeCell ref="BA2:BA3"/>
    <mergeCell ref="BB2:BB3"/>
    <mergeCell ref="BC2:BC3"/>
    <mergeCell ref="BD2:BD3"/>
    <mergeCell ref="BE2:BE3"/>
    <mergeCell ref="AU2:AU3"/>
    <mergeCell ref="AV2:AV3"/>
    <mergeCell ref="AW2:AW3"/>
    <mergeCell ref="AX2:AX3"/>
    <mergeCell ref="AY2:AY3"/>
    <mergeCell ref="BJ2:BJ3"/>
    <mergeCell ref="BK2:BK3"/>
    <mergeCell ref="BL2:BL3"/>
    <mergeCell ref="BM2:BM3"/>
    <mergeCell ref="BN2:BN3"/>
    <mergeCell ref="BO2:BO3"/>
    <mergeCell ref="E2:E3"/>
    <mergeCell ref="AG2:AG3"/>
    <mergeCell ref="AH2:AH3"/>
    <mergeCell ref="T2:T3"/>
    <mergeCell ref="U2:U3"/>
    <mergeCell ref="BF1:BO1"/>
    <mergeCell ref="BF2:BF3"/>
    <mergeCell ref="BG2:BG3"/>
    <mergeCell ref="BH2:BH3"/>
    <mergeCell ref="BI2:BI3"/>
  </mergeCells>
  <printOptions/>
  <pageMargins left="0.7" right="0.7" top="0.75" bottom="0.75" header="0.3" footer="0.3"/>
  <pageSetup orientation="portrait" r:id="rId1"/>
  <ignoredErrors>
    <ignoredError sqref="Z7:AA7 AD8:AE8 Z13:AA13 AD13:AE13 Z17:AA17 Z19:AA19 AD23:AE23 AD28:AE28 Z41:AA41 Z46:AA46 AM17:AN17 AM46:AN46 AM13:AR13 BT35:BU35 BV35:CA35" formula="1"/>
  </ignoredErrors>
</worksheet>
</file>

<file path=xl/worksheets/sheet4.xml><?xml version="1.0" encoding="utf-8"?>
<worksheet xmlns="http://schemas.openxmlformats.org/spreadsheetml/2006/main" xmlns:r="http://schemas.openxmlformats.org/officeDocument/2006/relationships">
  <dimension ref="A1:F101"/>
  <sheetViews>
    <sheetView zoomScale="90" zoomScaleNormal="90" zoomScalePageLayoutView="0" workbookViewId="0" topLeftCell="A1">
      <selection activeCell="A3" sqref="A3"/>
    </sheetView>
  </sheetViews>
  <sheetFormatPr defaultColWidth="11.421875" defaultRowHeight="15"/>
  <cols>
    <col min="1" max="5" width="11.421875" style="122" customWidth="1"/>
    <col min="6" max="6" width="13.8515625" style="122" customWidth="1"/>
    <col min="7" max="16384" width="11.421875" style="122" customWidth="1"/>
  </cols>
  <sheetData>
    <row r="1" spans="1:6" ht="13.5" thickBot="1">
      <c r="A1" s="297">
        <v>2019</v>
      </c>
      <c r="B1" s="298"/>
      <c r="C1" s="299"/>
      <c r="D1" s="297">
        <v>2020</v>
      </c>
      <c r="E1" s="298"/>
      <c r="F1" s="299"/>
    </row>
    <row r="2" spans="1:6" ht="25.5">
      <c r="A2" s="145" t="s">
        <v>1144</v>
      </c>
      <c r="B2" s="146" t="s">
        <v>1140</v>
      </c>
      <c r="C2" s="147" t="s">
        <v>1221</v>
      </c>
      <c r="D2" s="145" t="s">
        <v>1144</v>
      </c>
      <c r="E2" s="146" t="s">
        <v>1140</v>
      </c>
      <c r="F2" s="147" t="s">
        <v>1221</v>
      </c>
    </row>
    <row r="3" spans="1:6" ht="12.75">
      <c r="A3" s="99"/>
      <c r="B3" s="117">
        <v>0.018307692307692306</v>
      </c>
      <c r="C3" s="150">
        <f>MEDIAN(B3:B31)</f>
        <v>0.011538461538461537</v>
      </c>
      <c r="D3" s="99"/>
      <c r="E3" s="117">
        <v>0.018307692307692306</v>
      </c>
      <c r="F3" s="150">
        <f>MEDIAN(E3:E36)</f>
        <v>0.011153846153846153</v>
      </c>
    </row>
    <row r="4" spans="1:6" ht="12.75">
      <c r="A4" s="99"/>
      <c r="B4" s="117">
        <v>0.016097285067873304</v>
      </c>
      <c r="C4" s="148"/>
      <c r="D4" s="99"/>
      <c r="E4" s="117">
        <v>0.04</v>
      </c>
      <c r="F4" s="148"/>
    </row>
    <row r="5" spans="1:6" ht="12.75">
      <c r="A5" s="99"/>
      <c r="B5" s="117">
        <v>0.002076923076923077</v>
      </c>
      <c r="C5" s="101"/>
      <c r="D5" s="99"/>
      <c r="E5" s="117">
        <v>0.012307692307692308</v>
      </c>
      <c r="F5" s="101"/>
    </row>
    <row r="6" spans="1:6" ht="12.75">
      <c r="A6" s="99"/>
      <c r="B6" s="117">
        <v>0.012923076923076924</v>
      </c>
      <c r="C6" s="101"/>
      <c r="D6" s="99"/>
      <c r="E6" s="117">
        <v>0.006384615384615385</v>
      </c>
      <c r="F6" s="101"/>
    </row>
    <row r="7" spans="1:6" ht="12.75">
      <c r="A7" s="99"/>
      <c r="B7" s="117">
        <v>0.014294117647058823</v>
      </c>
      <c r="C7" s="101"/>
      <c r="D7" s="99"/>
      <c r="E7" s="117">
        <v>0.021230769230769234</v>
      </c>
      <c r="F7" s="101"/>
    </row>
    <row r="8" spans="1:6" ht="12.75">
      <c r="A8" s="99"/>
      <c r="B8" s="117">
        <v>0.011647058823529413</v>
      </c>
      <c r="C8" s="101"/>
      <c r="D8" s="99"/>
      <c r="E8" s="117">
        <v>0.014294117647058823</v>
      </c>
      <c r="F8" s="101"/>
    </row>
    <row r="9" spans="1:6" ht="12.75">
      <c r="A9" s="99"/>
      <c r="B9" s="117">
        <v>0.00988235294117647</v>
      </c>
      <c r="C9" s="101"/>
      <c r="D9" s="99"/>
      <c r="E9" s="117">
        <v>0.012764705882352942</v>
      </c>
      <c r="F9" s="101"/>
    </row>
    <row r="10" spans="1:6" ht="12.75">
      <c r="A10" s="99"/>
      <c r="B10" s="117">
        <v>0.011538461538461537</v>
      </c>
      <c r="C10" s="101"/>
      <c r="D10" s="99"/>
      <c r="E10" s="117">
        <v>0.0017692307692307693</v>
      </c>
      <c r="F10" s="101"/>
    </row>
    <row r="11" spans="1:6" ht="12.75">
      <c r="A11" s="99"/>
      <c r="B11" s="117">
        <v>0.06360185185185185</v>
      </c>
      <c r="C11" s="101"/>
      <c r="D11" s="99"/>
      <c r="E11" s="117">
        <v>0.00988235294117647</v>
      </c>
      <c r="F11" s="101"/>
    </row>
    <row r="12" spans="1:6" ht="12.75">
      <c r="A12" s="99"/>
      <c r="B12" s="117">
        <v>0.006095334685598378</v>
      </c>
      <c r="C12" s="101"/>
      <c r="D12" s="99"/>
      <c r="E12" s="117">
        <v>0.0060799999999999995</v>
      </c>
      <c r="F12" s="101"/>
    </row>
    <row r="13" spans="1:6" ht="12.75">
      <c r="A13" s="99"/>
      <c r="B13" s="117">
        <v>0.015000000000000001</v>
      </c>
      <c r="C13" s="101"/>
      <c r="D13" s="99"/>
      <c r="E13" s="117">
        <v>0.011538461538461537</v>
      </c>
      <c r="F13" s="101"/>
    </row>
    <row r="14" spans="1:6" ht="12.75">
      <c r="A14" s="99"/>
      <c r="B14" s="117">
        <v>0.008713235294117648</v>
      </c>
      <c r="C14" s="101"/>
      <c r="D14" s="99"/>
      <c r="E14" s="117">
        <v>0.12416666666666666</v>
      </c>
      <c r="F14" s="101"/>
    </row>
    <row r="15" spans="1:6" ht="12.75">
      <c r="A15" s="99"/>
      <c r="B15" s="117">
        <v>0.00617156862745098</v>
      </c>
      <c r="C15" s="101"/>
      <c r="D15" s="99"/>
      <c r="E15" s="117">
        <v>0.006513793103448276</v>
      </c>
      <c r="F15" s="101"/>
    </row>
    <row r="16" spans="1:6" ht="12.75">
      <c r="A16" s="99"/>
      <c r="B16" s="117">
        <v>0.031607142857142854</v>
      </c>
      <c r="C16" s="101"/>
      <c r="D16" s="99"/>
      <c r="E16" s="117">
        <v>0.008923076923076924</v>
      </c>
      <c r="F16" s="101"/>
    </row>
    <row r="17" spans="1:6" ht="12.75">
      <c r="A17" s="99"/>
      <c r="B17" s="117">
        <v>0.011957983193277308</v>
      </c>
      <c r="C17" s="101"/>
      <c r="D17" s="99"/>
      <c r="E17" s="117">
        <v>0.008713235294117648</v>
      </c>
      <c r="F17" s="101"/>
    </row>
    <row r="18" spans="1:6" ht="12.75">
      <c r="A18" s="99"/>
      <c r="B18" s="117">
        <v>0.009505882352941175</v>
      </c>
      <c r="C18" s="101"/>
      <c r="D18" s="99"/>
      <c r="E18" s="117">
        <v>0.006416666666666667</v>
      </c>
      <c r="F18" s="101"/>
    </row>
    <row r="19" spans="1:6" ht="12.75">
      <c r="A19" s="99"/>
      <c r="B19" s="117">
        <v>0.007823529411764705</v>
      </c>
      <c r="C19" s="101"/>
      <c r="D19" s="99"/>
      <c r="E19" s="117">
        <v>0.09285714285714286</v>
      </c>
      <c r="F19" s="101"/>
    </row>
    <row r="20" spans="1:6" ht="12.75">
      <c r="A20" s="99"/>
      <c r="B20" s="117">
        <v>0.006852941176470588</v>
      </c>
      <c r="C20" s="101"/>
      <c r="D20" s="99"/>
      <c r="E20" s="117">
        <v>0.011957983193277308</v>
      </c>
      <c r="F20" s="101"/>
    </row>
    <row r="21" spans="1:6" ht="12.75">
      <c r="A21" s="99"/>
      <c r="B21" s="117">
        <v>0.014717948717948716</v>
      </c>
      <c r="C21" s="101"/>
      <c r="D21" s="99"/>
      <c r="E21" s="117">
        <v>0.0107</v>
      </c>
      <c r="F21" s="101"/>
    </row>
    <row r="22" spans="1:6" ht="12.75">
      <c r="A22" s="99"/>
      <c r="B22" s="117">
        <v>0.00876470588235294</v>
      </c>
      <c r="C22" s="101"/>
      <c r="D22" s="99"/>
      <c r="E22" s="117">
        <v>0.007933333333333332</v>
      </c>
      <c r="F22" s="101"/>
    </row>
    <row r="23" spans="1:6" ht="12.75">
      <c r="A23" s="99"/>
      <c r="B23" s="117">
        <v>0.010628959276018101</v>
      </c>
      <c r="C23" s="101"/>
      <c r="D23" s="99"/>
      <c r="E23" s="117">
        <v>0.006852941176470588</v>
      </c>
      <c r="F23" s="101"/>
    </row>
    <row r="24" spans="1:6" ht="12.75">
      <c r="A24" s="99"/>
      <c r="B24" s="117">
        <v>0.019592760180995476</v>
      </c>
      <c r="C24" s="101"/>
      <c r="D24" s="99"/>
      <c r="E24" s="117">
        <v>0.01076923076923077</v>
      </c>
      <c r="F24" s="101"/>
    </row>
    <row r="25" spans="1:6" ht="12.75">
      <c r="A25" s="99"/>
      <c r="B25" s="117">
        <v>0.009616368286445012</v>
      </c>
      <c r="C25" s="101"/>
      <c r="D25" s="99"/>
      <c r="E25" s="117">
        <v>0.009714285714285715</v>
      </c>
      <c r="F25" s="101"/>
    </row>
    <row r="26" spans="1:6" ht="12.75">
      <c r="A26" s="99"/>
      <c r="B26" s="117">
        <v>0.004066666666666666</v>
      </c>
      <c r="C26" s="101"/>
      <c r="D26" s="99"/>
      <c r="E26" s="117">
        <v>0.07538461538461538</v>
      </c>
      <c r="F26" s="101"/>
    </row>
    <row r="27" spans="1:6" ht="12.75">
      <c r="A27" s="99"/>
      <c r="B27" s="117">
        <v>0.047692307692307694</v>
      </c>
      <c r="C27" s="101"/>
      <c r="D27" s="99"/>
      <c r="E27" s="117">
        <v>0.019592760180995476</v>
      </c>
      <c r="F27" s="101"/>
    </row>
    <row r="28" spans="1:6" ht="12.75">
      <c r="A28" s="99"/>
      <c r="B28" s="117">
        <v>0.020416666666666666</v>
      </c>
      <c r="C28" s="101"/>
      <c r="D28" s="99"/>
      <c r="E28" s="117">
        <v>0.009347826086956522</v>
      </c>
      <c r="F28" s="101"/>
    </row>
    <row r="29" spans="1:6" ht="12.75">
      <c r="A29" s="99"/>
      <c r="B29" s="117">
        <v>0.0017142857142857144</v>
      </c>
      <c r="C29" s="101"/>
      <c r="D29" s="99"/>
      <c r="E29" s="117">
        <v>0.007333333333333333</v>
      </c>
      <c r="F29" s="101"/>
    </row>
    <row r="30" spans="1:6" ht="12.75">
      <c r="A30" s="99"/>
      <c r="B30" s="117">
        <v>0.0185</v>
      </c>
      <c r="C30" s="101"/>
      <c r="D30" s="99"/>
      <c r="E30" s="117">
        <v>0.004719999999999999</v>
      </c>
      <c r="F30" s="101"/>
    </row>
    <row r="31" spans="1:6" ht="12.75">
      <c r="A31" s="99"/>
      <c r="B31" s="117">
        <v>0.00978609625668449</v>
      </c>
      <c r="C31" s="101"/>
      <c r="D31" s="99"/>
      <c r="E31" s="117">
        <v>0.0246</v>
      </c>
      <c r="F31" s="101"/>
    </row>
    <row r="32" spans="1:6" ht="12.75">
      <c r="A32" s="99"/>
      <c r="B32" s="123"/>
      <c r="C32" s="101"/>
      <c r="D32" s="99"/>
      <c r="E32" s="117">
        <v>0.047692307692307694</v>
      </c>
      <c r="F32" s="101"/>
    </row>
    <row r="33" spans="1:6" ht="12.75">
      <c r="A33" s="99"/>
      <c r="B33" s="123"/>
      <c r="C33" s="101"/>
      <c r="D33" s="99"/>
      <c r="E33" s="117">
        <v>0.14333333333333334</v>
      </c>
      <c r="F33" s="101"/>
    </row>
    <row r="34" spans="1:6" ht="12.75">
      <c r="A34" s="99"/>
      <c r="B34" s="123"/>
      <c r="C34" s="101"/>
      <c r="D34" s="99"/>
      <c r="E34" s="117">
        <v>0.0017142857142857144</v>
      </c>
      <c r="F34" s="101"/>
    </row>
    <row r="35" spans="1:6" ht="12.75">
      <c r="A35" s="99"/>
      <c r="B35" s="123"/>
      <c r="C35" s="101"/>
      <c r="D35" s="99"/>
      <c r="E35" s="117">
        <v>0.063</v>
      </c>
      <c r="F35" s="101"/>
    </row>
    <row r="36" spans="1:6" ht="13.5" thickBot="1">
      <c r="A36" s="104"/>
      <c r="B36" s="105"/>
      <c r="C36" s="106"/>
      <c r="D36" s="104"/>
      <c r="E36" s="149">
        <v>0.014636363636363637</v>
      </c>
      <c r="F36" s="106"/>
    </row>
    <row r="37" spans="1:6" ht="12.75">
      <c r="A37" s="145" t="s">
        <v>1145</v>
      </c>
      <c r="B37" s="146" t="s">
        <v>1146</v>
      </c>
      <c r="C37" s="147" t="s">
        <v>1279</v>
      </c>
      <c r="D37" s="145" t="s">
        <v>1145</v>
      </c>
      <c r="E37" s="146" t="s">
        <v>1146</v>
      </c>
      <c r="F37" s="147" t="s">
        <v>1279</v>
      </c>
    </row>
    <row r="38" spans="1:6" ht="12.75">
      <c r="A38" s="99"/>
      <c r="B38" s="156">
        <v>28.751260504201685</v>
      </c>
      <c r="C38" s="155">
        <f>MEDIAN(B38:B64)</f>
        <v>35</v>
      </c>
      <c r="D38" s="99"/>
      <c r="E38" s="153">
        <v>28.751260504201685</v>
      </c>
      <c r="F38" s="155">
        <f>MEDIAN(E38:E68)</f>
        <v>34</v>
      </c>
    </row>
    <row r="39" spans="1:6" ht="12.75">
      <c r="A39" s="99"/>
      <c r="B39" s="156">
        <v>24.289880534082922</v>
      </c>
      <c r="C39" s="101"/>
      <c r="D39" s="99"/>
      <c r="E39" s="153">
        <v>60</v>
      </c>
      <c r="F39" s="101"/>
    </row>
    <row r="40" spans="1:6" ht="12.75">
      <c r="A40" s="99"/>
      <c r="B40" s="156">
        <v>6</v>
      </c>
      <c r="C40" s="101"/>
      <c r="D40" s="99"/>
      <c r="E40" s="122">
        <v>88</v>
      </c>
      <c r="F40" s="101"/>
    </row>
    <row r="41" spans="1:6" ht="12.75">
      <c r="A41" s="99"/>
      <c r="B41" s="156">
        <v>20</v>
      </c>
      <c r="C41" s="101"/>
      <c r="D41" s="99"/>
      <c r="E41" s="153">
        <v>22</v>
      </c>
      <c r="F41" s="101"/>
    </row>
    <row r="42" spans="1:6" ht="12.75">
      <c r="A42" s="99"/>
      <c r="B42" s="156">
        <v>62.76131687242798</v>
      </c>
      <c r="C42" s="101"/>
      <c r="D42" s="99"/>
      <c r="E42" s="153">
        <v>17</v>
      </c>
      <c r="F42" s="101"/>
    </row>
    <row r="43" spans="1:6" ht="12.75">
      <c r="A43" s="99"/>
      <c r="B43" s="156">
        <v>16</v>
      </c>
      <c r="C43" s="101"/>
      <c r="D43" s="99"/>
      <c r="E43" s="153">
        <v>62.76131687242798</v>
      </c>
      <c r="F43" s="101"/>
    </row>
    <row r="44" spans="1:6" ht="12.75">
      <c r="A44" s="99"/>
      <c r="B44" s="156">
        <v>17</v>
      </c>
      <c r="C44" s="101"/>
      <c r="D44" s="99"/>
      <c r="E44" s="153">
        <v>52</v>
      </c>
      <c r="F44" s="101"/>
    </row>
    <row r="45" spans="1:6" ht="12.75">
      <c r="A45" s="99"/>
      <c r="B45" s="156">
        <v>24</v>
      </c>
      <c r="C45" s="101"/>
      <c r="D45" s="99"/>
      <c r="E45" s="153">
        <v>17</v>
      </c>
      <c r="F45" s="101"/>
    </row>
    <row r="46" spans="1:6" ht="12.75">
      <c r="A46" s="99"/>
      <c r="B46" s="156">
        <v>40</v>
      </c>
      <c r="C46" s="101"/>
      <c r="D46" s="99"/>
      <c r="E46" s="153">
        <v>24</v>
      </c>
      <c r="F46" s="101"/>
    </row>
    <row r="47" spans="1:6" ht="12.75">
      <c r="A47" s="99"/>
      <c r="B47" s="156">
        <v>23</v>
      </c>
      <c r="C47" s="101"/>
      <c r="D47" s="99"/>
      <c r="E47" s="153">
        <v>47</v>
      </c>
      <c r="F47" s="101"/>
    </row>
    <row r="48" spans="1:6" ht="12.75">
      <c r="A48" s="99"/>
      <c r="B48" s="156">
        <v>26</v>
      </c>
      <c r="C48" s="101"/>
      <c r="D48" s="99"/>
      <c r="E48" s="153">
        <v>69</v>
      </c>
      <c r="F48" s="101"/>
    </row>
    <row r="49" spans="1:6" ht="12.75">
      <c r="A49" s="99"/>
      <c r="B49" s="156">
        <v>46</v>
      </c>
      <c r="C49" s="101"/>
      <c r="D49" s="99"/>
      <c r="E49" s="153">
        <v>2.1</v>
      </c>
      <c r="F49" s="101"/>
    </row>
    <row r="50" spans="1:6" ht="12.75">
      <c r="A50" s="99"/>
      <c r="B50" s="156">
        <v>57.166101694915255</v>
      </c>
      <c r="C50" s="101"/>
      <c r="D50" s="99"/>
      <c r="E50" s="153">
        <v>26</v>
      </c>
      <c r="F50" s="101"/>
    </row>
    <row r="51" spans="1:6" ht="12.75">
      <c r="A51" s="99"/>
      <c r="B51" s="156">
        <v>70</v>
      </c>
      <c r="C51" s="101"/>
      <c r="D51" s="99"/>
      <c r="E51" s="153">
        <v>28</v>
      </c>
      <c r="F51" s="101"/>
    </row>
    <row r="52" spans="1:6" ht="12.75">
      <c r="A52" s="99"/>
      <c r="B52" s="156">
        <v>15</v>
      </c>
      <c r="C52" s="101"/>
      <c r="D52" s="99"/>
      <c r="E52" s="153">
        <v>31</v>
      </c>
      <c r="F52" s="101"/>
    </row>
    <row r="53" spans="1:6" ht="12.75">
      <c r="A53" s="99"/>
      <c r="B53" s="156">
        <v>54</v>
      </c>
      <c r="C53" s="101"/>
      <c r="D53" s="99"/>
      <c r="E53" s="153">
        <v>70</v>
      </c>
      <c r="F53" s="101"/>
    </row>
    <row r="54" spans="1:6" ht="12.75">
      <c r="A54" s="99"/>
      <c r="B54" s="156">
        <v>53</v>
      </c>
      <c r="C54" s="101"/>
      <c r="D54" s="99"/>
      <c r="E54" s="153">
        <v>25</v>
      </c>
      <c r="F54" s="101"/>
    </row>
    <row r="55" spans="1:6" ht="12.75">
      <c r="A55" s="99"/>
      <c r="B55" s="156">
        <v>78</v>
      </c>
      <c r="C55" s="101"/>
      <c r="D55" s="99"/>
      <c r="E55" s="153">
        <v>15</v>
      </c>
      <c r="F55" s="101"/>
    </row>
    <row r="56" spans="1:6" ht="12.75">
      <c r="A56" s="99"/>
      <c r="B56" s="156">
        <v>22</v>
      </c>
      <c r="C56" s="101"/>
      <c r="D56" s="99"/>
      <c r="E56" s="153">
        <v>53</v>
      </c>
      <c r="F56" s="101"/>
    </row>
    <row r="57" spans="1:6" ht="12.75">
      <c r="A57" s="99"/>
      <c r="B57" s="156">
        <v>40.5</v>
      </c>
      <c r="C57" s="101"/>
      <c r="D57" s="99"/>
      <c r="E57" s="153">
        <v>71</v>
      </c>
      <c r="F57" s="101"/>
    </row>
    <row r="58" spans="1:6" ht="12.75">
      <c r="A58" s="99"/>
      <c r="B58" s="156">
        <v>35</v>
      </c>
      <c r="C58" s="101"/>
      <c r="D58" s="99"/>
      <c r="E58" s="153">
        <v>32</v>
      </c>
      <c r="F58" s="101"/>
    </row>
    <row r="59" spans="1:6" ht="12.75">
      <c r="A59" s="99"/>
      <c r="B59" s="156">
        <v>65.8</v>
      </c>
      <c r="C59" s="101"/>
      <c r="D59" s="99"/>
      <c r="E59" s="153">
        <v>52</v>
      </c>
      <c r="F59" s="101"/>
    </row>
    <row r="60" spans="1:6" ht="12.75">
      <c r="A60" s="99"/>
      <c r="B60" s="156">
        <v>13</v>
      </c>
      <c r="C60" s="101"/>
      <c r="D60" s="99"/>
      <c r="E60" s="153">
        <v>40.5</v>
      </c>
      <c r="F60" s="101"/>
    </row>
    <row r="61" spans="1:6" ht="12.75">
      <c r="A61" s="99"/>
      <c r="B61" s="156">
        <v>31</v>
      </c>
      <c r="C61" s="101"/>
      <c r="D61" s="99"/>
      <c r="E61" s="153">
        <v>37</v>
      </c>
      <c r="F61" s="101"/>
    </row>
    <row r="62" spans="1:6" ht="12.75">
      <c r="A62" s="99"/>
      <c r="B62" s="156">
        <v>70.2</v>
      </c>
      <c r="C62" s="101"/>
      <c r="D62" s="99"/>
      <c r="E62" s="153">
        <v>71</v>
      </c>
      <c r="F62" s="101"/>
    </row>
    <row r="63" spans="1:6" ht="12.75">
      <c r="A63" s="99"/>
      <c r="B63" s="156">
        <v>88</v>
      </c>
      <c r="C63" s="101"/>
      <c r="D63" s="99"/>
      <c r="E63" s="153">
        <v>77</v>
      </c>
      <c r="F63" s="101"/>
    </row>
    <row r="64" spans="1:6" ht="12.75">
      <c r="A64" s="99"/>
      <c r="B64" s="123">
        <v>88</v>
      </c>
      <c r="C64" s="101"/>
      <c r="D64" s="99"/>
      <c r="E64" s="153">
        <v>13</v>
      </c>
      <c r="F64" s="101"/>
    </row>
    <row r="65" spans="1:6" ht="12.75">
      <c r="A65" s="99"/>
      <c r="B65" s="123"/>
      <c r="C65" s="101"/>
      <c r="D65" s="99"/>
      <c r="E65" s="153">
        <v>16</v>
      </c>
      <c r="F65" s="101"/>
    </row>
    <row r="66" spans="1:6" ht="12.75">
      <c r="A66" s="99"/>
      <c r="B66" s="123"/>
      <c r="C66" s="101"/>
      <c r="D66" s="99"/>
      <c r="E66" s="153">
        <v>70.2</v>
      </c>
      <c r="F66" s="101"/>
    </row>
    <row r="67" spans="1:6" ht="12.75">
      <c r="A67" s="99"/>
      <c r="B67" s="123"/>
      <c r="C67" s="101"/>
      <c r="D67" s="99"/>
      <c r="E67" s="153">
        <v>29</v>
      </c>
      <c r="F67" s="101"/>
    </row>
    <row r="68" spans="1:6" ht="13.5" thickBot="1">
      <c r="A68" s="104"/>
      <c r="B68" s="105"/>
      <c r="C68" s="106"/>
      <c r="D68" s="104"/>
      <c r="E68" s="154">
        <v>34</v>
      </c>
      <c r="F68" s="106"/>
    </row>
    <row r="69" spans="1:6" ht="12.75">
      <c r="A69" s="145" t="s">
        <v>1147</v>
      </c>
      <c r="B69" s="152" t="s">
        <v>44</v>
      </c>
      <c r="C69" s="147" t="s">
        <v>1280</v>
      </c>
      <c r="D69" s="145" t="s">
        <v>1147</v>
      </c>
      <c r="E69" s="152" t="s">
        <v>44</v>
      </c>
      <c r="F69" s="147" t="s">
        <v>1280</v>
      </c>
    </row>
    <row r="70" spans="1:6" ht="12.75">
      <c r="A70" s="99"/>
      <c r="B70" s="153">
        <v>33.69117647058823</v>
      </c>
      <c r="C70" s="155">
        <f>MEDIAN(B70:B95)</f>
        <v>19</v>
      </c>
      <c r="D70" s="99"/>
      <c r="E70" s="153">
        <v>33.69117647058823</v>
      </c>
      <c r="F70" s="155">
        <f>MEDIAN(E70:E101)</f>
        <v>17.5</v>
      </c>
    </row>
    <row r="71" spans="1:6" ht="12.75">
      <c r="A71" s="99"/>
      <c r="B71" s="153">
        <v>8.225579761068165</v>
      </c>
      <c r="C71" s="101"/>
      <c r="D71" s="99"/>
      <c r="E71" s="153">
        <v>19</v>
      </c>
      <c r="F71" s="101"/>
    </row>
    <row r="72" spans="1:6" ht="12.75">
      <c r="A72" s="99"/>
      <c r="B72" s="153">
        <v>5</v>
      </c>
      <c r="C72" s="101"/>
      <c r="D72" s="99"/>
      <c r="E72" s="153">
        <v>10</v>
      </c>
      <c r="F72" s="101"/>
    </row>
    <row r="73" spans="1:6" ht="12.75">
      <c r="A73" s="99"/>
      <c r="B73" s="153">
        <v>13</v>
      </c>
      <c r="C73" s="101"/>
      <c r="D73" s="99"/>
      <c r="E73" s="153">
        <v>12</v>
      </c>
      <c r="F73" s="101"/>
    </row>
    <row r="74" spans="1:6" ht="12.75">
      <c r="A74" s="99"/>
      <c r="B74" s="153">
        <v>37.94650205761316</v>
      </c>
      <c r="C74" s="101"/>
      <c r="D74" s="99"/>
      <c r="E74" s="153">
        <v>37.94650205761316</v>
      </c>
      <c r="F74" s="101"/>
    </row>
    <row r="75" spans="1:6" ht="12.75">
      <c r="A75" s="99"/>
      <c r="B75" s="153">
        <v>21</v>
      </c>
      <c r="C75" s="101"/>
      <c r="D75" s="99"/>
      <c r="E75" s="153">
        <v>16</v>
      </c>
      <c r="F75" s="101"/>
    </row>
    <row r="76" spans="1:6" ht="12.75">
      <c r="A76" s="99"/>
      <c r="B76" s="153">
        <v>8</v>
      </c>
      <c r="C76" s="101"/>
      <c r="D76" s="99"/>
      <c r="E76" s="153">
        <v>36</v>
      </c>
      <c r="F76" s="101"/>
    </row>
    <row r="77" spans="1:6" ht="12.75">
      <c r="A77" s="99"/>
      <c r="B77" s="153">
        <v>12</v>
      </c>
      <c r="C77" s="101"/>
      <c r="D77" s="99"/>
      <c r="E77" s="153">
        <v>8</v>
      </c>
      <c r="F77" s="101"/>
    </row>
    <row r="78" spans="1:6" ht="12.75">
      <c r="A78" s="99"/>
      <c r="B78" s="153">
        <v>20</v>
      </c>
      <c r="C78" s="101"/>
      <c r="D78" s="99"/>
      <c r="E78" s="153">
        <v>49</v>
      </c>
      <c r="F78" s="101"/>
    </row>
    <row r="79" spans="1:6" ht="12.75">
      <c r="A79" s="99"/>
      <c r="B79" s="153">
        <v>2</v>
      </c>
      <c r="C79" s="101"/>
      <c r="D79" s="99"/>
      <c r="E79" s="153">
        <v>12</v>
      </c>
      <c r="F79" s="101"/>
    </row>
    <row r="80" spans="1:6" ht="12.75">
      <c r="A80" s="99"/>
      <c r="B80" s="153">
        <v>24.87179487179487</v>
      </c>
      <c r="C80" s="101"/>
      <c r="D80" s="99"/>
      <c r="E80" s="153">
        <v>20</v>
      </c>
      <c r="F80" s="101"/>
    </row>
    <row r="81" spans="1:6" ht="12.75">
      <c r="A81" s="99"/>
      <c r="B81" s="153">
        <v>7</v>
      </c>
      <c r="C81" s="101"/>
      <c r="D81" s="99"/>
      <c r="E81" s="153">
        <v>16</v>
      </c>
      <c r="F81" s="101"/>
    </row>
    <row r="82" spans="1:6" ht="12.75">
      <c r="A82" s="99"/>
      <c r="B82" s="153">
        <v>14</v>
      </c>
      <c r="C82" s="101"/>
      <c r="D82" s="99"/>
      <c r="E82" s="153">
        <v>7</v>
      </c>
      <c r="F82" s="101"/>
    </row>
    <row r="83" spans="1:6" ht="12.75">
      <c r="A83" s="99"/>
      <c r="B83" s="153">
        <v>23</v>
      </c>
      <c r="C83" s="101"/>
      <c r="D83" s="99"/>
      <c r="E83" s="153">
        <v>7</v>
      </c>
      <c r="F83" s="101"/>
    </row>
    <row r="84" spans="1:6" ht="12.75">
      <c r="A84" s="99"/>
      <c r="B84" s="153">
        <v>5</v>
      </c>
      <c r="C84" s="101"/>
      <c r="D84" s="99"/>
      <c r="E84" s="153">
        <v>49</v>
      </c>
      <c r="F84" s="101"/>
    </row>
    <row r="85" spans="1:6" ht="12.75">
      <c r="A85" s="99"/>
      <c r="B85" s="153">
        <v>18</v>
      </c>
      <c r="C85" s="101"/>
      <c r="D85" s="99"/>
      <c r="E85" s="153">
        <v>20</v>
      </c>
      <c r="F85" s="101"/>
    </row>
    <row r="86" spans="1:6" ht="12.75">
      <c r="A86" s="99"/>
      <c r="B86" s="153">
        <v>14</v>
      </c>
      <c r="C86" s="101"/>
      <c r="D86" s="99"/>
      <c r="E86" s="153">
        <v>23</v>
      </c>
      <c r="F86" s="101"/>
    </row>
    <row r="87" spans="1:6" ht="12.75">
      <c r="A87" s="99"/>
      <c r="B87" s="153">
        <v>20</v>
      </c>
      <c r="C87" s="101"/>
      <c r="D87" s="99"/>
      <c r="E87" s="153">
        <v>9</v>
      </c>
      <c r="F87" s="101"/>
    </row>
    <row r="88" spans="1:6" ht="12.75">
      <c r="A88" s="99"/>
      <c r="B88" s="153">
        <v>10</v>
      </c>
      <c r="C88" s="101"/>
      <c r="D88" s="99"/>
      <c r="E88" s="153">
        <v>5</v>
      </c>
      <c r="F88" s="101"/>
    </row>
    <row r="89" spans="1:6" ht="12.75">
      <c r="A89" s="99"/>
      <c r="B89" s="153">
        <v>13</v>
      </c>
      <c r="C89" s="101"/>
      <c r="D89" s="99"/>
      <c r="E89" s="153">
        <v>14</v>
      </c>
      <c r="F89" s="101"/>
    </row>
    <row r="90" spans="1:6" ht="12.75">
      <c r="A90" s="99"/>
      <c r="B90" s="153">
        <v>35</v>
      </c>
      <c r="C90" s="101"/>
      <c r="D90" s="99"/>
      <c r="E90" s="153">
        <v>21</v>
      </c>
      <c r="F90" s="101"/>
    </row>
    <row r="91" spans="1:6" ht="12.75">
      <c r="A91" s="99"/>
      <c r="B91" s="153">
        <v>27.2</v>
      </c>
      <c r="C91" s="101"/>
      <c r="D91" s="99"/>
      <c r="E91" s="153">
        <v>15</v>
      </c>
      <c r="F91" s="101"/>
    </row>
    <row r="92" spans="1:6" ht="12.75">
      <c r="A92" s="99"/>
      <c r="B92" s="153">
        <v>43</v>
      </c>
      <c r="C92" s="101"/>
      <c r="D92" s="99"/>
      <c r="E92" s="153">
        <v>31</v>
      </c>
      <c r="F92" s="101"/>
    </row>
    <row r="93" spans="1:6" ht="12.75">
      <c r="A93" s="99"/>
      <c r="B93" s="153">
        <v>20</v>
      </c>
      <c r="C93" s="101"/>
      <c r="D93" s="99"/>
      <c r="E93" s="153">
        <v>13</v>
      </c>
      <c r="F93" s="101"/>
    </row>
    <row r="94" spans="1:6" ht="12.75">
      <c r="A94" s="99"/>
      <c r="B94" s="153">
        <v>22</v>
      </c>
      <c r="C94" s="101"/>
      <c r="D94" s="99"/>
      <c r="E94" s="153">
        <v>5</v>
      </c>
      <c r="F94" s="101"/>
    </row>
    <row r="95" spans="1:6" ht="12.75">
      <c r="A95" s="99"/>
      <c r="B95" s="153">
        <v>23</v>
      </c>
      <c r="C95" s="101"/>
      <c r="D95" s="99"/>
      <c r="E95" s="153">
        <v>14</v>
      </c>
      <c r="F95" s="101"/>
    </row>
    <row r="96" spans="1:6" ht="12.75">
      <c r="A96" s="99"/>
      <c r="B96" s="123"/>
      <c r="C96" s="101"/>
      <c r="D96" s="99"/>
      <c r="E96" s="153">
        <v>32</v>
      </c>
      <c r="F96" s="101"/>
    </row>
    <row r="97" spans="1:6" ht="12.75">
      <c r="A97" s="99"/>
      <c r="B97" s="123"/>
      <c r="C97" s="101"/>
      <c r="D97" s="99"/>
      <c r="E97" s="153">
        <v>43</v>
      </c>
      <c r="F97" s="101"/>
    </row>
    <row r="98" spans="1:6" ht="12.75">
      <c r="A98" s="99"/>
      <c r="B98" s="123"/>
      <c r="C98" s="101"/>
      <c r="D98" s="99"/>
      <c r="E98" s="153">
        <v>56</v>
      </c>
      <c r="F98" s="101"/>
    </row>
    <row r="99" spans="1:6" ht="12.75">
      <c r="A99" s="99"/>
      <c r="B99" s="123"/>
      <c r="C99" s="101"/>
      <c r="D99" s="99"/>
      <c r="E99" s="153">
        <v>22</v>
      </c>
      <c r="F99" s="101"/>
    </row>
    <row r="100" spans="1:6" ht="12.75">
      <c r="A100" s="99"/>
      <c r="B100" s="123"/>
      <c r="C100" s="101"/>
      <c r="D100" s="99"/>
      <c r="E100" s="153">
        <v>32</v>
      </c>
      <c r="F100" s="101"/>
    </row>
    <row r="101" spans="1:6" ht="13.5" thickBot="1">
      <c r="A101" s="104"/>
      <c r="B101" s="105"/>
      <c r="C101" s="106"/>
      <c r="D101" s="104"/>
      <c r="E101" s="154">
        <v>6</v>
      </c>
      <c r="F101" s="106"/>
    </row>
  </sheetData>
  <sheetProtection/>
  <mergeCells count="2">
    <mergeCell ref="A1:C1"/>
    <mergeCell ref="D1:F1"/>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BW29"/>
  <sheetViews>
    <sheetView zoomScale="90" zoomScaleNormal="90" zoomScalePageLayoutView="0" workbookViewId="0" topLeftCell="C1">
      <pane xSplit="41" ySplit="3" topLeftCell="BN4" activePane="bottomRight" state="frozen"/>
      <selection pane="topLeft" activeCell="C1" sqref="C1"/>
      <selection pane="topRight" activeCell="AR1" sqref="AR1"/>
      <selection pane="bottomLeft" activeCell="C4" sqref="C4"/>
      <selection pane="bottomRight" activeCell="C1" sqref="C1"/>
    </sheetView>
  </sheetViews>
  <sheetFormatPr defaultColWidth="11.421875" defaultRowHeight="15"/>
  <cols>
    <col min="5" max="5" width="33.57421875" style="0" customWidth="1"/>
    <col min="6" max="6" width="15.421875" style="0" hidden="1" customWidth="1"/>
    <col min="7" max="7" width="14.28125" style="0" hidden="1" customWidth="1"/>
    <col min="8" max="18" width="0" style="0" hidden="1" customWidth="1"/>
    <col min="19" max="19" width="44.57421875" style="0" hidden="1" customWidth="1"/>
    <col min="20" max="29" width="0" style="0" hidden="1" customWidth="1"/>
    <col min="30" max="30" width="43.7109375" style="0" hidden="1" customWidth="1"/>
    <col min="31" max="43" width="0" style="0" hidden="1" customWidth="1"/>
  </cols>
  <sheetData>
    <row r="1" spans="1:75" ht="15.75" thickBot="1">
      <c r="A1" s="122"/>
      <c r="B1" s="122"/>
      <c r="C1" s="122"/>
      <c r="D1" s="122"/>
      <c r="E1" s="122"/>
      <c r="F1" s="122"/>
      <c r="G1" s="122"/>
      <c r="H1" s="122"/>
      <c r="I1" s="122"/>
      <c r="J1" s="122"/>
      <c r="K1" s="122"/>
      <c r="L1" s="122"/>
      <c r="M1" s="122"/>
      <c r="N1" s="122"/>
      <c r="O1" s="122"/>
      <c r="P1" s="122"/>
      <c r="Q1" s="122"/>
      <c r="R1" s="122"/>
      <c r="S1" s="284" t="s">
        <v>1138</v>
      </c>
      <c r="T1" s="285"/>
      <c r="U1" s="285"/>
      <c r="V1" s="285"/>
      <c r="W1" s="285"/>
      <c r="X1" s="285"/>
      <c r="Y1" s="285"/>
      <c r="Z1" s="285"/>
      <c r="AA1" s="285"/>
      <c r="AB1" s="285"/>
      <c r="AC1" s="286"/>
      <c r="AD1" s="284">
        <v>2020</v>
      </c>
      <c r="AE1" s="285"/>
      <c r="AF1" s="285"/>
      <c r="AG1" s="285"/>
      <c r="AH1" s="285"/>
      <c r="AI1" s="285"/>
      <c r="AJ1" s="285"/>
      <c r="AK1" s="285"/>
      <c r="AL1" s="285"/>
      <c r="AM1" s="285"/>
      <c r="AN1" s="286"/>
      <c r="AO1" s="318" t="s">
        <v>1134</v>
      </c>
      <c r="AP1" s="319"/>
      <c r="AQ1" s="320"/>
      <c r="AR1" s="290" t="s">
        <v>1304</v>
      </c>
      <c r="AS1" s="291"/>
      <c r="AT1" s="291"/>
      <c r="AU1" s="291"/>
      <c r="AV1" s="291"/>
      <c r="AW1" s="291"/>
      <c r="AX1" s="291"/>
      <c r="AY1" s="291"/>
      <c r="AZ1" s="291"/>
      <c r="BA1" s="292"/>
      <c r="BB1" s="230" t="s">
        <v>1141</v>
      </c>
      <c r="BC1" s="231"/>
      <c r="BD1" s="231"/>
      <c r="BE1" s="231"/>
      <c r="BF1" s="231"/>
      <c r="BG1" s="231"/>
      <c r="BH1" s="231"/>
      <c r="BI1" s="231"/>
      <c r="BJ1" s="231"/>
      <c r="BK1" s="232"/>
      <c r="BL1" s="295" t="s">
        <v>1285</v>
      </c>
      <c r="BM1" s="296"/>
      <c r="BN1" s="311" t="s">
        <v>1283</v>
      </c>
      <c r="BO1" s="312"/>
      <c r="BP1" s="312"/>
      <c r="BQ1" s="312"/>
      <c r="BR1" s="312"/>
      <c r="BS1" s="312"/>
      <c r="BT1" s="312"/>
      <c r="BU1" s="312"/>
      <c r="BV1" s="312"/>
      <c r="BW1" s="313"/>
    </row>
    <row r="2" spans="1:75" ht="23.25" customHeight="1">
      <c r="A2" s="302" t="s">
        <v>0</v>
      </c>
      <c r="B2" s="302" t="s">
        <v>18</v>
      </c>
      <c r="C2" s="302" t="s">
        <v>327</v>
      </c>
      <c r="D2" s="302" t="s">
        <v>40</v>
      </c>
      <c r="E2" s="302" t="s">
        <v>1</v>
      </c>
      <c r="F2" s="302" t="s">
        <v>2</v>
      </c>
      <c r="G2" s="302" t="s">
        <v>3</v>
      </c>
      <c r="H2" s="307" t="s">
        <v>4</v>
      </c>
      <c r="I2" s="328"/>
      <c r="J2" s="328"/>
      <c r="K2" s="328"/>
      <c r="L2" s="328"/>
      <c r="M2" s="328"/>
      <c r="N2" s="308"/>
      <c r="O2" s="302" t="s">
        <v>41</v>
      </c>
      <c r="P2" s="302" t="s">
        <v>42</v>
      </c>
      <c r="Q2" s="307" t="s">
        <v>43</v>
      </c>
      <c r="R2" s="308"/>
      <c r="S2" s="248" t="s">
        <v>1301</v>
      </c>
      <c r="T2" s="321" t="s">
        <v>111</v>
      </c>
      <c r="U2" s="321" t="s">
        <v>44</v>
      </c>
      <c r="V2" s="321" t="s">
        <v>45</v>
      </c>
      <c r="W2" s="321" t="s">
        <v>52</v>
      </c>
      <c r="X2" s="322" t="s">
        <v>112</v>
      </c>
      <c r="Y2" s="322" t="s">
        <v>46</v>
      </c>
      <c r="Z2" s="322" t="s">
        <v>47</v>
      </c>
      <c r="AA2" s="322" t="s">
        <v>48</v>
      </c>
      <c r="AB2" s="322" t="s">
        <v>113</v>
      </c>
      <c r="AC2" s="322" t="s">
        <v>49</v>
      </c>
      <c r="AD2" s="248" t="s">
        <v>1302</v>
      </c>
      <c r="AE2" s="321" t="s">
        <v>111</v>
      </c>
      <c r="AF2" s="322" t="s">
        <v>44</v>
      </c>
      <c r="AG2" s="322" t="s">
        <v>45</v>
      </c>
      <c r="AH2" s="322" t="s">
        <v>52</v>
      </c>
      <c r="AI2" s="322" t="s">
        <v>112</v>
      </c>
      <c r="AJ2" s="322" t="s">
        <v>46</v>
      </c>
      <c r="AK2" s="322" t="s">
        <v>47</v>
      </c>
      <c r="AL2" s="322" t="s">
        <v>48</v>
      </c>
      <c r="AM2" s="322" t="s">
        <v>113</v>
      </c>
      <c r="AN2" s="322" t="s">
        <v>49</v>
      </c>
      <c r="AO2" s="324" t="s">
        <v>1135</v>
      </c>
      <c r="AP2" s="321" t="s">
        <v>111</v>
      </c>
      <c r="AQ2" s="321" t="s">
        <v>1136</v>
      </c>
      <c r="AR2" s="321" t="s">
        <v>111</v>
      </c>
      <c r="AS2" s="321" t="s">
        <v>44</v>
      </c>
      <c r="AT2" s="321" t="s">
        <v>45</v>
      </c>
      <c r="AU2" s="321" t="s">
        <v>52</v>
      </c>
      <c r="AV2" s="321" t="s">
        <v>112</v>
      </c>
      <c r="AW2" s="321" t="s">
        <v>46</v>
      </c>
      <c r="AX2" s="323" t="s">
        <v>47</v>
      </c>
      <c r="AY2" s="323" t="s">
        <v>48</v>
      </c>
      <c r="AZ2" s="325" t="s">
        <v>113</v>
      </c>
      <c r="BA2" s="325" t="s">
        <v>49</v>
      </c>
      <c r="BB2" s="321" t="s">
        <v>111</v>
      </c>
      <c r="BC2" s="321" t="s">
        <v>44</v>
      </c>
      <c r="BD2" s="321" t="s">
        <v>45</v>
      </c>
      <c r="BE2" s="321" t="s">
        <v>52</v>
      </c>
      <c r="BF2" s="321" t="s">
        <v>112</v>
      </c>
      <c r="BG2" s="321" t="s">
        <v>46</v>
      </c>
      <c r="BH2" s="321" t="s">
        <v>47</v>
      </c>
      <c r="BI2" s="321" t="s">
        <v>48</v>
      </c>
      <c r="BJ2" s="321" t="s">
        <v>113</v>
      </c>
      <c r="BK2" s="321" t="s">
        <v>49</v>
      </c>
      <c r="BL2" s="293" t="s">
        <v>1284</v>
      </c>
      <c r="BM2" s="293" t="s">
        <v>49</v>
      </c>
      <c r="BN2" s="326">
        <v>2021</v>
      </c>
      <c r="BO2" s="327"/>
      <c r="BP2" s="326">
        <v>2022</v>
      </c>
      <c r="BQ2" s="327"/>
      <c r="BR2" s="326">
        <v>2023</v>
      </c>
      <c r="BS2" s="327"/>
      <c r="BT2" s="326">
        <v>2024</v>
      </c>
      <c r="BU2" s="327"/>
      <c r="BV2" s="326">
        <v>2025</v>
      </c>
      <c r="BW2" s="327"/>
    </row>
    <row r="3" spans="1:75" ht="42" customHeight="1">
      <c r="A3" s="249"/>
      <c r="B3" s="249"/>
      <c r="C3" s="249"/>
      <c r="D3" s="249"/>
      <c r="E3" s="249"/>
      <c r="F3" s="249"/>
      <c r="G3" s="249"/>
      <c r="H3" s="219" t="s">
        <v>5</v>
      </c>
      <c r="I3" s="219" t="s">
        <v>6</v>
      </c>
      <c r="J3" s="219" t="s">
        <v>7</v>
      </c>
      <c r="K3" s="219" t="s">
        <v>562</v>
      </c>
      <c r="L3" s="219" t="s">
        <v>563</v>
      </c>
      <c r="M3" s="219" t="s">
        <v>8</v>
      </c>
      <c r="N3" s="219" t="s">
        <v>9</v>
      </c>
      <c r="O3" s="249"/>
      <c r="P3" s="249"/>
      <c r="Q3" s="219" t="s">
        <v>53</v>
      </c>
      <c r="R3" s="219" t="s">
        <v>54</v>
      </c>
      <c r="S3" s="249"/>
      <c r="T3" s="233"/>
      <c r="U3" s="233" t="s">
        <v>44</v>
      </c>
      <c r="V3" s="233" t="s">
        <v>45</v>
      </c>
      <c r="W3" s="233" t="s">
        <v>45</v>
      </c>
      <c r="X3" s="233"/>
      <c r="Y3" s="233"/>
      <c r="Z3" s="233"/>
      <c r="AA3" s="233"/>
      <c r="AB3" s="233"/>
      <c r="AC3" s="233"/>
      <c r="AD3" s="249"/>
      <c r="AE3" s="233"/>
      <c r="AF3" s="233"/>
      <c r="AG3" s="233"/>
      <c r="AH3" s="233"/>
      <c r="AI3" s="233"/>
      <c r="AJ3" s="233"/>
      <c r="AK3" s="233"/>
      <c r="AL3" s="233"/>
      <c r="AM3" s="233"/>
      <c r="AN3" s="233"/>
      <c r="AO3" s="279"/>
      <c r="AP3" s="233"/>
      <c r="AQ3" s="233"/>
      <c r="AR3" s="233"/>
      <c r="AS3" s="233" t="s">
        <v>44</v>
      </c>
      <c r="AT3" s="233" t="s">
        <v>45</v>
      </c>
      <c r="AU3" s="233"/>
      <c r="AV3" s="233"/>
      <c r="AW3" s="233"/>
      <c r="AX3" s="237" t="s">
        <v>47</v>
      </c>
      <c r="AY3" s="237" t="s">
        <v>48</v>
      </c>
      <c r="AZ3" s="275" t="s">
        <v>113</v>
      </c>
      <c r="BA3" s="275" t="s">
        <v>49</v>
      </c>
      <c r="BB3" s="233"/>
      <c r="BC3" s="233" t="s">
        <v>44</v>
      </c>
      <c r="BD3" s="233"/>
      <c r="BE3" s="233"/>
      <c r="BF3" s="233"/>
      <c r="BG3" s="233"/>
      <c r="BH3" s="233"/>
      <c r="BI3" s="233"/>
      <c r="BJ3" s="233"/>
      <c r="BK3" s="233"/>
      <c r="BL3" s="294"/>
      <c r="BM3" s="294"/>
      <c r="BN3" s="204" t="s">
        <v>1284</v>
      </c>
      <c r="BO3" s="204" t="s">
        <v>49</v>
      </c>
      <c r="BP3" s="204" t="s">
        <v>1284</v>
      </c>
      <c r="BQ3" s="204" t="s">
        <v>49</v>
      </c>
      <c r="BR3" s="204" t="s">
        <v>1284</v>
      </c>
      <c r="BS3" s="204" t="s">
        <v>49</v>
      </c>
      <c r="BT3" s="204" t="s">
        <v>1284</v>
      </c>
      <c r="BU3" s="204" t="s">
        <v>49</v>
      </c>
      <c r="BV3" s="204" t="s">
        <v>1284</v>
      </c>
      <c r="BW3" s="204" t="s">
        <v>49</v>
      </c>
    </row>
    <row r="4" spans="1:75" ht="49.5" customHeight="1">
      <c r="A4" s="4">
        <v>139</v>
      </c>
      <c r="B4" s="4" t="s">
        <v>20</v>
      </c>
      <c r="C4" s="4" t="s">
        <v>19</v>
      </c>
      <c r="D4" s="4">
        <v>2</v>
      </c>
      <c r="E4" s="4" t="s">
        <v>207</v>
      </c>
      <c r="F4" s="4" t="s">
        <v>216</v>
      </c>
      <c r="G4" s="4" t="s">
        <v>446</v>
      </c>
      <c r="H4" s="8" t="s">
        <v>11</v>
      </c>
      <c r="I4" s="9" t="s">
        <v>67</v>
      </c>
      <c r="J4" s="9" t="s">
        <v>67</v>
      </c>
      <c r="K4" s="9" t="s">
        <v>67</v>
      </c>
      <c r="L4" s="9" t="s">
        <v>67</v>
      </c>
      <c r="M4" s="9" t="s">
        <v>67</v>
      </c>
      <c r="N4" s="9" t="s">
        <v>67</v>
      </c>
      <c r="O4" s="8" t="s">
        <v>51</v>
      </c>
      <c r="P4" s="8" t="s">
        <v>55</v>
      </c>
      <c r="Q4" s="8" t="s">
        <v>798</v>
      </c>
      <c r="R4" s="8" t="s">
        <v>949</v>
      </c>
      <c r="S4" s="4" t="s">
        <v>1256</v>
      </c>
      <c r="T4" s="8">
        <v>34</v>
      </c>
      <c r="U4" s="8">
        <v>4</v>
      </c>
      <c r="V4" s="8">
        <f>(0.47+0.33+0.59+0.61+0.48)/5</f>
        <v>0.496</v>
      </c>
      <c r="W4" s="8">
        <v>16</v>
      </c>
      <c r="X4" s="32">
        <f>V4*T4*W4*0.0036</f>
        <v>0.9713664</v>
      </c>
      <c r="Y4" s="32">
        <f>V4*U4*W4*0.0036</f>
        <v>0.1142784</v>
      </c>
      <c r="Z4" s="8">
        <v>30</v>
      </c>
      <c r="AA4" s="8">
        <v>12</v>
      </c>
      <c r="AB4" s="13">
        <f>X4*Z4*AA4</f>
        <v>349.69190399999997</v>
      </c>
      <c r="AC4" s="13">
        <f>Y4*Z4*AA4</f>
        <v>41.140224</v>
      </c>
      <c r="AD4" s="4" t="s">
        <v>1009</v>
      </c>
      <c r="AE4" s="8">
        <v>34</v>
      </c>
      <c r="AF4" s="8">
        <v>4</v>
      </c>
      <c r="AG4" s="8">
        <f>(0.47+0.33+0.59+0.61+0.48)/5</f>
        <v>0.496</v>
      </c>
      <c r="AH4" s="8">
        <v>16</v>
      </c>
      <c r="AI4" s="7">
        <f>AG4*AE4*AH4*0.0036</f>
        <v>0.9713664</v>
      </c>
      <c r="AJ4" s="7">
        <f>AG4*AF4*AH4*0.0036</f>
        <v>0.1142784</v>
      </c>
      <c r="AK4" s="8">
        <v>30</v>
      </c>
      <c r="AL4" s="8">
        <v>12</v>
      </c>
      <c r="AM4" s="13">
        <f>AI4*AK4*AL4</f>
        <v>349.69190399999997</v>
      </c>
      <c r="AN4" s="80">
        <f>AJ4*AK4*AL4</f>
        <v>41.140224</v>
      </c>
      <c r="AO4" s="131"/>
      <c r="AP4" s="131"/>
      <c r="AQ4" s="131"/>
      <c r="AR4" s="31">
        <f>(T4*V4+AE4*AG4)/(V4+AG4)</f>
        <v>34</v>
      </c>
      <c r="AS4" s="31">
        <f>(U4*V4+AF4*AG4)/(V4+AG4)</f>
        <v>4</v>
      </c>
      <c r="AT4" s="111">
        <f>AVERAGE(V4,AG4)</f>
        <v>0.496</v>
      </c>
      <c r="AU4" s="8">
        <v>16</v>
      </c>
      <c r="AV4" s="111">
        <f>AT4*AR4*AU4*0.0036</f>
        <v>0.9713664</v>
      </c>
      <c r="AW4" s="111">
        <f>AT4*AS4*AU4*0.0036</f>
        <v>0.1142784</v>
      </c>
      <c r="AX4" s="8">
        <v>30</v>
      </c>
      <c r="AY4" s="8">
        <v>12</v>
      </c>
      <c r="AZ4" s="7">
        <f>AV4*AX4*AY4</f>
        <v>349.69190399999997</v>
      </c>
      <c r="BA4" s="7">
        <f>AW4*AX4*AY4</f>
        <v>41.140224</v>
      </c>
      <c r="BB4" s="217">
        <v>80</v>
      </c>
      <c r="BC4" s="217">
        <v>50</v>
      </c>
      <c r="BD4" s="111">
        <f aca="true" t="shared" si="0" ref="BD4:BE25">AT4</f>
        <v>0.496</v>
      </c>
      <c r="BE4" s="8">
        <f t="shared" si="0"/>
        <v>16</v>
      </c>
      <c r="BF4" s="111">
        <f aca="true" t="shared" si="1" ref="BF4:BF25">BD4*BB4*BE4*0.0036</f>
        <v>2.285568</v>
      </c>
      <c r="BG4" s="111">
        <f aca="true" t="shared" si="2" ref="BG4:BG25">BD4*BC4*BE4*0.0036</f>
        <v>1.42848</v>
      </c>
      <c r="BH4" s="8">
        <f aca="true" t="shared" si="3" ref="BH4:BI25">AX4</f>
        <v>30</v>
      </c>
      <c r="BI4" s="8">
        <f t="shared" si="3"/>
        <v>12</v>
      </c>
      <c r="BJ4" s="111">
        <f aca="true" t="shared" si="4" ref="BJ4:BJ25">BF4*BH4*BI4</f>
        <v>822.80448</v>
      </c>
      <c r="BK4" s="111">
        <f aca="true" t="shared" si="5" ref="BK4:BK25">BG4*BH4*BI4</f>
        <v>514.2528</v>
      </c>
      <c r="BL4" s="41">
        <f aca="true" t="shared" si="6" ref="BL4:BM25">AVERAGE(AZ4,BJ4)</f>
        <v>586.248192</v>
      </c>
      <c r="BM4" s="41">
        <f t="shared" si="6"/>
        <v>277.696512</v>
      </c>
      <c r="BN4" s="208">
        <f aca="true" t="shared" si="7" ref="BN4:BQ7">ROUNDUP(BJ4,-1)</f>
        <v>830</v>
      </c>
      <c r="BO4" s="208">
        <f t="shared" si="7"/>
        <v>520</v>
      </c>
      <c r="BP4" s="208">
        <f t="shared" si="7"/>
        <v>590</v>
      </c>
      <c r="BQ4" s="208">
        <f t="shared" si="7"/>
        <v>280</v>
      </c>
      <c r="BR4" s="208">
        <f aca="true" t="shared" si="8" ref="BR4:BW7">BP4</f>
        <v>590</v>
      </c>
      <c r="BS4" s="208">
        <f t="shared" si="8"/>
        <v>280</v>
      </c>
      <c r="BT4" s="208">
        <f t="shared" si="8"/>
        <v>590</v>
      </c>
      <c r="BU4" s="208">
        <f t="shared" si="8"/>
        <v>280</v>
      </c>
      <c r="BV4" s="208">
        <f t="shared" si="8"/>
        <v>590</v>
      </c>
      <c r="BW4" s="208">
        <f t="shared" si="8"/>
        <v>280</v>
      </c>
    </row>
    <row r="5" spans="1:75" ht="49.5" customHeight="1">
      <c r="A5" s="4">
        <v>140</v>
      </c>
      <c r="B5" s="4" t="s">
        <v>20</v>
      </c>
      <c r="C5" s="4" t="s">
        <v>19</v>
      </c>
      <c r="D5" s="4">
        <v>2</v>
      </c>
      <c r="E5" s="4" t="s">
        <v>339</v>
      </c>
      <c r="F5" s="4" t="s">
        <v>349</v>
      </c>
      <c r="G5" s="4" t="s">
        <v>471</v>
      </c>
      <c r="H5" s="4" t="s">
        <v>11</v>
      </c>
      <c r="I5" s="9" t="s">
        <v>67</v>
      </c>
      <c r="J5" s="9" t="s">
        <v>67</v>
      </c>
      <c r="K5" s="9" t="s">
        <v>67</v>
      </c>
      <c r="L5" s="9" t="s">
        <v>67</v>
      </c>
      <c r="M5" s="9" t="s">
        <v>67</v>
      </c>
      <c r="N5" s="9" t="s">
        <v>67</v>
      </c>
      <c r="O5" s="8" t="s">
        <v>51</v>
      </c>
      <c r="P5" s="4" t="s">
        <v>55</v>
      </c>
      <c r="Q5" s="8" t="s">
        <v>799</v>
      </c>
      <c r="R5" s="8" t="s">
        <v>950</v>
      </c>
      <c r="S5" s="4" t="s">
        <v>1257</v>
      </c>
      <c r="T5" s="8">
        <v>16.2</v>
      </c>
      <c r="U5" s="8">
        <v>30</v>
      </c>
      <c r="V5" s="7">
        <f>(0.018+0.586+0.909+0.128+0.826)/5</f>
        <v>0.4934</v>
      </c>
      <c r="W5" s="8">
        <v>16</v>
      </c>
      <c r="X5" s="7">
        <f>V5*T5*W5*0.0036</f>
        <v>0.460401408</v>
      </c>
      <c r="Y5" s="7">
        <f>V5*U5*W5*0.0036</f>
        <v>0.8525952</v>
      </c>
      <c r="Z5" s="8">
        <v>25</v>
      </c>
      <c r="AA5" s="8">
        <v>12</v>
      </c>
      <c r="AB5" s="13">
        <f>X5*Z5*AA5</f>
        <v>138.1204224</v>
      </c>
      <c r="AC5" s="13">
        <f>Y5*Z5*AA5</f>
        <v>255.77855999999997</v>
      </c>
      <c r="AD5" s="4" t="s">
        <v>1010</v>
      </c>
      <c r="AE5" s="187">
        <v>10.3</v>
      </c>
      <c r="AF5" s="187">
        <v>7.67</v>
      </c>
      <c r="AG5" s="41">
        <v>0.032</v>
      </c>
      <c r="AH5" s="8">
        <v>16</v>
      </c>
      <c r="AI5" s="7">
        <f>AG5*AE5*AH5*0.0036</f>
        <v>0.01898496</v>
      </c>
      <c r="AJ5" s="7">
        <f>AG5*AF5*AH5*0.0036</f>
        <v>0.014137344</v>
      </c>
      <c r="AK5" s="8">
        <v>25</v>
      </c>
      <c r="AL5" s="8">
        <v>12</v>
      </c>
      <c r="AM5" s="13">
        <f>AI5*AK5*AL5</f>
        <v>5.695488</v>
      </c>
      <c r="AN5" s="80">
        <f>AJ5*AK5*AL5</f>
        <v>4.2412032</v>
      </c>
      <c r="AO5" s="131"/>
      <c r="AP5" s="131"/>
      <c r="AQ5" s="131"/>
      <c r="AR5" s="31">
        <f>(T5*V5+AE5*AG5)/(V5+AG5)</f>
        <v>15.84065473924629</v>
      </c>
      <c r="AS5" s="31">
        <f>(U5*V5+AF5*AG5)/(V5+AG5)</f>
        <v>28.639969547011802</v>
      </c>
      <c r="AT5" s="111">
        <f>AVERAGE(V5,AG5)</f>
        <v>0.2627</v>
      </c>
      <c r="AU5" s="8">
        <v>16</v>
      </c>
      <c r="AV5" s="111">
        <f>AT5*AR5*AU5*0.0036</f>
        <v>0.239693184</v>
      </c>
      <c r="AW5" s="111">
        <f>AT5*AS5*AU5*0.0036</f>
        <v>0.433366272</v>
      </c>
      <c r="AX5" s="8">
        <v>25</v>
      </c>
      <c r="AY5" s="8">
        <v>12</v>
      </c>
      <c r="AZ5" s="7">
        <f>AV5*AX5*AY5</f>
        <v>71.9079552</v>
      </c>
      <c r="BA5" s="7">
        <f>AW5*AX5*AY5</f>
        <v>130.0098816</v>
      </c>
      <c r="BB5" s="217">
        <v>80</v>
      </c>
      <c r="BC5" s="217">
        <v>50</v>
      </c>
      <c r="BD5" s="111">
        <f t="shared" si="0"/>
        <v>0.2627</v>
      </c>
      <c r="BE5" s="8">
        <f t="shared" si="0"/>
        <v>16</v>
      </c>
      <c r="BF5" s="111">
        <f t="shared" si="1"/>
        <v>1.2105215999999999</v>
      </c>
      <c r="BG5" s="111">
        <f t="shared" si="2"/>
        <v>0.7565759999999999</v>
      </c>
      <c r="BH5" s="8">
        <f t="shared" si="3"/>
        <v>25</v>
      </c>
      <c r="BI5" s="8">
        <f t="shared" si="3"/>
        <v>12</v>
      </c>
      <c r="BJ5" s="111">
        <f t="shared" si="4"/>
        <v>363.15648</v>
      </c>
      <c r="BK5" s="111">
        <f t="shared" si="5"/>
        <v>226.97279999999995</v>
      </c>
      <c r="BL5" s="41">
        <f t="shared" si="6"/>
        <v>217.5322176</v>
      </c>
      <c r="BM5" s="41">
        <f t="shared" si="6"/>
        <v>178.4913408</v>
      </c>
      <c r="BN5" s="208">
        <f t="shared" si="7"/>
        <v>370</v>
      </c>
      <c r="BO5" s="208">
        <f t="shared" si="7"/>
        <v>230</v>
      </c>
      <c r="BP5" s="208">
        <f t="shared" si="7"/>
        <v>220</v>
      </c>
      <c r="BQ5" s="208">
        <f t="shared" si="7"/>
        <v>180</v>
      </c>
      <c r="BR5" s="208">
        <f t="shared" si="8"/>
        <v>220</v>
      </c>
      <c r="BS5" s="208">
        <f t="shared" si="8"/>
        <v>180</v>
      </c>
      <c r="BT5" s="208">
        <f t="shared" si="8"/>
        <v>220</v>
      </c>
      <c r="BU5" s="208">
        <f t="shared" si="8"/>
        <v>180</v>
      </c>
      <c r="BV5" s="208">
        <f t="shared" si="8"/>
        <v>220</v>
      </c>
      <c r="BW5" s="208">
        <f t="shared" si="8"/>
        <v>180</v>
      </c>
    </row>
    <row r="6" spans="1:75" ht="49.5" customHeight="1">
      <c r="A6" s="8">
        <v>141</v>
      </c>
      <c r="B6" s="4" t="s">
        <v>20</v>
      </c>
      <c r="C6" s="4" t="s">
        <v>19</v>
      </c>
      <c r="D6" s="4">
        <v>2</v>
      </c>
      <c r="E6" s="4" t="s">
        <v>212</v>
      </c>
      <c r="F6" s="4" t="s">
        <v>218</v>
      </c>
      <c r="G6" s="8" t="s">
        <v>474</v>
      </c>
      <c r="H6" s="8" t="s">
        <v>11</v>
      </c>
      <c r="I6" s="9" t="s">
        <v>67</v>
      </c>
      <c r="J6" s="9" t="s">
        <v>67</v>
      </c>
      <c r="K6" s="9" t="s">
        <v>67</v>
      </c>
      <c r="L6" s="9" t="s">
        <v>67</v>
      </c>
      <c r="M6" s="9" t="s">
        <v>67</v>
      </c>
      <c r="N6" s="9" t="s">
        <v>67</v>
      </c>
      <c r="O6" s="8" t="s">
        <v>51</v>
      </c>
      <c r="P6" s="8" t="s">
        <v>55</v>
      </c>
      <c r="Q6" s="8" t="s">
        <v>222</v>
      </c>
      <c r="R6" s="8" t="s">
        <v>951</v>
      </c>
      <c r="S6" s="4" t="s">
        <v>1258</v>
      </c>
      <c r="T6" s="8">
        <v>28.3</v>
      </c>
      <c r="U6" s="8">
        <v>61.7</v>
      </c>
      <c r="V6" s="8">
        <v>0.247</v>
      </c>
      <c r="W6" s="8">
        <v>16</v>
      </c>
      <c r="X6" s="32">
        <f>V6*T6*W6*0.0036</f>
        <v>0.40262976</v>
      </c>
      <c r="Y6" s="32">
        <f>V6*U6*W6*0.0036</f>
        <v>0.87781824</v>
      </c>
      <c r="Z6" s="8">
        <v>30</v>
      </c>
      <c r="AA6" s="8">
        <v>12</v>
      </c>
      <c r="AB6" s="13">
        <f>X6*Z6*AA6</f>
        <v>144.9467136</v>
      </c>
      <c r="AC6" s="13">
        <f>Y6*Z6*AA6</f>
        <v>316.0145664</v>
      </c>
      <c r="AD6" s="4" t="s">
        <v>1011</v>
      </c>
      <c r="AE6" s="8">
        <v>28.3</v>
      </c>
      <c r="AF6" s="8">
        <v>61.7</v>
      </c>
      <c r="AG6" s="8">
        <v>0.247</v>
      </c>
      <c r="AH6" s="8">
        <v>16</v>
      </c>
      <c r="AI6" s="7">
        <f>AG6*AE6*AH6*0.0036</f>
        <v>0.40262976</v>
      </c>
      <c r="AJ6" s="7">
        <f>AG6*AF6*AH6*0.0036</f>
        <v>0.87781824</v>
      </c>
      <c r="AK6" s="8">
        <v>30</v>
      </c>
      <c r="AL6" s="8">
        <v>12</v>
      </c>
      <c r="AM6" s="13">
        <f>AI6*AK6*AL6</f>
        <v>144.9467136</v>
      </c>
      <c r="AN6" s="80">
        <f>AJ6*AK6*AL6</f>
        <v>316.0145664</v>
      </c>
      <c r="AO6" s="131"/>
      <c r="AP6" s="131"/>
      <c r="AQ6" s="131"/>
      <c r="AR6" s="31">
        <f>(T6*V6+AE6*AG6)/(V6+AG6)</f>
        <v>28.3</v>
      </c>
      <c r="AS6" s="31">
        <f>(U6*V6+AF6*AG6)/(V6+AG6)</f>
        <v>61.7</v>
      </c>
      <c r="AT6" s="111">
        <f>AVERAGE(V6,AG6)</f>
        <v>0.247</v>
      </c>
      <c r="AU6" s="8">
        <v>16</v>
      </c>
      <c r="AV6" s="111">
        <f>AT6*AR6*AU6*0.0036</f>
        <v>0.40262976</v>
      </c>
      <c r="AW6" s="111">
        <f>AT6*AS6*AU6*0.0036</f>
        <v>0.87781824</v>
      </c>
      <c r="AX6" s="8">
        <v>30</v>
      </c>
      <c r="AY6" s="8">
        <v>12</v>
      </c>
      <c r="AZ6" s="7">
        <f>AV6*AX6*AY6</f>
        <v>144.9467136</v>
      </c>
      <c r="BA6" s="7">
        <f>AW6*AX6*AY6</f>
        <v>316.0145664</v>
      </c>
      <c r="BB6" s="5">
        <v>90</v>
      </c>
      <c r="BC6" s="5">
        <v>90</v>
      </c>
      <c r="BD6" s="111">
        <f t="shared" si="0"/>
        <v>0.247</v>
      </c>
      <c r="BE6" s="8">
        <f t="shared" si="0"/>
        <v>16</v>
      </c>
      <c r="BF6" s="111">
        <f t="shared" si="1"/>
        <v>1.280448</v>
      </c>
      <c r="BG6" s="111">
        <f t="shared" si="2"/>
        <v>1.280448</v>
      </c>
      <c r="BH6" s="8">
        <f t="shared" si="3"/>
        <v>30</v>
      </c>
      <c r="BI6" s="8">
        <f t="shared" si="3"/>
        <v>12</v>
      </c>
      <c r="BJ6" s="111">
        <f t="shared" si="4"/>
        <v>460.96128</v>
      </c>
      <c r="BK6" s="111">
        <f t="shared" si="5"/>
        <v>460.96128</v>
      </c>
      <c r="BL6" s="41">
        <f t="shared" si="6"/>
        <v>302.9539968</v>
      </c>
      <c r="BM6" s="41">
        <f t="shared" si="6"/>
        <v>388.48792319999995</v>
      </c>
      <c r="BN6" s="208">
        <f t="shared" si="7"/>
        <v>470</v>
      </c>
      <c r="BO6" s="208">
        <f t="shared" si="7"/>
        <v>470</v>
      </c>
      <c r="BP6" s="208">
        <f t="shared" si="7"/>
        <v>310</v>
      </c>
      <c r="BQ6" s="208">
        <f t="shared" si="7"/>
        <v>390</v>
      </c>
      <c r="BR6" s="208">
        <f t="shared" si="8"/>
        <v>310</v>
      </c>
      <c r="BS6" s="208">
        <f t="shared" si="8"/>
        <v>390</v>
      </c>
      <c r="BT6" s="208">
        <f t="shared" si="8"/>
        <v>310</v>
      </c>
      <c r="BU6" s="208">
        <f t="shared" si="8"/>
        <v>390</v>
      </c>
      <c r="BV6" s="208">
        <f t="shared" si="8"/>
        <v>310</v>
      </c>
      <c r="BW6" s="208">
        <f t="shared" si="8"/>
        <v>390</v>
      </c>
    </row>
    <row r="7" spans="1:75" ht="49.5" customHeight="1">
      <c r="A7" s="4">
        <v>142</v>
      </c>
      <c r="B7" s="4" t="s">
        <v>20</v>
      </c>
      <c r="C7" s="4" t="s">
        <v>19</v>
      </c>
      <c r="D7" s="4">
        <v>2</v>
      </c>
      <c r="E7" s="4" t="s">
        <v>149</v>
      </c>
      <c r="F7" s="4" t="s">
        <v>434</v>
      </c>
      <c r="G7" s="4" t="s">
        <v>150</v>
      </c>
      <c r="H7" s="4" t="s">
        <v>11</v>
      </c>
      <c r="I7" s="9" t="s">
        <v>67</v>
      </c>
      <c r="J7" s="9" t="s">
        <v>67</v>
      </c>
      <c r="K7" s="9" t="s">
        <v>67</v>
      </c>
      <c r="L7" s="9" t="s">
        <v>67</v>
      </c>
      <c r="M7" s="9" t="s">
        <v>67</v>
      </c>
      <c r="N7" s="9" t="s">
        <v>67</v>
      </c>
      <c r="O7" s="8" t="s">
        <v>51</v>
      </c>
      <c r="P7" s="4" t="s">
        <v>55</v>
      </c>
      <c r="Q7" s="8" t="s">
        <v>800</v>
      </c>
      <c r="R7" s="8" t="s">
        <v>952</v>
      </c>
      <c r="S7" s="4" t="s">
        <v>999</v>
      </c>
      <c r="T7" s="13">
        <f>(T8*V8+T9*V9)/(V8+V9)</f>
        <v>17.7401509162774</v>
      </c>
      <c r="U7" s="13">
        <f>(U8*V8+U9*V9)/(V8+V9)</f>
        <v>48.099317283507006</v>
      </c>
      <c r="V7" s="6">
        <f>AVERAGE(V8:V9)</f>
        <v>6.9575000000000005</v>
      </c>
      <c r="W7" s="8">
        <v>16</v>
      </c>
      <c r="X7" s="7">
        <f>T7*V7*W7*0.0036</f>
        <v>7.109400960000001</v>
      </c>
      <c r="Y7" s="7">
        <f>U7*V7*W7*0.0036</f>
        <v>19.2758976</v>
      </c>
      <c r="Z7" s="8">
        <v>30</v>
      </c>
      <c r="AA7" s="8">
        <v>12</v>
      </c>
      <c r="AB7" s="13">
        <f>AVERAGE(AB8:AB9)</f>
        <v>2559.3843456</v>
      </c>
      <c r="AC7" s="13">
        <f>AVERAGE(AC8:AC9)</f>
        <v>6939.323136000001</v>
      </c>
      <c r="AD7" s="4" t="s">
        <v>999</v>
      </c>
      <c r="AE7" s="13">
        <f>(AE8*AG8+AE9*AG9)/(AG8+AG9)</f>
        <v>17.7401509162774</v>
      </c>
      <c r="AF7" s="13">
        <f>(AF8*AG8+AF9*AG9)/(AG8+AG9)</f>
        <v>48.099317283507006</v>
      </c>
      <c r="AG7" s="6">
        <f>AVERAGE(AG8:AG9)</f>
        <v>6.9575000000000005</v>
      </c>
      <c r="AH7" s="8">
        <v>16</v>
      </c>
      <c r="AI7" s="7">
        <f>AE7*AG7*AH7*0.0036</f>
        <v>7.109400960000001</v>
      </c>
      <c r="AJ7" s="7">
        <f>AF7*AG7*AH7*0.0036</f>
        <v>19.2758976</v>
      </c>
      <c r="AK7" s="8">
        <v>30</v>
      </c>
      <c r="AL7" s="8">
        <v>12</v>
      </c>
      <c r="AM7" s="13">
        <f>AVERAGE(AM8:AM9)</f>
        <v>2559.3843456</v>
      </c>
      <c r="AN7" s="80">
        <f>AVERAGE(AN8:AN9)</f>
        <v>6939.323136000001</v>
      </c>
      <c r="AO7" s="131"/>
      <c r="AP7" s="131"/>
      <c r="AQ7" s="131"/>
      <c r="AR7" s="31">
        <f>(T7*V7+AE7*AG7)/(V7+AG7)</f>
        <v>17.7401509162774</v>
      </c>
      <c r="AS7" s="31">
        <f>(U7*V7+AF7*AG7)/(V7+AG7)</f>
        <v>48.099317283507006</v>
      </c>
      <c r="AT7" s="111">
        <f>AVERAGE(V7,AG7)</f>
        <v>6.9575000000000005</v>
      </c>
      <c r="AU7" s="5">
        <v>16</v>
      </c>
      <c r="AV7" s="111">
        <f>AT7*AR7*AU7*0.0036</f>
        <v>7.109400960000001</v>
      </c>
      <c r="AW7" s="111">
        <f>AT7*AS7*AU7*0.0036</f>
        <v>19.2758976</v>
      </c>
      <c r="AX7" s="8">
        <v>30</v>
      </c>
      <c r="AY7" s="8">
        <v>12</v>
      </c>
      <c r="AZ7" s="7">
        <f>AV7*AX7*AY7</f>
        <v>2559.3843456000004</v>
      </c>
      <c r="BA7" s="7">
        <f>AW7*AX7*AY7</f>
        <v>6939.323136</v>
      </c>
      <c r="BB7" s="217">
        <v>80</v>
      </c>
      <c r="BC7" s="217">
        <v>50</v>
      </c>
      <c r="BD7" s="111">
        <f t="shared" si="0"/>
        <v>6.9575000000000005</v>
      </c>
      <c r="BE7" s="8">
        <f t="shared" si="0"/>
        <v>16</v>
      </c>
      <c r="BF7" s="111">
        <f t="shared" si="1"/>
        <v>32.06016</v>
      </c>
      <c r="BG7" s="111">
        <f t="shared" si="2"/>
        <v>20.0376</v>
      </c>
      <c r="BH7" s="8">
        <f t="shared" si="3"/>
        <v>30</v>
      </c>
      <c r="BI7" s="8">
        <f t="shared" si="3"/>
        <v>12</v>
      </c>
      <c r="BJ7" s="111">
        <f t="shared" si="4"/>
        <v>11541.657600000002</v>
      </c>
      <c r="BK7" s="111">
        <f t="shared" si="5"/>
        <v>7213.536</v>
      </c>
      <c r="BL7" s="41">
        <f t="shared" si="6"/>
        <v>7050.520972800001</v>
      </c>
      <c r="BM7" s="41">
        <f t="shared" si="6"/>
        <v>7076.429568</v>
      </c>
      <c r="BN7" s="208">
        <f t="shared" si="7"/>
        <v>11550</v>
      </c>
      <c r="BO7" s="208">
        <f t="shared" si="7"/>
        <v>7220</v>
      </c>
      <c r="BP7" s="208">
        <f t="shared" si="7"/>
        <v>7060</v>
      </c>
      <c r="BQ7" s="208">
        <f t="shared" si="7"/>
        <v>7080</v>
      </c>
      <c r="BR7" s="208">
        <f t="shared" si="8"/>
        <v>7060</v>
      </c>
      <c r="BS7" s="208">
        <f t="shared" si="8"/>
        <v>7080</v>
      </c>
      <c r="BT7" s="208">
        <f t="shared" si="8"/>
        <v>7060</v>
      </c>
      <c r="BU7" s="208">
        <f t="shared" si="8"/>
        <v>7080</v>
      </c>
      <c r="BV7" s="208">
        <f t="shared" si="8"/>
        <v>7060</v>
      </c>
      <c r="BW7" s="208">
        <f t="shared" si="8"/>
        <v>7080</v>
      </c>
    </row>
    <row r="8" spans="1:75" ht="49.5" customHeight="1" hidden="1">
      <c r="A8" s="4"/>
      <c r="B8" s="4"/>
      <c r="C8" s="4"/>
      <c r="D8" s="4"/>
      <c r="E8" s="4"/>
      <c r="F8" s="4"/>
      <c r="G8" s="4"/>
      <c r="H8" s="4"/>
      <c r="I8" s="9"/>
      <c r="J8" s="9"/>
      <c r="K8" s="9"/>
      <c r="L8" s="9"/>
      <c r="M8" s="9"/>
      <c r="N8" s="9"/>
      <c r="O8" s="8"/>
      <c r="P8" s="4"/>
      <c r="Q8" s="8"/>
      <c r="R8" s="8"/>
      <c r="S8" s="4" t="s">
        <v>690</v>
      </c>
      <c r="T8" s="187">
        <v>49.6</v>
      </c>
      <c r="U8" s="187">
        <v>26</v>
      </c>
      <c r="V8" s="41">
        <f>(3.22+1.89+0.29+0.05+0.06)/5</f>
        <v>1.1019999999999999</v>
      </c>
      <c r="W8" s="8">
        <v>16</v>
      </c>
      <c r="X8" s="7">
        <f aca="true" t="shared" si="9" ref="X8:X15">V8*T8*W8*0.0036</f>
        <v>3.14836992</v>
      </c>
      <c r="Y8" s="7">
        <f aca="true" t="shared" si="10" ref="Y8:Y15">V8*U8*W8*0.0036</f>
        <v>1.6503552</v>
      </c>
      <c r="Z8" s="8">
        <v>30</v>
      </c>
      <c r="AA8" s="8">
        <v>12</v>
      </c>
      <c r="AB8" s="13">
        <f>X8*Z8*AA8</f>
        <v>1133.4131711999999</v>
      </c>
      <c r="AC8" s="13">
        <f>Y8*Z8*AA8</f>
        <v>594.127872</v>
      </c>
      <c r="AD8" s="4" t="s">
        <v>690</v>
      </c>
      <c r="AE8" s="187">
        <v>49.6</v>
      </c>
      <c r="AF8" s="187">
        <v>26</v>
      </c>
      <c r="AG8" s="41">
        <f>(3.22+1.89+0.29+0.05+0.06)/5</f>
        <v>1.1019999999999999</v>
      </c>
      <c r="AH8" s="8">
        <v>16</v>
      </c>
      <c r="AI8" s="7">
        <f aca="true" t="shared" si="11" ref="AI8:AI15">AG8*AE8*AH8*0.0036</f>
        <v>3.14836992</v>
      </c>
      <c r="AJ8" s="7">
        <f aca="true" t="shared" si="12" ref="AJ8:AJ15">AG8*AF8*AH8*0.0036</f>
        <v>1.6503552</v>
      </c>
      <c r="AK8" s="8">
        <v>30</v>
      </c>
      <c r="AL8" s="8">
        <v>12</v>
      </c>
      <c r="AM8" s="13">
        <f>AI8*AK8*AL8</f>
        <v>1133.4131711999999</v>
      </c>
      <c r="AN8" s="80">
        <f>AJ8*AK8*AL8</f>
        <v>594.127872</v>
      </c>
      <c r="AO8" s="131"/>
      <c r="AP8" s="131"/>
      <c r="AQ8" s="131"/>
      <c r="AR8" s="131"/>
      <c r="AS8" s="131"/>
      <c r="AT8" s="131"/>
      <c r="AU8" s="8"/>
      <c r="AV8" s="131"/>
      <c r="AW8" s="131"/>
      <c r="AX8" s="8"/>
      <c r="AY8" s="8"/>
      <c r="AZ8" s="131"/>
      <c r="BA8" s="131"/>
      <c r="BB8" s="131"/>
      <c r="BC8" s="131"/>
      <c r="BD8" s="111"/>
      <c r="BE8" s="8"/>
      <c r="BF8" s="111"/>
      <c r="BG8" s="111"/>
      <c r="BH8" s="8"/>
      <c r="BI8" s="8"/>
      <c r="BJ8" s="111"/>
      <c r="BK8" s="111"/>
      <c r="BL8" s="41"/>
      <c r="BM8" s="41"/>
      <c r="BN8" s="208"/>
      <c r="BO8" s="208"/>
      <c r="BP8" s="208"/>
      <c r="BQ8" s="208"/>
      <c r="BR8" s="208"/>
      <c r="BS8" s="208"/>
      <c r="BT8" s="208"/>
      <c r="BU8" s="208"/>
      <c r="BV8" s="208"/>
      <c r="BW8" s="208"/>
    </row>
    <row r="9" spans="1:75" ht="49.5" customHeight="1" hidden="1">
      <c r="A9" s="4"/>
      <c r="B9" s="4"/>
      <c r="C9" s="4"/>
      <c r="D9" s="4"/>
      <c r="E9" s="4"/>
      <c r="F9" s="4"/>
      <c r="G9" s="4"/>
      <c r="H9" s="4"/>
      <c r="I9" s="9"/>
      <c r="J9" s="9"/>
      <c r="K9" s="9"/>
      <c r="L9" s="9"/>
      <c r="M9" s="9"/>
      <c r="N9" s="9"/>
      <c r="O9" s="8"/>
      <c r="P9" s="4"/>
      <c r="Q9" s="8"/>
      <c r="R9" s="8"/>
      <c r="S9" s="4" t="s">
        <v>691</v>
      </c>
      <c r="T9" s="187">
        <v>15</v>
      </c>
      <c r="U9" s="187">
        <v>50</v>
      </c>
      <c r="V9" s="187">
        <v>12.813</v>
      </c>
      <c r="W9" s="8">
        <v>16</v>
      </c>
      <c r="X9" s="7">
        <f t="shared" si="9"/>
        <v>11.070432</v>
      </c>
      <c r="Y9" s="7">
        <f t="shared" si="10"/>
        <v>36.90144</v>
      </c>
      <c r="Z9" s="8">
        <v>30</v>
      </c>
      <c r="AA9" s="8">
        <v>12</v>
      </c>
      <c r="AB9" s="13">
        <f>X9*Z9*AA9</f>
        <v>3985.35552</v>
      </c>
      <c r="AC9" s="13">
        <f>Y9*Z9*AA9</f>
        <v>13284.5184</v>
      </c>
      <c r="AD9" s="4" t="s">
        <v>691</v>
      </c>
      <c r="AE9" s="187">
        <v>15</v>
      </c>
      <c r="AF9" s="187">
        <v>50</v>
      </c>
      <c r="AG9" s="187">
        <v>12.813</v>
      </c>
      <c r="AH9" s="8">
        <v>16</v>
      </c>
      <c r="AI9" s="7">
        <f t="shared" si="11"/>
        <v>11.070432</v>
      </c>
      <c r="AJ9" s="7">
        <f t="shared" si="12"/>
        <v>36.90144</v>
      </c>
      <c r="AK9" s="8">
        <v>30</v>
      </c>
      <c r="AL9" s="8">
        <v>12</v>
      </c>
      <c r="AM9" s="13">
        <f>AI9*AK9*AL9</f>
        <v>3985.35552</v>
      </c>
      <c r="AN9" s="80">
        <f>AJ9*AK9*AL9</f>
        <v>13284.5184</v>
      </c>
      <c r="AO9" s="131"/>
      <c r="AP9" s="131"/>
      <c r="AQ9" s="131"/>
      <c r="AR9" s="131"/>
      <c r="AS9" s="131"/>
      <c r="AT9" s="131"/>
      <c r="AU9" s="5"/>
      <c r="AV9" s="131"/>
      <c r="AW9" s="131"/>
      <c r="AX9" s="5"/>
      <c r="AY9" s="5"/>
      <c r="AZ9" s="131"/>
      <c r="BA9" s="131"/>
      <c r="BB9" s="131"/>
      <c r="BC9" s="131"/>
      <c r="BD9" s="111"/>
      <c r="BE9" s="8"/>
      <c r="BF9" s="111"/>
      <c r="BG9" s="111"/>
      <c r="BH9" s="8"/>
      <c r="BI9" s="8"/>
      <c r="BJ9" s="111"/>
      <c r="BK9" s="111"/>
      <c r="BL9" s="41"/>
      <c r="BM9" s="41"/>
      <c r="BN9" s="208"/>
      <c r="BO9" s="208"/>
      <c r="BP9" s="208"/>
      <c r="BQ9" s="208"/>
      <c r="BR9" s="208"/>
      <c r="BS9" s="208"/>
      <c r="BT9" s="208"/>
      <c r="BU9" s="208"/>
      <c r="BV9" s="208"/>
      <c r="BW9" s="208"/>
    </row>
    <row r="10" spans="1:75" ht="49.5" customHeight="1">
      <c r="A10" s="4">
        <v>143</v>
      </c>
      <c r="B10" s="4" t="s">
        <v>19</v>
      </c>
      <c r="C10" s="4" t="s">
        <v>19</v>
      </c>
      <c r="D10" s="4">
        <v>2</v>
      </c>
      <c r="E10" s="4" t="s">
        <v>151</v>
      </c>
      <c r="F10" s="4" t="s">
        <v>347</v>
      </c>
      <c r="G10" s="4" t="s">
        <v>152</v>
      </c>
      <c r="H10" s="4" t="s">
        <v>11</v>
      </c>
      <c r="I10" s="9" t="s">
        <v>67</v>
      </c>
      <c r="J10" s="9" t="s">
        <v>67</v>
      </c>
      <c r="K10" s="9" t="s">
        <v>67</v>
      </c>
      <c r="L10" s="9" t="s">
        <v>67</v>
      </c>
      <c r="M10" s="9" t="s">
        <v>67</v>
      </c>
      <c r="N10" s="9" t="s">
        <v>67</v>
      </c>
      <c r="O10" s="4" t="s">
        <v>51</v>
      </c>
      <c r="P10" s="4" t="s">
        <v>55</v>
      </c>
      <c r="Q10" s="8" t="s">
        <v>801</v>
      </c>
      <c r="R10" s="8" t="s">
        <v>953</v>
      </c>
      <c r="S10" s="4" t="s">
        <v>1261</v>
      </c>
      <c r="T10" s="8">
        <v>39</v>
      </c>
      <c r="U10" s="8">
        <v>26.7</v>
      </c>
      <c r="V10" s="7">
        <v>5.157</v>
      </c>
      <c r="W10" s="8">
        <v>8</v>
      </c>
      <c r="X10" s="7">
        <f t="shared" si="9"/>
        <v>5.7923424</v>
      </c>
      <c r="Y10" s="7">
        <f t="shared" si="10"/>
        <v>3.96552672</v>
      </c>
      <c r="Z10" s="8">
        <v>30</v>
      </c>
      <c r="AA10" s="8">
        <v>12</v>
      </c>
      <c r="AB10" s="13">
        <f>X10*Z10*AA10</f>
        <v>2085.243264</v>
      </c>
      <c r="AC10" s="13">
        <f>Y10*Z10*AA10</f>
        <v>1427.5896192</v>
      </c>
      <c r="AD10" s="4" t="s">
        <v>1290</v>
      </c>
      <c r="AE10" s="187">
        <v>45</v>
      </c>
      <c r="AF10" s="187">
        <v>20</v>
      </c>
      <c r="AG10" s="41">
        <v>1.52</v>
      </c>
      <c r="AH10" s="8">
        <v>8</v>
      </c>
      <c r="AI10" s="7">
        <f t="shared" si="11"/>
        <v>1.9699200000000001</v>
      </c>
      <c r="AJ10" s="7">
        <f t="shared" si="12"/>
        <v>0.87552</v>
      </c>
      <c r="AK10" s="8">
        <v>30</v>
      </c>
      <c r="AL10" s="8">
        <v>12</v>
      </c>
      <c r="AM10" s="13">
        <f aca="true" t="shared" si="13" ref="AM10:AM24">AI10*AK10*AL10</f>
        <v>709.1712</v>
      </c>
      <c r="AN10" s="80">
        <f aca="true" t="shared" si="14" ref="AN10:AN24">AJ10*AK10*AL10</f>
        <v>315.18719999999996</v>
      </c>
      <c r="AO10" s="131"/>
      <c r="AP10" s="131"/>
      <c r="AQ10" s="131"/>
      <c r="AR10" s="31">
        <f aca="true" t="shared" si="15" ref="AR10:AR25">(T10*V10+AE10*AG10)/(V10+AG10)</f>
        <v>40.36588288153363</v>
      </c>
      <c r="AS10" s="31">
        <f aca="true" t="shared" si="16" ref="AS10:AS25">(U10*V10+AF10*AG10)/(V10+AG10)</f>
        <v>25.17476411562079</v>
      </c>
      <c r="AT10" s="111">
        <f aca="true" t="shared" si="17" ref="AT10:AT25">AVERAGE(V10,AG10)</f>
        <v>3.3385</v>
      </c>
      <c r="AU10" s="8">
        <v>8</v>
      </c>
      <c r="AV10" s="111">
        <f aca="true" t="shared" si="18" ref="AV10:AV25">AT10*AR10*AU10*0.0036</f>
        <v>3.8811312000000004</v>
      </c>
      <c r="AW10" s="111">
        <f aca="true" t="shared" si="19" ref="AW10:AW25">AT10*AS10*AU10*0.0036</f>
        <v>2.4205233600000002</v>
      </c>
      <c r="AX10" s="8">
        <v>30</v>
      </c>
      <c r="AY10" s="8">
        <v>12</v>
      </c>
      <c r="AZ10" s="7">
        <f aca="true" t="shared" si="20" ref="AZ10:AZ25">AV10*AX10*AY10</f>
        <v>1397.2072320000002</v>
      </c>
      <c r="BA10" s="7">
        <f aca="true" t="shared" si="21" ref="BA10:BA25">AW10*AX10*AY10</f>
        <v>871.3884096000002</v>
      </c>
      <c r="BB10" s="217">
        <v>80</v>
      </c>
      <c r="BC10" s="217">
        <v>50</v>
      </c>
      <c r="BD10" s="111">
        <f t="shared" si="0"/>
        <v>3.3385</v>
      </c>
      <c r="BE10" s="8">
        <v>8</v>
      </c>
      <c r="BF10" s="111">
        <f t="shared" si="1"/>
        <v>7.691903999999999</v>
      </c>
      <c r="BG10" s="111">
        <f t="shared" si="2"/>
        <v>4.80744</v>
      </c>
      <c r="BH10" s="8">
        <f t="shared" si="3"/>
        <v>30</v>
      </c>
      <c r="BI10" s="8">
        <f t="shared" si="3"/>
        <v>12</v>
      </c>
      <c r="BJ10" s="111">
        <f t="shared" si="4"/>
        <v>2769.08544</v>
      </c>
      <c r="BK10" s="111">
        <f t="shared" si="5"/>
        <v>1730.6783999999998</v>
      </c>
      <c r="BL10" s="41">
        <f t="shared" si="6"/>
        <v>2083.146336</v>
      </c>
      <c r="BM10" s="41">
        <f t="shared" si="6"/>
        <v>1301.0334048</v>
      </c>
      <c r="BN10" s="208">
        <f aca="true" t="shared" si="22" ref="BN10:BQ25">ROUNDUP(BJ10,-1)</f>
        <v>2770</v>
      </c>
      <c r="BO10" s="208">
        <f t="shared" si="22"/>
        <v>1740</v>
      </c>
      <c r="BP10" s="208">
        <f t="shared" si="22"/>
        <v>2090</v>
      </c>
      <c r="BQ10" s="208">
        <f t="shared" si="22"/>
        <v>1310</v>
      </c>
      <c r="BR10" s="208">
        <f aca="true" t="shared" si="23" ref="BR10:BW25">BP10</f>
        <v>2090</v>
      </c>
      <c r="BS10" s="208">
        <f t="shared" si="23"/>
        <v>1310</v>
      </c>
      <c r="BT10" s="208">
        <f t="shared" si="23"/>
        <v>2090</v>
      </c>
      <c r="BU10" s="208">
        <f t="shared" si="23"/>
        <v>1310</v>
      </c>
      <c r="BV10" s="208">
        <f t="shared" si="23"/>
        <v>2090</v>
      </c>
      <c r="BW10" s="208">
        <f t="shared" si="23"/>
        <v>1310</v>
      </c>
    </row>
    <row r="11" spans="1:75" ht="49.5" customHeight="1">
      <c r="A11" s="4">
        <v>144</v>
      </c>
      <c r="B11" s="4" t="s">
        <v>326</v>
      </c>
      <c r="C11" s="4" t="s">
        <v>19</v>
      </c>
      <c r="D11" s="4">
        <v>2</v>
      </c>
      <c r="E11" s="4" t="s">
        <v>153</v>
      </c>
      <c r="F11" s="4" t="s">
        <v>348</v>
      </c>
      <c r="G11" s="4" t="s">
        <v>154</v>
      </c>
      <c r="H11" s="4" t="s">
        <v>486</v>
      </c>
      <c r="I11" s="17" t="s">
        <v>573</v>
      </c>
      <c r="J11" s="25">
        <v>43207</v>
      </c>
      <c r="K11" s="25">
        <v>43207</v>
      </c>
      <c r="L11" s="25">
        <v>43223</v>
      </c>
      <c r="M11" s="9" t="s">
        <v>74</v>
      </c>
      <c r="N11" s="25">
        <v>45048</v>
      </c>
      <c r="O11" s="8" t="s">
        <v>51</v>
      </c>
      <c r="P11" s="4" t="s">
        <v>55</v>
      </c>
      <c r="Q11" s="8" t="s">
        <v>802</v>
      </c>
      <c r="R11" s="8" t="s">
        <v>954</v>
      </c>
      <c r="S11" s="4" t="s">
        <v>1259</v>
      </c>
      <c r="T11" s="8">
        <v>14.3</v>
      </c>
      <c r="U11" s="8">
        <v>19.6</v>
      </c>
      <c r="V11" s="31">
        <v>1.3</v>
      </c>
      <c r="W11" s="8">
        <v>16</v>
      </c>
      <c r="X11" s="7">
        <f t="shared" si="9"/>
        <v>1.070784</v>
      </c>
      <c r="Y11" s="7">
        <f t="shared" si="10"/>
        <v>1.4676480000000003</v>
      </c>
      <c r="Z11" s="8">
        <v>30</v>
      </c>
      <c r="AA11" s="8">
        <v>12</v>
      </c>
      <c r="AB11" s="13">
        <f aca="true" t="shared" si="24" ref="AB11:AB24">X11*Z11*AA11</f>
        <v>385.48224</v>
      </c>
      <c r="AC11" s="13">
        <f aca="true" t="shared" si="25" ref="AC11:AC24">Y11*Z11*AA11</f>
        <v>528.35328</v>
      </c>
      <c r="AD11" s="4" t="s">
        <v>1012</v>
      </c>
      <c r="AE11" s="187">
        <v>44</v>
      </c>
      <c r="AF11" s="187">
        <v>20</v>
      </c>
      <c r="AG11" s="126">
        <v>1.3</v>
      </c>
      <c r="AH11" s="8">
        <v>16</v>
      </c>
      <c r="AI11" s="7">
        <f t="shared" si="11"/>
        <v>3.29472</v>
      </c>
      <c r="AJ11" s="7">
        <f t="shared" si="12"/>
        <v>1.4976</v>
      </c>
      <c r="AK11" s="8">
        <v>30</v>
      </c>
      <c r="AL11" s="8">
        <v>12</v>
      </c>
      <c r="AM11" s="13">
        <f t="shared" si="13"/>
        <v>1186.0992</v>
      </c>
      <c r="AN11" s="80">
        <f t="shared" si="14"/>
        <v>539.1360000000001</v>
      </c>
      <c r="AO11" s="191" t="s">
        <v>1276</v>
      </c>
      <c r="AP11" s="191">
        <v>90</v>
      </c>
      <c r="AQ11" s="191">
        <v>90</v>
      </c>
      <c r="AR11" s="31">
        <f t="shared" si="15"/>
        <v>29.150000000000002</v>
      </c>
      <c r="AS11" s="31">
        <f t="shared" si="16"/>
        <v>19.8</v>
      </c>
      <c r="AT11" s="111">
        <f t="shared" si="17"/>
        <v>1.3</v>
      </c>
      <c r="AU11" s="8">
        <v>16</v>
      </c>
      <c r="AV11" s="111">
        <f t="shared" si="18"/>
        <v>2.1827520000000002</v>
      </c>
      <c r="AW11" s="111">
        <f t="shared" si="19"/>
        <v>1.4826240000000002</v>
      </c>
      <c r="AX11" s="8">
        <v>30</v>
      </c>
      <c r="AY11" s="8">
        <v>12</v>
      </c>
      <c r="AZ11" s="7">
        <f t="shared" si="20"/>
        <v>785.7907200000001</v>
      </c>
      <c r="BA11" s="7">
        <f t="shared" si="21"/>
        <v>533.74464</v>
      </c>
      <c r="BB11" s="5">
        <v>90</v>
      </c>
      <c r="BC11" s="5">
        <v>90</v>
      </c>
      <c r="BD11" s="111">
        <f t="shared" si="0"/>
        <v>1.3</v>
      </c>
      <c r="BE11" s="8">
        <f t="shared" si="0"/>
        <v>16</v>
      </c>
      <c r="BF11" s="111">
        <f t="shared" si="1"/>
        <v>6.739199999999999</v>
      </c>
      <c r="BG11" s="111">
        <f t="shared" si="2"/>
        <v>6.739199999999999</v>
      </c>
      <c r="BH11" s="8">
        <f t="shared" si="3"/>
        <v>30</v>
      </c>
      <c r="BI11" s="8">
        <f t="shared" si="3"/>
        <v>12</v>
      </c>
      <c r="BJ11" s="111">
        <f t="shared" si="4"/>
        <v>2426.112</v>
      </c>
      <c r="BK11" s="111">
        <f t="shared" si="5"/>
        <v>2426.112</v>
      </c>
      <c r="BL11" s="41">
        <f t="shared" si="6"/>
        <v>1605.95136</v>
      </c>
      <c r="BM11" s="41">
        <f t="shared" si="6"/>
        <v>1479.92832</v>
      </c>
      <c r="BN11" s="208">
        <f t="shared" si="22"/>
        <v>2430</v>
      </c>
      <c r="BO11" s="208">
        <f t="shared" si="22"/>
        <v>2430</v>
      </c>
      <c r="BP11" s="208">
        <f t="shared" si="22"/>
        <v>1610</v>
      </c>
      <c r="BQ11" s="208">
        <f t="shared" si="22"/>
        <v>1480</v>
      </c>
      <c r="BR11" s="208">
        <f t="shared" si="23"/>
        <v>1610</v>
      </c>
      <c r="BS11" s="208">
        <f t="shared" si="23"/>
        <v>1480</v>
      </c>
      <c r="BT11" s="208">
        <f t="shared" si="23"/>
        <v>1610</v>
      </c>
      <c r="BU11" s="208">
        <f t="shared" si="23"/>
        <v>1480</v>
      </c>
      <c r="BV11" s="208">
        <f t="shared" si="23"/>
        <v>1610</v>
      </c>
      <c r="BW11" s="208">
        <f t="shared" si="23"/>
        <v>1480</v>
      </c>
    </row>
    <row r="12" spans="1:75" ht="49.5" customHeight="1">
      <c r="A12" s="4">
        <v>145</v>
      </c>
      <c r="B12" s="4" t="s">
        <v>19</v>
      </c>
      <c r="C12" s="4" t="s">
        <v>19</v>
      </c>
      <c r="D12" s="4">
        <v>2</v>
      </c>
      <c r="E12" s="4" t="s">
        <v>146</v>
      </c>
      <c r="F12" s="4" t="s">
        <v>192</v>
      </c>
      <c r="G12" s="4" t="s">
        <v>469</v>
      </c>
      <c r="H12" s="4" t="s">
        <v>486</v>
      </c>
      <c r="I12" s="17" t="s">
        <v>567</v>
      </c>
      <c r="J12" s="17" t="s">
        <v>336</v>
      </c>
      <c r="K12" s="25">
        <v>42913</v>
      </c>
      <c r="L12" s="25">
        <v>42929</v>
      </c>
      <c r="M12" s="9" t="s">
        <v>74</v>
      </c>
      <c r="N12" s="25">
        <v>44754</v>
      </c>
      <c r="O12" s="8" t="s">
        <v>51</v>
      </c>
      <c r="P12" s="8" t="s">
        <v>55</v>
      </c>
      <c r="Q12" s="8" t="s">
        <v>803</v>
      </c>
      <c r="R12" s="8" t="s">
        <v>955</v>
      </c>
      <c r="S12" s="4" t="s">
        <v>1260</v>
      </c>
      <c r="T12" s="8">
        <v>5.07</v>
      </c>
      <c r="U12" s="8">
        <v>10</v>
      </c>
      <c r="V12" s="7">
        <v>3.029</v>
      </c>
      <c r="W12" s="8">
        <v>16</v>
      </c>
      <c r="X12" s="7">
        <f t="shared" si="9"/>
        <v>0.884564928</v>
      </c>
      <c r="Y12" s="7">
        <f t="shared" si="10"/>
        <v>1.7447039999999998</v>
      </c>
      <c r="Z12" s="8">
        <v>30</v>
      </c>
      <c r="AA12" s="8">
        <v>12</v>
      </c>
      <c r="AB12" s="13">
        <f t="shared" si="24"/>
        <v>318.44337408</v>
      </c>
      <c r="AC12" s="13">
        <f t="shared" si="25"/>
        <v>628.09344</v>
      </c>
      <c r="AD12" s="4" t="s">
        <v>1013</v>
      </c>
      <c r="AE12" s="8">
        <v>21.86</v>
      </c>
      <c r="AF12" s="8">
        <v>13</v>
      </c>
      <c r="AG12" s="7">
        <v>0.677</v>
      </c>
      <c r="AH12" s="8">
        <v>16</v>
      </c>
      <c r="AI12" s="7">
        <f t="shared" si="11"/>
        <v>0.852435072</v>
      </c>
      <c r="AJ12" s="7">
        <f t="shared" si="12"/>
        <v>0.5069376</v>
      </c>
      <c r="AK12" s="8">
        <v>30</v>
      </c>
      <c r="AL12" s="8">
        <v>12</v>
      </c>
      <c r="AM12" s="13">
        <f t="shared" si="13"/>
        <v>306.87662592</v>
      </c>
      <c r="AN12" s="80">
        <f t="shared" si="14"/>
        <v>182.497536</v>
      </c>
      <c r="AO12" s="191" t="s">
        <v>1277</v>
      </c>
      <c r="AP12" s="191">
        <v>50</v>
      </c>
      <c r="AQ12" s="191">
        <v>50</v>
      </c>
      <c r="AR12" s="31">
        <f t="shared" si="15"/>
        <v>8.137142471667566</v>
      </c>
      <c r="AS12" s="31">
        <f t="shared" si="16"/>
        <v>10.548030221262817</v>
      </c>
      <c r="AT12" s="111">
        <f>AVERAGE(V12,AG12)</f>
        <v>1.853</v>
      </c>
      <c r="AU12" s="8">
        <v>16</v>
      </c>
      <c r="AV12" s="111">
        <f t="shared" si="18"/>
        <v>0.8684999999999999</v>
      </c>
      <c r="AW12" s="111">
        <f t="shared" si="19"/>
        <v>1.1258208</v>
      </c>
      <c r="AX12" s="8">
        <v>30</v>
      </c>
      <c r="AY12" s="8">
        <v>12</v>
      </c>
      <c r="AZ12" s="7">
        <f t="shared" si="20"/>
        <v>312.65999999999997</v>
      </c>
      <c r="BA12" s="7">
        <f t="shared" si="21"/>
        <v>405.29548800000003</v>
      </c>
      <c r="BB12" s="217">
        <v>50</v>
      </c>
      <c r="BC12" s="217">
        <v>50</v>
      </c>
      <c r="BD12" s="111">
        <f>AT12</f>
        <v>1.853</v>
      </c>
      <c r="BE12" s="8">
        <f t="shared" si="0"/>
        <v>16</v>
      </c>
      <c r="BF12" s="111">
        <f t="shared" si="1"/>
        <v>5.33664</v>
      </c>
      <c r="BG12" s="111">
        <f t="shared" si="2"/>
        <v>5.33664</v>
      </c>
      <c r="BH12" s="8">
        <f t="shared" si="3"/>
        <v>30</v>
      </c>
      <c r="BI12" s="8">
        <f t="shared" si="3"/>
        <v>12</v>
      </c>
      <c r="BJ12" s="111">
        <f t="shared" si="4"/>
        <v>1921.1904</v>
      </c>
      <c r="BK12" s="111">
        <f t="shared" si="5"/>
        <v>1921.1904</v>
      </c>
      <c r="BL12" s="41">
        <f t="shared" si="6"/>
        <v>1116.9252</v>
      </c>
      <c r="BM12" s="41">
        <f t="shared" si="6"/>
        <v>1163.242944</v>
      </c>
      <c r="BN12" s="208">
        <f t="shared" si="22"/>
        <v>1930</v>
      </c>
      <c r="BO12" s="208">
        <f t="shared" si="22"/>
        <v>1930</v>
      </c>
      <c r="BP12" s="208">
        <f>BN12</f>
        <v>1930</v>
      </c>
      <c r="BQ12" s="208">
        <f>BO12</f>
        <v>1930</v>
      </c>
      <c r="BR12" s="208">
        <f t="shared" si="23"/>
        <v>1930</v>
      </c>
      <c r="BS12" s="208">
        <f t="shared" si="23"/>
        <v>1930</v>
      </c>
      <c r="BT12" s="208">
        <f t="shared" si="23"/>
        <v>1930</v>
      </c>
      <c r="BU12" s="208">
        <f t="shared" si="23"/>
        <v>1930</v>
      </c>
      <c r="BV12" s="208">
        <f t="shared" si="23"/>
        <v>1930</v>
      </c>
      <c r="BW12" s="208">
        <f t="shared" si="23"/>
        <v>1930</v>
      </c>
    </row>
    <row r="13" spans="1:75" ht="49.5" customHeight="1">
      <c r="A13" s="8">
        <v>146</v>
      </c>
      <c r="B13" s="4" t="s">
        <v>50</v>
      </c>
      <c r="C13" s="4" t="s">
        <v>19</v>
      </c>
      <c r="D13" s="4">
        <v>2</v>
      </c>
      <c r="E13" s="218" t="s">
        <v>681</v>
      </c>
      <c r="F13" s="218" t="s">
        <v>612</v>
      </c>
      <c r="G13" s="11" t="s">
        <v>669</v>
      </c>
      <c r="H13" s="216" t="s">
        <v>11</v>
      </c>
      <c r="I13" s="62"/>
      <c r="J13" s="57"/>
      <c r="K13" s="25"/>
      <c r="L13" s="25"/>
      <c r="M13" s="9"/>
      <c r="N13" s="25"/>
      <c r="O13" s="8" t="s">
        <v>51</v>
      </c>
      <c r="P13" s="8" t="s">
        <v>55</v>
      </c>
      <c r="Q13" s="8" t="s">
        <v>804</v>
      </c>
      <c r="R13" s="8" t="s">
        <v>956</v>
      </c>
      <c r="S13" s="4"/>
      <c r="T13" s="186"/>
      <c r="U13" s="190"/>
      <c r="V13" s="8"/>
      <c r="W13" s="44"/>
      <c r="X13" s="7"/>
      <c r="Y13" s="7"/>
      <c r="Z13" s="187"/>
      <c r="AA13" s="187"/>
      <c r="AB13" s="51"/>
      <c r="AC13" s="51"/>
      <c r="AD13" s="4" t="s">
        <v>671</v>
      </c>
      <c r="AE13" s="8">
        <v>6.8</v>
      </c>
      <c r="AF13" s="64">
        <v>7.8</v>
      </c>
      <c r="AG13" s="8">
        <v>0.2</v>
      </c>
      <c r="AH13" s="44">
        <v>12</v>
      </c>
      <c r="AI13" s="7">
        <f t="shared" si="11"/>
        <v>0.058752</v>
      </c>
      <c r="AJ13" s="7">
        <f t="shared" si="12"/>
        <v>0.067392</v>
      </c>
      <c r="AK13" s="187">
        <v>30</v>
      </c>
      <c r="AL13" s="187">
        <v>12</v>
      </c>
      <c r="AM13" s="51">
        <f t="shared" si="13"/>
        <v>21.15072</v>
      </c>
      <c r="AN13" s="86">
        <f t="shared" si="14"/>
        <v>24.26112</v>
      </c>
      <c r="AO13" s="184"/>
      <c r="AP13" s="184"/>
      <c r="AQ13" s="184"/>
      <c r="AR13" s="31">
        <f t="shared" si="15"/>
        <v>6.8</v>
      </c>
      <c r="AS13" s="31">
        <f t="shared" si="16"/>
        <v>7.8</v>
      </c>
      <c r="AT13" s="111">
        <f t="shared" si="17"/>
        <v>0.2</v>
      </c>
      <c r="AU13" s="44">
        <v>12</v>
      </c>
      <c r="AV13" s="111">
        <f t="shared" si="18"/>
        <v>0.058752</v>
      </c>
      <c r="AW13" s="111">
        <f t="shared" si="19"/>
        <v>0.067392</v>
      </c>
      <c r="AX13" s="187">
        <v>30</v>
      </c>
      <c r="AY13" s="187">
        <v>12</v>
      </c>
      <c r="AZ13" s="7">
        <f t="shared" si="20"/>
        <v>21.15072</v>
      </c>
      <c r="BA13" s="7">
        <f t="shared" si="21"/>
        <v>24.26112</v>
      </c>
      <c r="BB13" s="5">
        <v>90</v>
      </c>
      <c r="BC13" s="5">
        <v>90</v>
      </c>
      <c r="BD13" s="111">
        <f t="shared" si="0"/>
        <v>0.2</v>
      </c>
      <c r="BE13" s="8">
        <f t="shared" si="0"/>
        <v>12</v>
      </c>
      <c r="BF13" s="111">
        <f t="shared" si="1"/>
        <v>0.7776</v>
      </c>
      <c r="BG13" s="111">
        <f t="shared" si="2"/>
        <v>0.7776</v>
      </c>
      <c r="BH13" s="8">
        <f t="shared" si="3"/>
        <v>30</v>
      </c>
      <c r="BI13" s="8">
        <f t="shared" si="3"/>
        <v>12</v>
      </c>
      <c r="BJ13" s="111">
        <f t="shared" si="4"/>
        <v>279.936</v>
      </c>
      <c r="BK13" s="111">
        <f t="shared" si="5"/>
        <v>279.936</v>
      </c>
      <c r="BL13" s="41">
        <f t="shared" si="6"/>
        <v>150.54335999999998</v>
      </c>
      <c r="BM13" s="41">
        <f t="shared" si="6"/>
        <v>152.09856</v>
      </c>
      <c r="BN13" s="208">
        <f t="shared" si="22"/>
        <v>280</v>
      </c>
      <c r="BO13" s="208">
        <f t="shared" si="22"/>
        <v>280</v>
      </c>
      <c r="BP13" s="208">
        <f t="shared" si="22"/>
        <v>160</v>
      </c>
      <c r="BQ13" s="208">
        <f t="shared" si="22"/>
        <v>160</v>
      </c>
      <c r="BR13" s="208">
        <f t="shared" si="23"/>
        <v>160</v>
      </c>
      <c r="BS13" s="208">
        <f t="shared" si="23"/>
        <v>160</v>
      </c>
      <c r="BT13" s="208">
        <f t="shared" si="23"/>
        <v>160</v>
      </c>
      <c r="BU13" s="208">
        <f t="shared" si="23"/>
        <v>160</v>
      </c>
      <c r="BV13" s="208">
        <f t="shared" si="23"/>
        <v>160</v>
      </c>
      <c r="BW13" s="208">
        <f t="shared" si="23"/>
        <v>160</v>
      </c>
    </row>
    <row r="14" spans="1:75" ht="49.5" customHeight="1">
      <c r="A14" s="246">
        <v>147</v>
      </c>
      <c r="B14" s="246" t="s">
        <v>436</v>
      </c>
      <c r="C14" s="246" t="s">
        <v>19</v>
      </c>
      <c r="D14" s="246">
        <v>2</v>
      </c>
      <c r="E14" s="246" t="s">
        <v>208</v>
      </c>
      <c r="F14" s="246" t="s">
        <v>217</v>
      </c>
      <c r="G14" s="246" t="s">
        <v>472</v>
      </c>
      <c r="H14" s="244" t="s">
        <v>11</v>
      </c>
      <c r="I14" s="317" t="s">
        <v>67</v>
      </c>
      <c r="J14" s="317" t="s">
        <v>67</v>
      </c>
      <c r="K14" s="317" t="s">
        <v>67</v>
      </c>
      <c r="L14" s="317" t="s">
        <v>67</v>
      </c>
      <c r="M14" s="317" t="s">
        <v>67</v>
      </c>
      <c r="N14" s="317" t="s">
        <v>67</v>
      </c>
      <c r="O14" s="244" t="s">
        <v>51</v>
      </c>
      <c r="P14" s="8" t="s">
        <v>55</v>
      </c>
      <c r="Q14" s="4" t="s">
        <v>805</v>
      </c>
      <c r="R14" s="4" t="s">
        <v>873</v>
      </c>
      <c r="S14" s="4" t="s">
        <v>1262</v>
      </c>
      <c r="T14" s="8">
        <v>21.8</v>
      </c>
      <c r="U14" s="8">
        <v>7.33</v>
      </c>
      <c r="V14" s="8">
        <f>(0.01+0.01+0.02+0.01+0.01)/5</f>
        <v>0.012</v>
      </c>
      <c r="W14" s="8">
        <v>8</v>
      </c>
      <c r="X14" s="7">
        <f t="shared" si="9"/>
        <v>0.007534079999999999</v>
      </c>
      <c r="Y14" s="7">
        <f t="shared" si="10"/>
        <v>0.0025332479999999997</v>
      </c>
      <c r="Z14" s="8">
        <v>30</v>
      </c>
      <c r="AA14" s="8">
        <v>12</v>
      </c>
      <c r="AB14" s="13">
        <f t="shared" si="24"/>
        <v>2.7122688</v>
      </c>
      <c r="AC14" s="13">
        <f t="shared" si="25"/>
        <v>0.9119692799999999</v>
      </c>
      <c r="AD14" s="11" t="s">
        <v>1014</v>
      </c>
      <c r="AE14" s="8">
        <v>21.8</v>
      </c>
      <c r="AF14" s="8">
        <v>7.33</v>
      </c>
      <c r="AG14" s="8">
        <f>(0.01+0.01+0.02+0.01+0.01)/5</f>
        <v>0.012</v>
      </c>
      <c r="AH14" s="8">
        <v>8</v>
      </c>
      <c r="AI14" s="7">
        <f t="shared" si="11"/>
        <v>0.007534079999999999</v>
      </c>
      <c r="AJ14" s="7">
        <f t="shared" si="12"/>
        <v>0.0025332479999999997</v>
      </c>
      <c r="AK14" s="8">
        <v>30</v>
      </c>
      <c r="AL14" s="8">
        <v>12</v>
      </c>
      <c r="AM14" s="13">
        <f t="shared" si="13"/>
        <v>2.7122688</v>
      </c>
      <c r="AN14" s="80">
        <f t="shared" si="14"/>
        <v>0.9119692799999999</v>
      </c>
      <c r="AO14" s="131"/>
      <c r="AP14" s="131"/>
      <c r="AQ14" s="131"/>
      <c r="AR14" s="31">
        <f t="shared" si="15"/>
        <v>21.8</v>
      </c>
      <c r="AS14" s="31">
        <f t="shared" si="16"/>
        <v>7.329999999999999</v>
      </c>
      <c r="AT14" s="111">
        <f t="shared" si="17"/>
        <v>0.012</v>
      </c>
      <c r="AU14" s="217">
        <v>8</v>
      </c>
      <c r="AV14" s="111">
        <f t="shared" si="18"/>
        <v>0.007534079999999999</v>
      </c>
      <c r="AW14" s="111">
        <f t="shared" si="19"/>
        <v>0.0025332479999999997</v>
      </c>
      <c r="AX14" s="8">
        <v>30</v>
      </c>
      <c r="AY14" s="8">
        <v>12</v>
      </c>
      <c r="AZ14" s="7">
        <f t="shared" si="20"/>
        <v>2.7122688</v>
      </c>
      <c r="BA14" s="7">
        <f t="shared" si="21"/>
        <v>0.9119692799999999</v>
      </c>
      <c r="BB14" s="5">
        <v>90</v>
      </c>
      <c r="BC14" s="5">
        <v>90</v>
      </c>
      <c r="BD14" s="111">
        <f t="shared" si="0"/>
        <v>0.012</v>
      </c>
      <c r="BE14" s="8">
        <f t="shared" si="0"/>
        <v>8</v>
      </c>
      <c r="BF14" s="111">
        <f t="shared" si="1"/>
        <v>0.031104</v>
      </c>
      <c r="BG14" s="111">
        <f t="shared" si="2"/>
        <v>0.031104</v>
      </c>
      <c r="BH14" s="8">
        <f t="shared" si="3"/>
        <v>30</v>
      </c>
      <c r="BI14" s="8">
        <f t="shared" si="3"/>
        <v>12</v>
      </c>
      <c r="BJ14" s="111">
        <f t="shared" si="4"/>
        <v>11.19744</v>
      </c>
      <c r="BK14" s="111">
        <f t="shared" si="5"/>
        <v>11.19744</v>
      </c>
      <c r="BL14" s="41">
        <f t="shared" si="6"/>
        <v>6.9548544</v>
      </c>
      <c r="BM14" s="41">
        <f t="shared" si="6"/>
        <v>6.05470464</v>
      </c>
      <c r="BN14" s="208">
        <f>ROUNDUP(BJ14,-1)</f>
        <v>20</v>
      </c>
      <c r="BO14" s="208">
        <f>ROUNDUP(BK14,-1)</f>
        <v>20</v>
      </c>
      <c r="BP14" s="208">
        <f t="shared" si="22"/>
        <v>10</v>
      </c>
      <c r="BQ14" s="208">
        <f t="shared" si="22"/>
        <v>10</v>
      </c>
      <c r="BR14" s="208">
        <f t="shared" si="23"/>
        <v>10</v>
      </c>
      <c r="BS14" s="208">
        <f t="shared" si="23"/>
        <v>10</v>
      </c>
      <c r="BT14" s="208">
        <f t="shared" si="23"/>
        <v>10</v>
      </c>
      <c r="BU14" s="208">
        <f t="shared" si="23"/>
        <v>10</v>
      </c>
      <c r="BV14" s="208">
        <f t="shared" si="23"/>
        <v>10</v>
      </c>
      <c r="BW14" s="208">
        <f t="shared" si="23"/>
        <v>10</v>
      </c>
    </row>
    <row r="15" spans="1:75" ht="49.5" customHeight="1">
      <c r="A15" s="246"/>
      <c r="B15" s="246"/>
      <c r="C15" s="246"/>
      <c r="D15" s="246"/>
      <c r="E15" s="246"/>
      <c r="F15" s="246"/>
      <c r="G15" s="246"/>
      <c r="H15" s="244"/>
      <c r="I15" s="317"/>
      <c r="J15" s="317"/>
      <c r="K15" s="317"/>
      <c r="L15" s="317"/>
      <c r="M15" s="317"/>
      <c r="N15" s="317"/>
      <c r="O15" s="244"/>
      <c r="P15" s="8" t="s">
        <v>55</v>
      </c>
      <c r="Q15" s="4" t="s">
        <v>435</v>
      </c>
      <c r="R15" s="4" t="s">
        <v>957</v>
      </c>
      <c r="S15" s="4" t="s">
        <v>1263</v>
      </c>
      <c r="T15" s="8">
        <v>25</v>
      </c>
      <c r="U15" s="8">
        <v>26</v>
      </c>
      <c r="V15" s="8">
        <f>(0.11+0.02+0.02+0.3+0.12)/5</f>
        <v>0.11399999999999999</v>
      </c>
      <c r="W15" s="8">
        <v>8</v>
      </c>
      <c r="X15" s="7">
        <f t="shared" si="9"/>
        <v>0.08207999999999999</v>
      </c>
      <c r="Y15" s="7">
        <f t="shared" si="10"/>
        <v>0.08536319999999999</v>
      </c>
      <c r="Z15" s="8">
        <v>30</v>
      </c>
      <c r="AA15" s="8">
        <v>12</v>
      </c>
      <c r="AB15" s="13">
        <f t="shared" si="24"/>
        <v>29.548799999999996</v>
      </c>
      <c r="AC15" s="13">
        <f t="shared" si="25"/>
        <v>30.730751999999995</v>
      </c>
      <c r="AD15" s="11" t="s">
        <v>1015</v>
      </c>
      <c r="AE15" s="8">
        <v>25</v>
      </c>
      <c r="AF15" s="8">
        <v>26</v>
      </c>
      <c r="AG15" s="8">
        <f>(0.11+0.02+0.02+0.3+0.12)/5</f>
        <v>0.11399999999999999</v>
      </c>
      <c r="AH15" s="8">
        <v>8</v>
      </c>
      <c r="AI15" s="7">
        <f t="shared" si="11"/>
        <v>0.08207999999999999</v>
      </c>
      <c r="AJ15" s="7">
        <f t="shared" si="12"/>
        <v>0.08536319999999999</v>
      </c>
      <c r="AK15" s="8">
        <v>30</v>
      </c>
      <c r="AL15" s="8">
        <v>12</v>
      </c>
      <c r="AM15" s="13">
        <f t="shared" si="13"/>
        <v>29.548799999999996</v>
      </c>
      <c r="AN15" s="80">
        <f t="shared" si="14"/>
        <v>30.730751999999995</v>
      </c>
      <c r="AO15" s="131"/>
      <c r="AP15" s="131"/>
      <c r="AQ15" s="131"/>
      <c r="AR15" s="31">
        <f t="shared" si="15"/>
        <v>25</v>
      </c>
      <c r="AS15" s="31">
        <f t="shared" si="16"/>
        <v>25.999999999999996</v>
      </c>
      <c r="AT15" s="111">
        <f t="shared" si="17"/>
        <v>0.11399999999999999</v>
      </c>
      <c r="AU15" s="217">
        <v>9</v>
      </c>
      <c r="AV15" s="111">
        <f t="shared" si="18"/>
        <v>0.09233999999999999</v>
      </c>
      <c r="AW15" s="111">
        <f t="shared" si="19"/>
        <v>0.09603359999999998</v>
      </c>
      <c r="AX15" s="8">
        <v>30</v>
      </c>
      <c r="AY15" s="8">
        <v>12</v>
      </c>
      <c r="AZ15" s="7">
        <f t="shared" si="20"/>
        <v>33.242399999999996</v>
      </c>
      <c r="BA15" s="7">
        <f t="shared" si="21"/>
        <v>34.572095999999995</v>
      </c>
      <c r="BB15" s="5">
        <v>90</v>
      </c>
      <c r="BC15" s="5">
        <v>90</v>
      </c>
      <c r="BD15" s="111">
        <f t="shared" si="0"/>
        <v>0.11399999999999999</v>
      </c>
      <c r="BE15" s="8">
        <f t="shared" si="0"/>
        <v>9</v>
      </c>
      <c r="BF15" s="111">
        <f t="shared" si="1"/>
        <v>0.332424</v>
      </c>
      <c r="BG15" s="111">
        <f t="shared" si="2"/>
        <v>0.332424</v>
      </c>
      <c r="BH15" s="8">
        <f t="shared" si="3"/>
        <v>30</v>
      </c>
      <c r="BI15" s="8">
        <f t="shared" si="3"/>
        <v>12</v>
      </c>
      <c r="BJ15" s="111">
        <f t="shared" si="4"/>
        <v>119.67264</v>
      </c>
      <c r="BK15" s="111">
        <f t="shared" si="5"/>
        <v>119.67264</v>
      </c>
      <c r="BL15" s="41">
        <f t="shared" si="6"/>
        <v>76.45752</v>
      </c>
      <c r="BM15" s="41">
        <f t="shared" si="6"/>
        <v>77.122368</v>
      </c>
      <c r="BN15" s="208">
        <f t="shared" si="22"/>
        <v>120</v>
      </c>
      <c r="BO15" s="208">
        <f t="shared" si="22"/>
        <v>120</v>
      </c>
      <c r="BP15" s="208">
        <f t="shared" si="22"/>
        <v>80</v>
      </c>
      <c r="BQ15" s="208">
        <f t="shared" si="22"/>
        <v>80</v>
      </c>
      <c r="BR15" s="208">
        <f t="shared" si="23"/>
        <v>80</v>
      </c>
      <c r="BS15" s="208">
        <f t="shared" si="23"/>
        <v>80</v>
      </c>
      <c r="BT15" s="208">
        <f t="shared" si="23"/>
        <v>80</v>
      </c>
      <c r="BU15" s="208">
        <f t="shared" si="23"/>
        <v>80</v>
      </c>
      <c r="BV15" s="208">
        <f t="shared" si="23"/>
        <v>80</v>
      </c>
      <c r="BW15" s="208">
        <f t="shared" si="23"/>
        <v>80</v>
      </c>
    </row>
    <row r="16" spans="1:75" ht="49.5" customHeight="1">
      <c r="A16" s="4">
        <v>148</v>
      </c>
      <c r="B16" s="4" t="s">
        <v>105</v>
      </c>
      <c r="C16" s="4" t="s">
        <v>19</v>
      </c>
      <c r="D16" s="4">
        <v>2</v>
      </c>
      <c r="E16" s="4" t="s">
        <v>340</v>
      </c>
      <c r="F16" s="4" t="s">
        <v>437</v>
      </c>
      <c r="G16" s="4" t="s">
        <v>209</v>
      </c>
      <c r="H16" s="8" t="s">
        <v>11</v>
      </c>
      <c r="I16" s="9" t="s">
        <v>67</v>
      </c>
      <c r="J16" s="9" t="s">
        <v>67</v>
      </c>
      <c r="K16" s="9" t="s">
        <v>67</v>
      </c>
      <c r="L16" s="9" t="s">
        <v>67</v>
      </c>
      <c r="M16" s="9" t="s">
        <v>67</v>
      </c>
      <c r="N16" s="9" t="s">
        <v>67</v>
      </c>
      <c r="O16" s="8" t="s">
        <v>51</v>
      </c>
      <c r="P16" s="8" t="s">
        <v>55</v>
      </c>
      <c r="Q16" s="4" t="s">
        <v>806</v>
      </c>
      <c r="R16" s="4" t="s">
        <v>958</v>
      </c>
      <c r="S16" s="4" t="s">
        <v>1264</v>
      </c>
      <c r="T16" s="8">
        <v>32</v>
      </c>
      <c r="U16" s="8">
        <v>12</v>
      </c>
      <c r="V16" s="7">
        <f>((0+0+0.048+0.035+0.029+0.045+0.036+0.024+0.03+0+0+0.032+0.038+0.034+0.042+0.04+0+0+0.037+0.028+0.045+0.036+0.031+0.028+0.037+0+0+0+0.047+0.043+0.034+0+0)/33)</f>
        <v>0.024212121212121216</v>
      </c>
      <c r="W16" s="8">
        <v>8</v>
      </c>
      <c r="X16" s="32">
        <f>V16*T16*W16*0.0036</f>
        <v>0.022313890909090913</v>
      </c>
      <c r="Y16" s="32">
        <f>V16*U16*W16*0.0036</f>
        <v>0.008367709090909092</v>
      </c>
      <c r="Z16" s="8">
        <v>30</v>
      </c>
      <c r="AA16" s="8">
        <v>12</v>
      </c>
      <c r="AB16" s="13">
        <f t="shared" si="24"/>
        <v>8.033000727272729</v>
      </c>
      <c r="AC16" s="13">
        <f t="shared" si="25"/>
        <v>3.0123752727272732</v>
      </c>
      <c r="AD16" s="4" t="s">
        <v>1016</v>
      </c>
      <c r="AE16" s="8"/>
      <c r="AF16" s="8"/>
      <c r="AG16" s="7"/>
      <c r="AH16" s="8">
        <v>8</v>
      </c>
      <c r="AI16" s="7">
        <f>50*22*1/1000</f>
        <v>1.1</v>
      </c>
      <c r="AJ16" s="7">
        <f>50*22*1/1000</f>
        <v>1.1</v>
      </c>
      <c r="AK16" s="8">
        <v>30</v>
      </c>
      <c r="AL16" s="8">
        <v>12</v>
      </c>
      <c r="AM16" s="13">
        <f t="shared" si="13"/>
        <v>396</v>
      </c>
      <c r="AN16" s="80">
        <f t="shared" si="14"/>
        <v>396</v>
      </c>
      <c r="AO16" s="131"/>
      <c r="AP16" s="131"/>
      <c r="AQ16" s="131"/>
      <c r="AR16" s="31">
        <f t="shared" si="15"/>
        <v>32</v>
      </c>
      <c r="AS16" s="31">
        <f t="shared" si="16"/>
        <v>12</v>
      </c>
      <c r="AT16" s="111">
        <f t="shared" si="17"/>
        <v>0.024212121212121216</v>
      </c>
      <c r="AU16" s="217">
        <v>8</v>
      </c>
      <c r="AV16" s="111">
        <f t="shared" si="18"/>
        <v>0.022313890909090913</v>
      </c>
      <c r="AW16" s="111">
        <f t="shared" si="19"/>
        <v>0.008367709090909092</v>
      </c>
      <c r="AX16" s="8">
        <v>30</v>
      </c>
      <c r="AY16" s="8">
        <v>12</v>
      </c>
      <c r="AZ16" s="7">
        <f t="shared" si="20"/>
        <v>8.033000727272729</v>
      </c>
      <c r="BA16" s="7">
        <f t="shared" si="21"/>
        <v>3.0123752727272732</v>
      </c>
      <c r="BB16" s="5">
        <v>90</v>
      </c>
      <c r="BC16" s="5">
        <v>90</v>
      </c>
      <c r="BD16" s="111">
        <f t="shared" si="0"/>
        <v>0.024212121212121216</v>
      </c>
      <c r="BE16" s="8">
        <f t="shared" si="0"/>
        <v>8</v>
      </c>
      <c r="BF16" s="111">
        <f t="shared" si="1"/>
        <v>0.06275781818181819</v>
      </c>
      <c r="BG16" s="111">
        <f t="shared" si="2"/>
        <v>0.06275781818181819</v>
      </c>
      <c r="BH16" s="8">
        <f t="shared" si="3"/>
        <v>30</v>
      </c>
      <c r="BI16" s="8">
        <f t="shared" si="3"/>
        <v>12</v>
      </c>
      <c r="BJ16" s="111">
        <f t="shared" si="4"/>
        <v>22.592814545454548</v>
      </c>
      <c r="BK16" s="111">
        <f t="shared" si="5"/>
        <v>22.592814545454548</v>
      </c>
      <c r="BL16" s="41">
        <f t="shared" si="6"/>
        <v>15.312907636363638</v>
      </c>
      <c r="BM16" s="41">
        <f t="shared" si="6"/>
        <v>12.80259490909091</v>
      </c>
      <c r="BN16" s="208">
        <f t="shared" si="22"/>
        <v>30</v>
      </c>
      <c r="BO16" s="208">
        <f t="shared" si="22"/>
        <v>30</v>
      </c>
      <c r="BP16" s="208">
        <f t="shared" si="22"/>
        <v>20</v>
      </c>
      <c r="BQ16" s="208">
        <f t="shared" si="22"/>
        <v>20</v>
      </c>
      <c r="BR16" s="208">
        <f t="shared" si="23"/>
        <v>20</v>
      </c>
      <c r="BS16" s="208">
        <f t="shared" si="23"/>
        <v>20</v>
      </c>
      <c r="BT16" s="208">
        <f t="shared" si="23"/>
        <v>20</v>
      </c>
      <c r="BU16" s="208">
        <f t="shared" si="23"/>
        <v>20</v>
      </c>
      <c r="BV16" s="208">
        <f t="shared" si="23"/>
        <v>20</v>
      </c>
      <c r="BW16" s="208">
        <f t="shared" si="23"/>
        <v>20</v>
      </c>
    </row>
    <row r="17" spans="1:75" ht="49.5" customHeight="1">
      <c r="A17" s="8">
        <v>149</v>
      </c>
      <c r="B17" s="4" t="s">
        <v>20</v>
      </c>
      <c r="C17" s="4" t="s">
        <v>19</v>
      </c>
      <c r="D17" s="4">
        <v>2</v>
      </c>
      <c r="E17" s="4" t="s">
        <v>429</v>
      </c>
      <c r="F17" s="4" t="s">
        <v>438</v>
      </c>
      <c r="G17" s="4" t="s">
        <v>428</v>
      </c>
      <c r="H17" s="8" t="s">
        <v>11</v>
      </c>
      <c r="I17" s="9" t="s">
        <v>67</v>
      </c>
      <c r="J17" s="9" t="s">
        <v>67</v>
      </c>
      <c r="K17" s="9" t="s">
        <v>67</v>
      </c>
      <c r="L17" s="9" t="s">
        <v>67</v>
      </c>
      <c r="M17" s="9" t="s">
        <v>67</v>
      </c>
      <c r="N17" s="9" t="s">
        <v>67</v>
      </c>
      <c r="O17" s="8" t="s">
        <v>51</v>
      </c>
      <c r="P17" s="4" t="s">
        <v>221</v>
      </c>
      <c r="Q17" s="8" t="s">
        <v>210</v>
      </c>
      <c r="R17" s="8" t="s">
        <v>959</v>
      </c>
      <c r="S17" s="4" t="s">
        <v>1265</v>
      </c>
      <c r="T17" s="8">
        <v>14</v>
      </c>
      <c r="U17" s="8">
        <v>5</v>
      </c>
      <c r="V17" s="7">
        <v>0.137</v>
      </c>
      <c r="W17" s="8">
        <v>8</v>
      </c>
      <c r="X17" s="32">
        <f>V17*T17*W17*0.0036</f>
        <v>0.0552384</v>
      </c>
      <c r="Y17" s="32">
        <f>V17*U17*W17*0.0036</f>
        <v>0.019728000000000002</v>
      </c>
      <c r="Z17" s="8">
        <v>30</v>
      </c>
      <c r="AA17" s="8">
        <v>12</v>
      </c>
      <c r="AB17" s="13">
        <f t="shared" si="24"/>
        <v>19.885824</v>
      </c>
      <c r="AC17" s="13">
        <f t="shared" si="25"/>
        <v>7.102080000000001</v>
      </c>
      <c r="AD17" s="4" t="s">
        <v>1123</v>
      </c>
      <c r="AE17" s="8">
        <v>14</v>
      </c>
      <c r="AF17" s="187">
        <v>5</v>
      </c>
      <c r="AG17" s="7">
        <v>0.137</v>
      </c>
      <c r="AH17" s="8">
        <v>8</v>
      </c>
      <c r="AI17" s="7">
        <f>AG17*AE17*AH17*0.0036</f>
        <v>0.0552384</v>
      </c>
      <c r="AJ17" s="7">
        <f>AG17*AF17*AH17*0.0036</f>
        <v>0.019728000000000002</v>
      </c>
      <c r="AK17" s="8">
        <v>30</v>
      </c>
      <c r="AL17" s="8">
        <v>12</v>
      </c>
      <c r="AM17" s="13">
        <f t="shared" si="13"/>
        <v>19.885824</v>
      </c>
      <c r="AN17" s="80">
        <f t="shared" si="14"/>
        <v>7.102080000000001</v>
      </c>
      <c r="AO17" s="131"/>
      <c r="AP17" s="131"/>
      <c r="AQ17" s="131"/>
      <c r="AR17" s="31">
        <f t="shared" si="15"/>
        <v>14</v>
      </c>
      <c r="AS17" s="31">
        <f t="shared" si="16"/>
        <v>5</v>
      </c>
      <c r="AT17" s="111">
        <f t="shared" si="17"/>
        <v>0.137</v>
      </c>
      <c r="AU17" s="8">
        <v>8</v>
      </c>
      <c r="AV17" s="111">
        <f t="shared" si="18"/>
        <v>0.0552384</v>
      </c>
      <c r="AW17" s="111">
        <f t="shared" si="19"/>
        <v>0.019728000000000002</v>
      </c>
      <c r="AX17" s="8">
        <v>30</v>
      </c>
      <c r="AY17" s="8">
        <v>12</v>
      </c>
      <c r="AZ17" s="7">
        <f t="shared" si="20"/>
        <v>19.885824</v>
      </c>
      <c r="BA17" s="7">
        <f t="shared" si="21"/>
        <v>7.102080000000001</v>
      </c>
      <c r="BB17" s="5">
        <v>90</v>
      </c>
      <c r="BC17" s="5">
        <v>90</v>
      </c>
      <c r="BD17" s="111">
        <f t="shared" si="0"/>
        <v>0.137</v>
      </c>
      <c r="BE17" s="8">
        <f t="shared" si="0"/>
        <v>8</v>
      </c>
      <c r="BF17" s="111">
        <f t="shared" si="1"/>
        <v>0.35510400000000003</v>
      </c>
      <c r="BG17" s="111">
        <f t="shared" si="2"/>
        <v>0.35510400000000003</v>
      </c>
      <c r="BH17" s="8">
        <f t="shared" si="3"/>
        <v>30</v>
      </c>
      <c r="BI17" s="8">
        <f t="shared" si="3"/>
        <v>12</v>
      </c>
      <c r="BJ17" s="111">
        <f t="shared" si="4"/>
        <v>127.83744000000002</v>
      </c>
      <c r="BK17" s="111">
        <f t="shared" si="5"/>
        <v>127.83744000000002</v>
      </c>
      <c r="BL17" s="41">
        <f t="shared" si="6"/>
        <v>73.86163200000001</v>
      </c>
      <c r="BM17" s="41">
        <f t="shared" si="6"/>
        <v>67.46976000000001</v>
      </c>
      <c r="BN17" s="208">
        <f t="shared" si="22"/>
        <v>130</v>
      </c>
      <c r="BO17" s="208">
        <f t="shared" si="22"/>
        <v>130</v>
      </c>
      <c r="BP17" s="208">
        <f t="shared" si="22"/>
        <v>80</v>
      </c>
      <c r="BQ17" s="208">
        <f t="shared" si="22"/>
        <v>70</v>
      </c>
      <c r="BR17" s="208">
        <f t="shared" si="23"/>
        <v>80</v>
      </c>
      <c r="BS17" s="208">
        <f t="shared" si="23"/>
        <v>70</v>
      </c>
      <c r="BT17" s="208">
        <f t="shared" si="23"/>
        <v>80</v>
      </c>
      <c r="BU17" s="208">
        <f t="shared" si="23"/>
        <v>70</v>
      </c>
      <c r="BV17" s="208">
        <f t="shared" si="23"/>
        <v>80</v>
      </c>
      <c r="BW17" s="208">
        <f t="shared" si="23"/>
        <v>70</v>
      </c>
    </row>
    <row r="18" spans="1:75" ht="49.5" customHeight="1">
      <c r="A18" s="8">
        <v>150</v>
      </c>
      <c r="B18" s="4" t="s">
        <v>50</v>
      </c>
      <c r="C18" s="4" t="s">
        <v>19</v>
      </c>
      <c r="D18" s="4">
        <v>2</v>
      </c>
      <c r="E18" s="218" t="s">
        <v>522</v>
      </c>
      <c r="F18" s="4" t="s">
        <v>273</v>
      </c>
      <c r="G18" s="11" t="s">
        <v>225</v>
      </c>
      <c r="H18" s="11" t="s">
        <v>227</v>
      </c>
      <c r="I18" s="11" t="s">
        <v>489</v>
      </c>
      <c r="J18" s="43">
        <v>43063</v>
      </c>
      <c r="K18" s="45">
        <v>43207</v>
      </c>
      <c r="L18" s="24" t="s">
        <v>10</v>
      </c>
      <c r="M18" s="24" t="s">
        <v>74</v>
      </c>
      <c r="N18" s="24">
        <v>2023</v>
      </c>
      <c r="O18" s="5" t="s">
        <v>223</v>
      </c>
      <c r="P18" s="5" t="s">
        <v>55</v>
      </c>
      <c r="Q18" s="8" t="s">
        <v>807</v>
      </c>
      <c r="R18" s="8" t="s">
        <v>960</v>
      </c>
      <c r="S18" s="11" t="s">
        <v>1266</v>
      </c>
      <c r="T18" s="5"/>
      <c r="U18" s="5"/>
      <c r="V18" s="5"/>
      <c r="W18" s="5"/>
      <c r="X18" s="167">
        <f>(50*1*6)/1000</f>
        <v>0.3</v>
      </c>
      <c r="Y18" s="167">
        <f>(50*1*6)/1000</f>
        <v>0.3</v>
      </c>
      <c r="Z18" s="5">
        <v>30</v>
      </c>
      <c r="AA18" s="5">
        <v>12</v>
      </c>
      <c r="AB18" s="29">
        <f t="shared" si="24"/>
        <v>108</v>
      </c>
      <c r="AC18" s="29">
        <f t="shared" si="25"/>
        <v>108</v>
      </c>
      <c r="AD18" s="11" t="s">
        <v>1017</v>
      </c>
      <c r="AE18" s="5">
        <v>63</v>
      </c>
      <c r="AF18" s="5">
        <v>20</v>
      </c>
      <c r="AG18" s="5">
        <v>0.003</v>
      </c>
      <c r="AH18" s="5">
        <v>8</v>
      </c>
      <c r="AI18" s="7">
        <f>AH18*AG18*AE18*0.0036</f>
        <v>0.0054432</v>
      </c>
      <c r="AJ18" s="7">
        <f>AG18*AH18*AF18*0.0036</f>
        <v>0.001728</v>
      </c>
      <c r="AK18" s="5">
        <v>30</v>
      </c>
      <c r="AL18" s="5">
        <v>12</v>
      </c>
      <c r="AM18" s="29">
        <f t="shared" si="13"/>
        <v>1.959552</v>
      </c>
      <c r="AN18" s="81">
        <f t="shared" si="14"/>
        <v>0.62208</v>
      </c>
      <c r="AO18" s="193" t="s">
        <v>1278</v>
      </c>
      <c r="AP18" s="193" t="s">
        <v>1180</v>
      </c>
      <c r="AQ18" s="194">
        <v>100</v>
      </c>
      <c r="AR18" s="31">
        <f t="shared" si="15"/>
        <v>63</v>
      </c>
      <c r="AS18" s="31">
        <f t="shared" si="16"/>
        <v>20</v>
      </c>
      <c r="AT18" s="111">
        <f t="shared" si="17"/>
        <v>0.003</v>
      </c>
      <c r="AU18" s="5">
        <v>8</v>
      </c>
      <c r="AV18" s="111">
        <f t="shared" si="18"/>
        <v>0.0054432</v>
      </c>
      <c r="AW18" s="111">
        <f t="shared" si="19"/>
        <v>0.001728</v>
      </c>
      <c r="AX18" s="5">
        <v>30</v>
      </c>
      <c r="AY18" s="5">
        <v>12</v>
      </c>
      <c r="AZ18" s="7">
        <f t="shared" si="20"/>
        <v>1.959552</v>
      </c>
      <c r="BA18" s="7">
        <f t="shared" si="21"/>
        <v>0.62208</v>
      </c>
      <c r="BB18" s="5">
        <v>90</v>
      </c>
      <c r="BC18" s="5">
        <v>100</v>
      </c>
      <c r="BD18" s="111">
        <f t="shared" si="0"/>
        <v>0.003</v>
      </c>
      <c r="BE18" s="8">
        <f t="shared" si="0"/>
        <v>8</v>
      </c>
      <c r="BF18" s="111">
        <f t="shared" si="1"/>
        <v>0.007776</v>
      </c>
      <c r="BG18" s="111">
        <f t="shared" si="2"/>
        <v>0.00864</v>
      </c>
      <c r="BH18" s="8">
        <f t="shared" si="3"/>
        <v>30</v>
      </c>
      <c r="BI18" s="8">
        <f t="shared" si="3"/>
        <v>12</v>
      </c>
      <c r="BJ18" s="111">
        <f t="shared" si="4"/>
        <v>2.79936</v>
      </c>
      <c r="BK18" s="111">
        <f t="shared" si="5"/>
        <v>3.1104</v>
      </c>
      <c r="BL18" s="41">
        <f t="shared" si="6"/>
        <v>2.3794560000000002</v>
      </c>
      <c r="BM18" s="41">
        <f t="shared" si="6"/>
        <v>1.86624</v>
      </c>
      <c r="BN18" s="208">
        <f>ROUNDUP(BJ18,-1)</f>
        <v>10</v>
      </c>
      <c r="BO18" s="208">
        <f t="shared" si="22"/>
        <v>10</v>
      </c>
      <c r="BP18" s="208">
        <f t="shared" si="22"/>
        <v>10</v>
      </c>
      <c r="BQ18" s="208">
        <f t="shared" si="22"/>
        <v>10</v>
      </c>
      <c r="BR18" s="208">
        <f t="shared" si="23"/>
        <v>10</v>
      </c>
      <c r="BS18" s="208">
        <f t="shared" si="23"/>
        <v>10</v>
      </c>
      <c r="BT18" s="208">
        <f t="shared" si="23"/>
        <v>10</v>
      </c>
      <c r="BU18" s="208">
        <f t="shared" si="23"/>
        <v>10</v>
      </c>
      <c r="BV18" s="208">
        <f t="shared" si="23"/>
        <v>10</v>
      </c>
      <c r="BW18" s="208">
        <f t="shared" si="23"/>
        <v>10</v>
      </c>
    </row>
    <row r="19" spans="1:75" ht="49.5" customHeight="1">
      <c r="A19" s="8">
        <v>151</v>
      </c>
      <c r="B19" s="4" t="s">
        <v>239</v>
      </c>
      <c r="C19" s="4" t="s">
        <v>19</v>
      </c>
      <c r="D19" s="4">
        <v>2</v>
      </c>
      <c r="E19" s="37" t="s">
        <v>240</v>
      </c>
      <c r="F19" s="4" t="s">
        <v>279</v>
      </c>
      <c r="G19" s="11" t="s">
        <v>458</v>
      </c>
      <c r="H19" s="11" t="s">
        <v>11</v>
      </c>
      <c r="I19" s="26" t="s">
        <v>67</v>
      </c>
      <c r="J19" s="26" t="s">
        <v>67</v>
      </c>
      <c r="K19" s="26" t="s">
        <v>67</v>
      </c>
      <c r="L19" s="26" t="s">
        <v>67</v>
      </c>
      <c r="M19" s="26" t="s">
        <v>67</v>
      </c>
      <c r="N19" s="26" t="s">
        <v>67</v>
      </c>
      <c r="O19" s="5" t="s">
        <v>223</v>
      </c>
      <c r="P19" s="5" t="s">
        <v>55</v>
      </c>
      <c r="Q19" s="8" t="s">
        <v>808</v>
      </c>
      <c r="R19" s="8" t="s">
        <v>961</v>
      </c>
      <c r="S19" s="11" t="s">
        <v>1267</v>
      </c>
      <c r="T19" s="5"/>
      <c r="U19" s="5"/>
      <c r="V19" s="5"/>
      <c r="W19" s="5">
        <v>8</v>
      </c>
      <c r="X19" s="167">
        <f>(50*14/1000)/3</f>
        <v>0.2333333333333333</v>
      </c>
      <c r="Y19" s="167">
        <f>(50*14/1000)/3</f>
        <v>0.2333333333333333</v>
      </c>
      <c r="Z19" s="5">
        <v>30</v>
      </c>
      <c r="AA19" s="5">
        <v>12</v>
      </c>
      <c r="AB19" s="29">
        <f t="shared" si="24"/>
        <v>83.99999999999999</v>
      </c>
      <c r="AC19" s="29">
        <f t="shared" si="25"/>
        <v>83.99999999999999</v>
      </c>
      <c r="AD19" s="11" t="s">
        <v>1124</v>
      </c>
      <c r="AE19" s="5"/>
      <c r="AF19" s="5"/>
      <c r="AG19" s="5"/>
      <c r="AH19" s="5">
        <v>8</v>
      </c>
      <c r="AI19" s="34">
        <f>(50*14/1000)/3</f>
        <v>0.2333333333333333</v>
      </c>
      <c r="AJ19" s="34">
        <f>(50*14/1000)/3</f>
        <v>0.2333333333333333</v>
      </c>
      <c r="AK19" s="5">
        <v>30</v>
      </c>
      <c r="AL19" s="5">
        <v>12</v>
      </c>
      <c r="AM19" s="29">
        <f t="shared" si="13"/>
        <v>83.99999999999999</v>
      </c>
      <c r="AN19" s="81">
        <f t="shared" si="14"/>
        <v>83.99999999999999</v>
      </c>
      <c r="AO19" s="90"/>
      <c r="AP19" s="90"/>
      <c r="AQ19" s="90"/>
      <c r="AR19" s="31"/>
      <c r="AS19" s="31"/>
      <c r="AT19" s="111"/>
      <c r="AU19" s="5"/>
      <c r="AV19" s="111"/>
      <c r="AW19" s="111"/>
      <c r="AX19" s="5"/>
      <c r="AY19" s="5"/>
      <c r="AZ19" s="7"/>
      <c r="BA19" s="7"/>
      <c r="BB19" s="5">
        <v>90</v>
      </c>
      <c r="BC19" s="5">
        <v>90</v>
      </c>
      <c r="BD19" s="111">
        <f>(14*120/(24*3600))*0.8</f>
        <v>0.015555555555555557</v>
      </c>
      <c r="BE19" s="8">
        <v>8</v>
      </c>
      <c r="BF19" s="111">
        <f t="shared" si="1"/>
        <v>0.04032</v>
      </c>
      <c r="BG19" s="111">
        <f t="shared" si="2"/>
        <v>0.04032</v>
      </c>
      <c r="BH19" s="8">
        <v>30</v>
      </c>
      <c r="BI19" s="8">
        <v>12</v>
      </c>
      <c r="BJ19" s="111">
        <f t="shared" si="4"/>
        <v>14.5152</v>
      </c>
      <c r="BK19" s="111">
        <f t="shared" si="5"/>
        <v>14.5152</v>
      </c>
      <c r="BL19" s="41">
        <f t="shared" si="6"/>
        <v>14.5152</v>
      </c>
      <c r="BM19" s="41">
        <f t="shared" si="6"/>
        <v>14.5152</v>
      </c>
      <c r="BN19" s="208">
        <f aca="true" t="shared" si="26" ref="BN19:BN25">ROUNDUP(BJ19,-1)</f>
        <v>20</v>
      </c>
      <c r="BO19" s="208">
        <f t="shared" si="22"/>
        <v>20</v>
      </c>
      <c r="BP19" s="208">
        <f t="shared" si="22"/>
        <v>20</v>
      </c>
      <c r="BQ19" s="208">
        <f t="shared" si="22"/>
        <v>20</v>
      </c>
      <c r="BR19" s="208">
        <f t="shared" si="23"/>
        <v>20</v>
      </c>
      <c r="BS19" s="208">
        <f t="shared" si="23"/>
        <v>20</v>
      </c>
      <c r="BT19" s="208">
        <f t="shared" si="23"/>
        <v>20</v>
      </c>
      <c r="BU19" s="208">
        <f t="shared" si="23"/>
        <v>20</v>
      </c>
      <c r="BV19" s="208">
        <f t="shared" si="23"/>
        <v>20</v>
      </c>
      <c r="BW19" s="208">
        <f t="shared" si="23"/>
        <v>20</v>
      </c>
    </row>
    <row r="20" spans="1:75" ht="49.5" customHeight="1">
      <c r="A20" s="4">
        <v>152</v>
      </c>
      <c r="B20" s="4" t="s">
        <v>20</v>
      </c>
      <c r="C20" s="4" t="s">
        <v>19</v>
      </c>
      <c r="D20" s="4">
        <v>2</v>
      </c>
      <c r="E20" s="4" t="s">
        <v>158</v>
      </c>
      <c r="F20" s="4" t="s">
        <v>350</v>
      </c>
      <c r="G20" s="4" t="s">
        <v>159</v>
      </c>
      <c r="H20" s="4" t="s">
        <v>11</v>
      </c>
      <c r="I20" s="9" t="s">
        <v>67</v>
      </c>
      <c r="J20" s="9" t="s">
        <v>67</v>
      </c>
      <c r="K20" s="9" t="s">
        <v>67</v>
      </c>
      <c r="L20" s="9" t="s">
        <v>67</v>
      </c>
      <c r="M20" s="9" t="s">
        <v>67</v>
      </c>
      <c r="N20" s="9" t="s">
        <v>67</v>
      </c>
      <c r="O20" s="8" t="s">
        <v>51</v>
      </c>
      <c r="P20" s="8" t="s">
        <v>55</v>
      </c>
      <c r="Q20" s="5" t="s">
        <v>809</v>
      </c>
      <c r="R20" s="5" t="s">
        <v>962</v>
      </c>
      <c r="S20" s="4" t="s">
        <v>1268</v>
      </c>
      <c r="T20" s="8">
        <v>16.6</v>
      </c>
      <c r="U20" s="8">
        <v>24</v>
      </c>
      <c r="V20" s="7">
        <f>((0.052+0.052+0.053+0.059+0.045+0.046+0.067+0.062+0.063+0.056+0.055+0.058+0.053+0.053+0.056+0.052+0.053)/17)</f>
        <v>0.05500000000000002</v>
      </c>
      <c r="W20" s="8">
        <v>10</v>
      </c>
      <c r="X20" s="7">
        <f>V20*T20*W20*0.0036</f>
        <v>0.032868000000000015</v>
      </c>
      <c r="Y20" s="7">
        <f>V20*U20*W20*0.0036</f>
        <v>0.047520000000000014</v>
      </c>
      <c r="Z20" s="8">
        <v>30</v>
      </c>
      <c r="AA20" s="8">
        <v>12</v>
      </c>
      <c r="AB20" s="13">
        <f t="shared" si="24"/>
        <v>11.832480000000006</v>
      </c>
      <c r="AC20" s="13">
        <f t="shared" si="25"/>
        <v>17.107200000000006</v>
      </c>
      <c r="AD20" s="4" t="s">
        <v>1018</v>
      </c>
      <c r="AE20" s="8">
        <v>16.6</v>
      </c>
      <c r="AF20" s="8">
        <v>24</v>
      </c>
      <c r="AG20" s="7">
        <f>((0.052+0.052+0.053+0.059+0.045+0.046+0.067+0.062+0.063+0.056+0.055+0.058+0.053+0.053+0.056+0.052+0.053)/17)</f>
        <v>0.05500000000000002</v>
      </c>
      <c r="AH20" s="8">
        <v>8</v>
      </c>
      <c r="AI20" s="7">
        <f>AG20*AE20*AH20*0.0036</f>
        <v>0.026294400000000013</v>
      </c>
      <c r="AJ20" s="7">
        <f>AG20*AF20*AH20*0.0036</f>
        <v>0.038016000000000015</v>
      </c>
      <c r="AK20" s="8">
        <v>30</v>
      </c>
      <c r="AL20" s="8">
        <v>12</v>
      </c>
      <c r="AM20" s="13">
        <f t="shared" si="13"/>
        <v>9.465984000000006</v>
      </c>
      <c r="AN20" s="80">
        <f t="shared" si="14"/>
        <v>13.685760000000005</v>
      </c>
      <c r="AO20" s="131"/>
      <c r="AP20" s="131"/>
      <c r="AQ20" s="131"/>
      <c r="AR20" s="31">
        <f t="shared" si="15"/>
        <v>16.6</v>
      </c>
      <c r="AS20" s="31">
        <f t="shared" si="16"/>
        <v>24</v>
      </c>
      <c r="AT20" s="111">
        <f t="shared" si="17"/>
        <v>0.05500000000000002</v>
      </c>
      <c r="AU20" s="8">
        <v>8</v>
      </c>
      <c r="AV20" s="111">
        <f t="shared" si="18"/>
        <v>0.026294400000000013</v>
      </c>
      <c r="AW20" s="111">
        <f t="shared" si="19"/>
        <v>0.038016000000000015</v>
      </c>
      <c r="AX20" s="8">
        <v>30</v>
      </c>
      <c r="AY20" s="8">
        <v>12</v>
      </c>
      <c r="AZ20" s="7">
        <f t="shared" si="20"/>
        <v>9.465984000000006</v>
      </c>
      <c r="BA20" s="7">
        <f t="shared" si="21"/>
        <v>13.685760000000005</v>
      </c>
      <c r="BB20" s="5">
        <v>90</v>
      </c>
      <c r="BC20" s="5">
        <v>90</v>
      </c>
      <c r="BD20" s="111">
        <f t="shared" si="0"/>
        <v>0.05500000000000002</v>
      </c>
      <c r="BE20" s="8">
        <f t="shared" si="0"/>
        <v>8</v>
      </c>
      <c r="BF20" s="111">
        <f t="shared" si="1"/>
        <v>0.14256000000000005</v>
      </c>
      <c r="BG20" s="111">
        <f t="shared" si="2"/>
        <v>0.14256000000000005</v>
      </c>
      <c r="BH20" s="8">
        <f t="shared" si="3"/>
        <v>30</v>
      </c>
      <c r="BI20" s="8">
        <f t="shared" si="3"/>
        <v>12</v>
      </c>
      <c r="BJ20" s="111">
        <f t="shared" si="4"/>
        <v>51.32160000000002</v>
      </c>
      <c r="BK20" s="111">
        <f t="shared" si="5"/>
        <v>51.32160000000002</v>
      </c>
      <c r="BL20" s="41">
        <f t="shared" si="6"/>
        <v>30.393792000000012</v>
      </c>
      <c r="BM20" s="41">
        <f t="shared" si="6"/>
        <v>32.50368000000001</v>
      </c>
      <c r="BN20" s="208">
        <f t="shared" si="26"/>
        <v>60</v>
      </c>
      <c r="BO20" s="208">
        <f t="shared" si="22"/>
        <v>60</v>
      </c>
      <c r="BP20" s="208">
        <f t="shared" si="22"/>
        <v>40</v>
      </c>
      <c r="BQ20" s="208">
        <f t="shared" si="22"/>
        <v>40</v>
      </c>
      <c r="BR20" s="208">
        <f t="shared" si="23"/>
        <v>40</v>
      </c>
      <c r="BS20" s="208">
        <f t="shared" si="23"/>
        <v>40</v>
      </c>
      <c r="BT20" s="208">
        <f t="shared" si="23"/>
        <v>40</v>
      </c>
      <c r="BU20" s="208">
        <f t="shared" si="23"/>
        <v>40</v>
      </c>
      <c r="BV20" s="208">
        <f t="shared" si="23"/>
        <v>40</v>
      </c>
      <c r="BW20" s="208">
        <f t="shared" si="23"/>
        <v>40</v>
      </c>
    </row>
    <row r="21" spans="1:75" ht="49.5" customHeight="1">
      <c r="A21" s="5">
        <v>153</v>
      </c>
      <c r="B21" s="4" t="s">
        <v>20</v>
      </c>
      <c r="C21" s="4" t="s">
        <v>19</v>
      </c>
      <c r="D21" s="4">
        <v>2</v>
      </c>
      <c r="E21" s="11" t="s">
        <v>426</v>
      </c>
      <c r="F21" s="5" t="s">
        <v>116</v>
      </c>
      <c r="G21" s="5" t="s">
        <v>427</v>
      </c>
      <c r="H21" s="5" t="s">
        <v>227</v>
      </c>
      <c r="I21" s="24" t="s">
        <v>485</v>
      </c>
      <c r="J21" s="28">
        <v>43004</v>
      </c>
      <c r="K21" s="28">
        <v>43087</v>
      </c>
      <c r="L21" s="28">
        <v>43104</v>
      </c>
      <c r="M21" s="26" t="s">
        <v>74</v>
      </c>
      <c r="N21" s="28">
        <v>44930</v>
      </c>
      <c r="O21" s="5" t="s">
        <v>51</v>
      </c>
      <c r="P21" s="5" t="s">
        <v>55</v>
      </c>
      <c r="Q21" s="8" t="s">
        <v>810</v>
      </c>
      <c r="R21" s="8" t="s">
        <v>963</v>
      </c>
      <c r="S21" s="4" t="s">
        <v>1269</v>
      </c>
      <c r="T21" s="5">
        <v>28</v>
      </c>
      <c r="U21" s="5">
        <v>7</v>
      </c>
      <c r="V21" s="34">
        <v>0.072</v>
      </c>
      <c r="W21" s="5">
        <v>8</v>
      </c>
      <c r="X21" s="34">
        <f>V21*T21*W21*0.0036</f>
        <v>0.058060799999999996</v>
      </c>
      <c r="Y21" s="34">
        <f>V21*U21*W21*0.0036</f>
        <v>0.014515199999999999</v>
      </c>
      <c r="Z21" s="5">
        <v>30</v>
      </c>
      <c r="AA21" s="5">
        <v>12</v>
      </c>
      <c r="AB21" s="13">
        <f t="shared" si="24"/>
        <v>20.901888</v>
      </c>
      <c r="AC21" s="13">
        <f t="shared" si="25"/>
        <v>5.225472</v>
      </c>
      <c r="AD21" s="4" t="s">
        <v>1019</v>
      </c>
      <c r="AE21" s="5">
        <v>28</v>
      </c>
      <c r="AF21" s="5">
        <v>7</v>
      </c>
      <c r="AG21" s="34">
        <v>0.072</v>
      </c>
      <c r="AH21" s="5">
        <v>8</v>
      </c>
      <c r="AI21" s="34">
        <f>AG21*AE21*AH21*0.0036</f>
        <v>0.058060799999999996</v>
      </c>
      <c r="AJ21" s="34">
        <f>AG21*AF21*AH21*0.0036</f>
        <v>0.014515199999999999</v>
      </c>
      <c r="AK21" s="5">
        <v>30</v>
      </c>
      <c r="AL21" s="5">
        <v>12</v>
      </c>
      <c r="AM21" s="13">
        <f t="shared" si="13"/>
        <v>20.901888</v>
      </c>
      <c r="AN21" s="80">
        <f t="shared" si="14"/>
        <v>5.225472</v>
      </c>
      <c r="AO21" s="191" t="s">
        <v>1276</v>
      </c>
      <c r="AP21" s="191">
        <v>90</v>
      </c>
      <c r="AQ21" s="191">
        <v>90</v>
      </c>
      <c r="AR21" s="31">
        <f t="shared" si="15"/>
        <v>28.000000000000004</v>
      </c>
      <c r="AS21" s="31">
        <f t="shared" si="16"/>
        <v>7.000000000000001</v>
      </c>
      <c r="AT21" s="111">
        <f t="shared" si="17"/>
        <v>0.072</v>
      </c>
      <c r="AU21" s="5">
        <v>8</v>
      </c>
      <c r="AV21" s="111">
        <f t="shared" si="18"/>
        <v>0.058060799999999996</v>
      </c>
      <c r="AW21" s="111">
        <f t="shared" si="19"/>
        <v>0.014515199999999999</v>
      </c>
      <c r="AX21" s="5">
        <v>30</v>
      </c>
      <c r="AY21" s="5">
        <v>12</v>
      </c>
      <c r="AZ21" s="7">
        <f t="shared" si="20"/>
        <v>20.901888</v>
      </c>
      <c r="BA21" s="7">
        <f t="shared" si="21"/>
        <v>5.225472</v>
      </c>
      <c r="BB21" s="5">
        <v>90</v>
      </c>
      <c r="BC21" s="5">
        <v>90</v>
      </c>
      <c r="BD21" s="111">
        <f t="shared" si="0"/>
        <v>0.072</v>
      </c>
      <c r="BE21" s="8">
        <f t="shared" si="0"/>
        <v>8</v>
      </c>
      <c r="BF21" s="111">
        <f t="shared" si="1"/>
        <v>0.18662399999999998</v>
      </c>
      <c r="BG21" s="111">
        <f t="shared" si="2"/>
        <v>0.18662399999999998</v>
      </c>
      <c r="BH21" s="8">
        <f t="shared" si="3"/>
        <v>30</v>
      </c>
      <c r="BI21" s="8">
        <f t="shared" si="3"/>
        <v>12</v>
      </c>
      <c r="BJ21" s="111">
        <f t="shared" si="4"/>
        <v>67.18463999999999</v>
      </c>
      <c r="BK21" s="111">
        <f t="shared" si="5"/>
        <v>67.18463999999999</v>
      </c>
      <c r="BL21" s="41">
        <f t="shared" si="6"/>
        <v>44.04326399999999</v>
      </c>
      <c r="BM21" s="41">
        <f t="shared" si="6"/>
        <v>36.20505599999999</v>
      </c>
      <c r="BN21" s="208">
        <f t="shared" si="26"/>
        <v>70</v>
      </c>
      <c r="BO21" s="208">
        <f t="shared" si="22"/>
        <v>70</v>
      </c>
      <c r="BP21" s="208">
        <f t="shared" si="22"/>
        <v>50</v>
      </c>
      <c r="BQ21" s="208">
        <f t="shared" si="22"/>
        <v>40</v>
      </c>
      <c r="BR21" s="208">
        <f t="shared" si="23"/>
        <v>50</v>
      </c>
      <c r="BS21" s="208">
        <f t="shared" si="23"/>
        <v>40</v>
      </c>
      <c r="BT21" s="208">
        <f t="shared" si="23"/>
        <v>50</v>
      </c>
      <c r="BU21" s="208">
        <f t="shared" si="23"/>
        <v>40</v>
      </c>
      <c r="BV21" s="208">
        <f t="shared" si="23"/>
        <v>50</v>
      </c>
      <c r="BW21" s="208">
        <f t="shared" si="23"/>
        <v>40</v>
      </c>
    </row>
    <row r="22" spans="1:75" ht="49.5" customHeight="1">
      <c r="A22" s="8">
        <v>154</v>
      </c>
      <c r="B22" s="4" t="s">
        <v>20</v>
      </c>
      <c r="C22" s="4" t="s">
        <v>19</v>
      </c>
      <c r="D22" s="4">
        <v>2</v>
      </c>
      <c r="E22" s="4" t="s">
        <v>108</v>
      </c>
      <c r="F22" s="4" t="s">
        <v>439</v>
      </c>
      <c r="G22" s="8" t="s">
        <v>109</v>
      </c>
      <c r="H22" s="4" t="s">
        <v>11</v>
      </c>
      <c r="I22" s="26" t="s">
        <v>67</v>
      </c>
      <c r="J22" s="26" t="s">
        <v>67</v>
      </c>
      <c r="K22" s="26" t="s">
        <v>67</v>
      </c>
      <c r="L22" s="26" t="s">
        <v>67</v>
      </c>
      <c r="M22" s="26" t="s">
        <v>67</v>
      </c>
      <c r="N22" s="26" t="s">
        <v>67</v>
      </c>
      <c r="O22" s="8" t="s">
        <v>51</v>
      </c>
      <c r="P22" s="8" t="s">
        <v>55</v>
      </c>
      <c r="Q22" s="8" t="s">
        <v>811</v>
      </c>
      <c r="R22" s="8" t="s">
        <v>964</v>
      </c>
      <c r="S22" s="4" t="s">
        <v>1270</v>
      </c>
      <c r="T22" s="8">
        <v>25.3</v>
      </c>
      <c r="U22" s="8">
        <v>44</v>
      </c>
      <c r="V22" s="7">
        <v>0.052</v>
      </c>
      <c r="W22" s="8">
        <v>10</v>
      </c>
      <c r="X22" s="7">
        <f>V22*T22*W22*0.0036</f>
        <v>0.0473616</v>
      </c>
      <c r="Y22" s="7">
        <f>V22*U22*W22*0.0036</f>
        <v>0.082368</v>
      </c>
      <c r="Z22" s="8">
        <v>30</v>
      </c>
      <c r="AA22" s="8">
        <v>12</v>
      </c>
      <c r="AB22" s="13">
        <f t="shared" si="24"/>
        <v>17.050176</v>
      </c>
      <c r="AC22" s="13">
        <f t="shared" si="25"/>
        <v>29.652479999999997</v>
      </c>
      <c r="AD22" s="4" t="s">
        <v>1020</v>
      </c>
      <c r="AE22" s="8">
        <v>25.3</v>
      </c>
      <c r="AF22" s="8">
        <v>44</v>
      </c>
      <c r="AG22" s="7">
        <v>0.052</v>
      </c>
      <c r="AH22" s="8">
        <v>8</v>
      </c>
      <c r="AI22" s="7">
        <f>AG22*AE22*AH22*0.0036</f>
        <v>0.03788928</v>
      </c>
      <c r="AJ22" s="7">
        <f>AG22*AF22*AH22*0.0036</f>
        <v>0.06589439999999999</v>
      </c>
      <c r="AK22" s="8">
        <v>30</v>
      </c>
      <c r="AL22" s="8">
        <v>12</v>
      </c>
      <c r="AM22" s="13">
        <f t="shared" si="13"/>
        <v>13.640140799999998</v>
      </c>
      <c r="AN22" s="80">
        <f t="shared" si="14"/>
        <v>23.721983999999996</v>
      </c>
      <c r="AO22" s="131"/>
      <c r="AP22" s="131"/>
      <c r="AQ22" s="131"/>
      <c r="AR22" s="31">
        <f t="shared" si="15"/>
        <v>25.299999999999997</v>
      </c>
      <c r="AS22" s="31">
        <f t="shared" si="16"/>
        <v>44</v>
      </c>
      <c r="AT22" s="111">
        <f t="shared" si="17"/>
        <v>0.052</v>
      </c>
      <c r="AU22" s="8">
        <v>8</v>
      </c>
      <c r="AV22" s="111">
        <f t="shared" si="18"/>
        <v>0.03788928</v>
      </c>
      <c r="AW22" s="111">
        <f t="shared" si="19"/>
        <v>0.06589439999999999</v>
      </c>
      <c r="AX22" s="8">
        <v>30</v>
      </c>
      <c r="AY22" s="8">
        <v>12</v>
      </c>
      <c r="AZ22" s="7">
        <f t="shared" si="20"/>
        <v>13.640140799999998</v>
      </c>
      <c r="BA22" s="7">
        <f t="shared" si="21"/>
        <v>23.721983999999996</v>
      </c>
      <c r="BB22" s="5">
        <v>90</v>
      </c>
      <c r="BC22" s="5">
        <v>90</v>
      </c>
      <c r="BD22" s="111">
        <f t="shared" si="0"/>
        <v>0.052</v>
      </c>
      <c r="BE22" s="8">
        <f t="shared" si="0"/>
        <v>8</v>
      </c>
      <c r="BF22" s="111">
        <f t="shared" si="1"/>
        <v>0.134784</v>
      </c>
      <c r="BG22" s="111">
        <f t="shared" si="2"/>
        <v>0.134784</v>
      </c>
      <c r="BH22" s="8">
        <f t="shared" si="3"/>
        <v>30</v>
      </c>
      <c r="BI22" s="8">
        <f t="shared" si="3"/>
        <v>12</v>
      </c>
      <c r="BJ22" s="111">
        <f t="shared" si="4"/>
        <v>48.52224</v>
      </c>
      <c r="BK22" s="111">
        <f t="shared" si="5"/>
        <v>48.52224</v>
      </c>
      <c r="BL22" s="41">
        <f t="shared" si="6"/>
        <v>31.081190399999997</v>
      </c>
      <c r="BM22" s="41">
        <f t="shared" si="6"/>
        <v>36.122111999999994</v>
      </c>
      <c r="BN22" s="208">
        <f t="shared" si="26"/>
        <v>50</v>
      </c>
      <c r="BO22" s="208">
        <f t="shared" si="22"/>
        <v>50</v>
      </c>
      <c r="BP22" s="208">
        <f t="shared" si="22"/>
        <v>40</v>
      </c>
      <c r="BQ22" s="208">
        <f t="shared" si="22"/>
        <v>40</v>
      </c>
      <c r="BR22" s="208">
        <f t="shared" si="23"/>
        <v>40</v>
      </c>
      <c r="BS22" s="208">
        <f t="shared" si="23"/>
        <v>40</v>
      </c>
      <c r="BT22" s="208">
        <f t="shared" si="23"/>
        <v>40</v>
      </c>
      <c r="BU22" s="208">
        <f t="shared" si="23"/>
        <v>40</v>
      </c>
      <c r="BV22" s="208">
        <f t="shared" si="23"/>
        <v>40</v>
      </c>
      <c r="BW22" s="208">
        <f t="shared" si="23"/>
        <v>40</v>
      </c>
    </row>
    <row r="23" spans="1:75" ht="49.5" customHeight="1">
      <c r="A23" s="8">
        <v>155</v>
      </c>
      <c r="B23" s="4" t="s">
        <v>321</v>
      </c>
      <c r="C23" s="4" t="s">
        <v>19</v>
      </c>
      <c r="D23" s="4">
        <v>2</v>
      </c>
      <c r="E23" s="37" t="s">
        <v>320</v>
      </c>
      <c r="F23" s="4" t="s">
        <v>322</v>
      </c>
      <c r="G23" s="11" t="s">
        <v>323</v>
      </c>
      <c r="H23" s="11" t="s">
        <v>486</v>
      </c>
      <c r="I23" s="24" t="s">
        <v>1133</v>
      </c>
      <c r="J23" s="24" t="s">
        <v>324</v>
      </c>
      <c r="K23" s="24" t="s">
        <v>540</v>
      </c>
      <c r="L23" s="24" t="s">
        <v>325</v>
      </c>
      <c r="M23" s="26" t="s">
        <v>74</v>
      </c>
      <c r="N23" s="28">
        <v>44625</v>
      </c>
      <c r="O23" s="5" t="s">
        <v>51</v>
      </c>
      <c r="P23" s="5" t="s">
        <v>55</v>
      </c>
      <c r="Q23" s="4" t="s">
        <v>812</v>
      </c>
      <c r="R23" s="4" t="s">
        <v>965</v>
      </c>
      <c r="S23" s="4" t="s">
        <v>1271</v>
      </c>
      <c r="T23" s="92">
        <v>31.2</v>
      </c>
      <c r="U23" s="92">
        <v>71.6</v>
      </c>
      <c r="V23" s="167">
        <f>((0.056+0.056+0.083+0.1+0.111+0.139+0.333+0.183+0.144+0.178+0.172+0.167+0.25+0.167+0.283+0.2+0.117)/17)</f>
        <v>0.16111764705882353</v>
      </c>
      <c r="W23" s="92">
        <v>10</v>
      </c>
      <c r="X23" s="167">
        <f>V23*T23*W23*0.0036</f>
        <v>0.1809673411764706</v>
      </c>
      <c r="Y23" s="167">
        <f>V23*U23*W23*0.0036</f>
        <v>0.4152968470588235</v>
      </c>
      <c r="Z23" s="5">
        <v>30</v>
      </c>
      <c r="AA23" s="5">
        <v>12</v>
      </c>
      <c r="AB23" s="29">
        <f t="shared" si="24"/>
        <v>65.14824282352942</v>
      </c>
      <c r="AC23" s="29">
        <f t="shared" si="25"/>
        <v>149.50686494117647</v>
      </c>
      <c r="AD23" s="11" t="s">
        <v>1021</v>
      </c>
      <c r="AE23" s="5">
        <v>31.2</v>
      </c>
      <c r="AF23" s="5">
        <v>71.6</v>
      </c>
      <c r="AG23" s="34">
        <f>((0.056+0.056+0.083+0.1+0.111+0.139+0.333+0.183+0.144+0.178+0.172+0.167+0.25+0.167+0.283+0.2+0.117)/17)</f>
        <v>0.16111764705882353</v>
      </c>
      <c r="AH23" s="5">
        <v>8</v>
      </c>
      <c r="AI23" s="34">
        <f>AG23*AE23*AH23*0.0036</f>
        <v>0.14477387294117647</v>
      </c>
      <c r="AJ23" s="34">
        <f>AG23*AF23*AH23*0.0036</f>
        <v>0.3322374776470588</v>
      </c>
      <c r="AK23" s="5">
        <v>30</v>
      </c>
      <c r="AL23" s="5">
        <v>12</v>
      </c>
      <c r="AM23" s="29">
        <f t="shared" si="13"/>
        <v>52.11859425882353</v>
      </c>
      <c r="AN23" s="81">
        <f t="shared" si="14"/>
        <v>119.60549195294116</v>
      </c>
      <c r="AO23" s="191" t="s">
        <v>1276</v>
      </c>
      <c r="AP23" s="191">
        <v>90</v>
      </c>
      <c r="AQ23" s="191">
        <v>90</v>
      </c>
      <c r="AR23" s="31">
        <f t="shared" si="15"/>
        <v>31.2</v>
      </c>
      <c r="AS23" s="31">
        <f t="shared" si="16"/>
        <v>71.6</v>
      </c>
      <c r="AT23" s="111">
        <f t="shared" si="17"/>
        <v>0.16111764705882353</v>
      </c>
      <c r="AU23" s="5">
        <v>8</v>
      </c>
      <c r="AV23" s="111">
        <f t="shared" si="18"/>
        <v>0.14477387294117647</v>
      </c>
      <c r="AW23" s="111">
        <f t="shared" si="19"/>
        <v>0.3322374776470588</v>
      </c>
      <c r="AX23" s="5">
        <v>30</v>
      </c>
      <c r="AY23" s="5">
        <v>12</v>
      </c>
      <c r="AZ23" s="7">
        <f t="shared" si="20"/>
        <v>52.11859425882353</v>
      </c>
      <c r="BA23" s="7">
        <f t="shared" si="21"/>
        <v>119.60549195294116</v>
      </c>
      <c r="BB23" s="5">
        <v>90</v>
      </c>
      <c r="BC23" s="5">
        <v>90</v>
      </c>
      <c r="BD23" s="111">
        <f t="shared" si="0"/>
        <v>0.16111764705882353</v>
      </c>
      <c r="BE23" s="8">
        <f t="shared" si="0"/>
        <v>8</v>
      </c>
      <c r="BF23" s="111">
        <f t="shared" si="1"/>
        <v>0.4176169411764706</v>
      </c>
      <c r="BG23" s="111">
        <f t="shared" si="2"/>
        <v>0.4176169411764706</v>
      </c>
      <c r="BH23" s="8">
        <f t="shared" si="3"/>
        <v>30</v>
      </c>
      <c r="BI23" s="8">
        <f t="shared" si="3"/>
        <v>12</v>
      </c>
      <c r="BJ23" s="111">
        <f t="shared" si="4"/>
        <v>150.3420988235294</v>
      </c>
      <c r="BK23" s="111">
        <f t="shared" si="5"/>
        <v>150.3420988235294</v>
      </c>
      <c r="BL23" s="41">
        <f t="shared" si="6"/>
        <v>101.23034654117646</v>
      </c>
      <c r="BM23" s="41">
        <f t="shared" si="6"/>
        <v>134.9737953882353</v>
      </c>
      <c r="BN23" s="208">
        <f t="shared" si="26"/>
        <v>160</v>
      </c>
      <c r="BO23" s="208">
        <f t="shared" si="22"/>
        <v>160</v>
      </c>
      <c r="BP23" s="208">
        <f t="shared" si="22"/>
        <v>110</v>
      </c>
      <c r="BQ23" s="208">
        <f t="shared" si="22"/>
        <v>140</v>
      </c>
      <c r="BR23" s="208">
        <f t="shared" si="23"/>
        <v>110</v>
      </c>
      <c r="BS23" s="208">
        <f t="shared" si="23"/>
        <v>140</v>
      </c>
      <c r="BT23" s="208">
        <f t="shared" si="23"/>
        <v>110</v>
      </c>
      <c r="BU23" s="208">
        <f t="shared" si="23"/>
        <v>140</v>
      </c>
      <c r="BV23" s="208">
        <f t="shared" si="23"/>
        <v>110</v>
      </c>
      <c r="BW23" s="208">
        <f t="shared" si="23"/>
        <v>140</v>
      </c>
    </row>
    <row r="24" spans="1:75" ht="49.5" customHeight="1">
      <c r="A24" s="4">
        <v>156</v>
      </c>
      <c r="B24" s="4" t="s">
        <v>119</v>
      </c>
      <c r="C24" s="4" t="s">
        <v>19</v>
      </c>
      <c r="D24" s="4">
        <v>2</v>
      </c>
      <c r="E24" s="4" t="s">
        <v>120</v>
      </c>
      <c r="F24" s="4" t="s">
        <v>169</v>
      </c>
      <c r="G24" s="4" t="s">
        <v>462</v>
      </c>
      <c r="H24" s="4" t="s">
        <v>486</v>
      </c>
      <c r="I24" s="4" t="s">
        <v>555</v>
      </c>
      <c r="J24" s="25">
        <v>44016</v>
      </c>
      <c r="K24" s="53" t="s">
        <v>556</v>
      </c>
      <c r="L24" s="53" t="s">
        <v>10</v>
      </c>
      <c r="M24" s="8" t="s">
        <v>74</v>
      </c>
      <c r="N24" s="9">
        <v>2026</v>
      </c>
      <c r="O24" s="4" t="s">
        <v>51</v>
      </c>
      <c r="P24" s="8" t="s">
        <v>55</v>
      </c>
      <c r="Q24" s="4" t="s">
        <v>813</v>
      </c>
      <c r="R24" s="4" t="s">
        <v>966</v>
      </c>
      <c r="S24" s="4" t="s">
        <v>1272</v>
      </c>
      <c r="T24" s="8">
        <v>23</v>
      </c>
      <c r="U24" s="8">
        <v>12</v>
      </c>
      <c r="V24" s="8">
        <f>(0.22+0.3+0.96+5.41+0.04)/5</f>
        <v>1.3860000000000001</v>
      </c>
      <c r="W24" s="8">
        <v>8</v>
      </c>
      <c r="X24" s="7">
        <f>V24*T24*W24*0.0036</f>
        <v>0.9180864000000001</v>
      </c>
      <c r="Y24" s="7">
        <f>V24*U24*W24*0.0036</f>
        <v>0.4790016</v>
      </c>
      <c r="Z24" s="8">
        <v>22</v>
      </c>
      <c r="AA24" s="8">
        <v>12</v>
      </c>
      <c r="AB24" s="13">
        <f t="shared" si="24"/>
        <v>242.37480960000005</v>
      </c>
      <c r="AC24" s="13">
        <f t="shared" si="25"/>
        <v>126.45642240000001</v>
      </c>
      <c r="AD24" s="4" t="s">
        <v>1126</v>
      </c>
      <c r="AE24" s="8">
        <v>4</v>
      </c>
      <c r="AF24" s="8">
        <v>20</v>
      </c>
      <c r="AG24" s="8">
        <v>1.549</v>
      </c>
      <c r="AH24" s="8">
        <v>8</v>
      </c>
      <c r="AI24" s="7">
        <f>AG24*AE24*AH24*0.0036</f>
        <v>0.1784448</v>
      </c>
      <c r="AJ24" s="7">
        <f>AG24*AF24*AH24*0.0036</f>
        <v>0.8922239999999999</v>
      </c>
      <c r="AK24" s="8">
        <v>26</v>
      </c>
      <c r="AL24" s="8">
        <v>12</v>
      </c>
      <c r="AM24" s="13">
        <f t="shared" si="13"/>
        <v>55.6747776</v>
      </c>
      <c r="AN24" s="80">
        <f t="shared" si="14"/>
        <v>278.37388799999997</v>
      </c>
      <c r="AO24" s="191" t="s">
        <v>1276</v>
      </c>
      <c r="AP24" s="191">
        <v>90</v>
      </c>
      <c r="AQ24" s="191">
        <v>90</v>
      </c>
      <c r="AR24" s="31">
        <f t="shared" si="15"/>
        <v>12.972402044293016</v>
      </c>
      <c r="AS24" s="31">
        <f t="shared" si="16"/>
        <v>16.222146507666096</v>
      </c>
      <c r="AT24" s="111">
        <f t="shared" si="17"/>
        <v>1.4675</v>
      </c>
      <c r="AU24" s="8">
        <v>8</v>
      </c>
      <c r="AV24" s="111">
        <f t="shared" si="18"/>
        <v>0.5482656</v>
      </c>
      <c r="AW24" s="111">
        <f t="shared" si="19"/>
        <v>0.6856127999999999</v>
      </c>
      <c r="AX24" s="8">
        <v>26</v>
      </c>
      <c r="AY24" s="8">
        <v>12</v>
      </c>
      <c r="AZ24" s="7">
        <f t="shared" si="20"/>
        <v>171.0588672</v>
      </c>
      <c r="BA24" s="7">
        <f t="shared" si="21"/>
        <v>213.91119359999996</v>
      </c>
      <c r="BB24" s="5">
        <v>90</v>
      </c>
      <c r="BC24" s="5">
        <v>90</v>
      </c>
      <c r="BD24" s="111">
        <f t="shared" si="0"/>
        <v>1.4675</v>
      </c>
      <c r="BE24" s="8">
        <f t="shared" si="0"/>
        <v>8</v>
      </c>
      <c r="BF24" s="111">
        <f t="shared" si="1"/>
        <v>3.8037599999999996</v>
      </c>
      <c r="BG24" s="111">
        <f t="shared" si="2"/>
        <v>3.8037599999999996</v>
      </c>
      <c r="BH24" s="8">
        <f t="shared" si="3"/>
        <v>26</v>
      </c>
      <c r="BI24" s="8">
        <f t="shared" si="3"/>
        <v>12</v>
      </c>
      <c r="BJ24" s="111">
        <f t="shared" si="4"/>
        <v>1186.7731199999998</v>
      </c>
      <c r="BK24" s="111">
        <f t="shared" si="5"/>
        <v>1186.7731199999998</v>
      </c>
      <c r="BL24" s="41">
        <f t="shared" si="6"/>
        <v>678.9159935999999</v>
      </c>
      <c r="BM24" s="41">
        <f t="shared" si="6"/>
        <v>700.3421567999999</v>
      </c>
      <c r="BN24" s="208">
        <f t="shared" si="26"/>
        <v>1190</v>
      </c>
      <c r="BO24" s="208">
        <f t="shared" si="22"/>
        <v>1190</v>
      </c>
      <c r="BP24" s="208">
        <f t="shared" si="22"/>
        <v>680</v>
      </c>
      <c r="BQ24" s="208">
        <f t="shared" si="22"/>
        <v>710</v>
      </c>
      <c r="BR24" s="208">
        <f t="shared" si="23"/>
        <v>680</v>
      </c>
      <c r="BS24" s="208">
        <f t="shared" si="23"/>
        <v>710</v>
      </c>
      <c r="BT24" s="208">
        <f t="shared" si="23"/>
        <v>680</v>
      </c>
      <c r="BU24" s="208">
        <f t="shared" si="23"/>
        <v>710</v>
      </c>
      <c r="BV24" s="208">
        <f t="shared" si="23"/>
        <v>680</v>
      </c>
      <c r="BW24" s="208">
        <f t="shared" si="23"/>
        <v>710</v>
      </c>
    </row>
    <row r="25" spans="1:75" ht="49.5" customHeight="1">
      <c r="A25" s="4">
        <v>157</v>
      </c>
      <c r="B25" s="4" t="s">
        <v>20</v>
      </c>
      <c r="C25" s="4" t="s">
        <v>19</v>
      </c>
      <c r="D25" s="4">
        <v>2</v>
      </c>
      <c r="E25" s="4" t="s">
        <v>148</v>
      </c>
      <c r="F25" s="4" t="s">
        <v>195</v>
      </c>
      <c r="G25" s="4" t="s">
        <v>445</v>
      </c>
      <c r="H25" s="4" t="s">
        <v>11</v>
      </c>
      <c r="I25" s="9" t="s">
        <v>67</v>
      </c>
      <c r="J25" s="9" t="s">
        <v>67</v>
      </c>
      <c r="K25" s="9" t="s">
        <v>67</v>
      </c>
      <c r="L25" s="9" t="s">
        <v>67</v>
      </c>
      <c r="M25" s="9" t="s">
        <v>67</v>
      </c>
      <c r="N25" s="9" t="s">
        <v>67</v>
      </c>
      <c r="O25" s="8" t="s">
        <v>51</v>
      </c>
      <c r="P25" s="4" t="s">
        <v>55</v>
      </c>
      <c r="Q25" s="4" t="s">
        <v>814</v>
      </c>
      <c r="R25" s="4" t="s">
        <v>967</v>
      </c>
      <c r="S25" s="4" t="s">
        <v>1273</v>
      </c>
      <c r="T25" s="13">
        <f>(T26*V26+T27*V27)/(V26+V27)</f>
        <v>57.066697792303074</v>
      </c>
      <c r="U25" s="215">
        <v>50</v>
      </c>
      <c r="V25" s="13">
        <f>AVERAGE(V26:V27)</f>
        <v>0.29986</v>
      </c>
      <c r="W25" s="8">
        <v>8</v>
      </c>
      <c r="X25" s="7">
        <f>T25*V25*W25*0.0036</f>
        <v>0.492826176</v>
      </c>
      <c r="Y25" s="7">
        <f>U25*V25*W25*0.0036</f>
        <v>0.43179839999999997</v>
      </c>
      <c r="Z25" s="8">
        <v>30</v>
      </c>
      <c r="AA25" s="8">
        <v>12</v>
      </c>
      <c r="AB25" s="13">
        <f>AVERAGE(AB26:AB27)</f>
        <v>221.77177920000005</v>
      </c>
      <c r="AC25" s="13">
        <f>AVERAGE(AC26:AC27)</f>
        <v>206.35609248</v>
      </c>
      <c r="AD25" s="4" t="s">
        <v>1125</v>
      </c>
      <c r="AE25" s="13">
        <f>(AE26*AG26+AE27*AG27)/(AG26+AG27)</f>
        <v>57.066697792303074</v>
      </c>
      <c r="AF25" s="215">
        <v>50</v>
      </c>
      <c r="AG25" s="13">
        <f>AVERAGE(AG26:AG27)</f>
        <v>0.29986</v>
      </c>
      <c r="AH25" s="8">
        <v>8</v>
      </c>
      <c r="AI25" s="7">
        <f>AE25*AG25*AH25*0.0036</f>
        <v>0.492826176</v>
      </c>
      <c r="AJ25" s="7">
        <f>AF25*AG25*AH25*0.0036</f>
        <v>0.43179839999999997</v>
      </c>
      <c r="AK25" s="8">
        <v>30</v>
      </c>
      <c r="AL25" s="8">
        <v>12</v>
      </c>
      <c r="AM25" s="13">
        <f>AVERAGE(AM26:AM27)</f>
        <v>221.77177920000005</v>
      </c>
      <c r="AN25" s="80">
        <f>AVERAGE(AN26:AN27)</f>
        <v>206.35609248</v>
      </c>
      <c r="AO25" s="131"/>
      <c r="AP25" s="131"/>
      <c r="AQ25" s="131"/>
      <c r="AR25" s="31">
        <f t="shared" si="15"/>
        <v>57.066697792303074</v>
      </c>
      <c r="AS25" s="31">
        <f t="shared" si="16"/>
        <v>50</v>
      </c>
      <c r="AT25" s="111">
        <f t="shared" si="17"/>
        <v>0.29986</v>
      </c>
      <c r="AU25" s="8">
        <v>8</v>
      </c>
      <c r="AV25" s="111">
        <f t="shared" si="18"/>
        <v>0.492826176</v>
      </c>
      <c r="AW25" s="111">
        <f t="shared" si="19"/>
        <v>0.43179839999999997</v>
      </c>
      <c r="AX25" s="8">
        <v>30</v>
      </c>
      <c r="AY25" s="8">
        <v>12</v>
      </c>
      <c r="AZ25" s="7">
        <f t="shared" si="20"/>
        <v>177.41742336</v>
      </c>
      <c r="BA25" s="7">
        <f t="shared" si="21"/>
        <v>155.44742399999998</v>
      </c>
      <c r="BB25" s="217">
        <v>80</v>
      </c>
      <c r="BC25" s="217">
        <v>50</v>
      </c>
      <c r="BD25" s="111">
        <f t="shared" si="0"/>
        <v>0.29986</v>
      </c>
      <c r="BE25" s="8">
        <f t="shared" si="0"/>
        <v>8</v>
      </c>
      <c r="BF25" s="111">
        <f t="shared" si="1"/>
        <v>0.6908774400000001</v>
      </c>
      <c r="BG25" s="111">
        <f t="shared" si="2"/>
        <v>0.43179839999999997</v>
      </c>
      <c r="BH25" s="8">
        <f t="shared" si="3"/>
        <v>30</v>
      </c>
      <c r="BI25" s="8">
        <f t="shared" si="3"/>
        <v>12</v>
      </c>
      <c r="BJ25" s="111">
        <f t="shared" si="4"/>
        <v>248.71587840000004</v>
      </c>
      <c r="BK25" s="111">
        <f t="shared" si="5"/>
        <v>155.44742399999998</v>
      </c>
      <c r="BL25" s="41">
        <f t="shared" si="6"/>
        <v>213.06665088</v>
      </c>
      <c r="BM25" s="41">
        <f t="shared" si="6"/>
        <v>155.44742399999998</v>
      </c>
      <c r="BN25" s="208">
        <f t="shared" si="26"/>
        <v>250</v>
      </c>
      <c r="BO25" s="208">
        <f t="shared" si="22"/>
        <v>160</v>
      </c>
      <c r="BP25" s="208">
        <f t="shared" si="22"/>
        <v>220</v>
      </c>
      <c r="BQ25" s="208">
        <f t="shared" si="22"/>
        <v>160</v>
      </c>
      <c r="BR25" s="208">
        <f t="shared" si="23"/>
        <v>220</v>
      </c>
      <c r="BS25" s="208">
        <f t="shared" si="23"/>
        <v>160</v>
      </c>
      <c r="BT25" s="208">
        <f t="shared" si="23"/>
        <v>220</v>
      </c>
      <c r="BU25" s="208">
        <f t="shared" si="23"/>
        <v>160</v>
      </c>
      <c r="BV25" s="208">
        <f t="shared" si="23"/>
        <v>220</v>
      </c>
      <c r="BW25" s="208">
        <f t="shared" si="23"/>
        <v>160</v>
      </c>
    </row>
    <row r="26" spans="1:75" ht="49.5" customHeight="1" hidden="1">
      <c r="A26" s="4"/>
      <c r="B26" s="4"/>
      <c r="C26" s="4"/>
      <c r="D26" s="4"/>
      <c r="E26" s="4"/>
      <c r="F26" s="4"/>
      <c r="G26" s="4"/>
      <c r="H26" s="4"/>
      <c r="I26" s="9"/>
      <c r="J26" s="9"/>
      <c r="K26" s="9"/>
      <c r="L26" s="9"/>
      <c r="M26" s="9"/>
      <c r="N26" s="9"/>
      <c r="O26" s="8"/>
      <c r="P26" s="4"/>
      <c r="Q26" s="4"/>
      <c r="R26" s="4"/>
      <c r="S26" s="4" t="s">
        <v>692</v>
      </c>
      <c r="T26" s="8">
        <v>47</v>
      </c>
      <c r="U26" s="8">
        <v>83.3</v>
      </c>
      <c r="V26" s="7">
        <f>(0.027+0.016+0.116+0.033+0.0116)/5</f>
        <v>0.04072</v>
      </c>
      <c r="W26" s="8">
        <v>10</v>
      </c>
      <c r="X26" s="7">
        <f>V26*T26*W26*0.0036</f>
        <v>0.06889824</v>
      </c>
      <c r="Y26" s="7">
        <f>V26*U26*W26*0.0036</f>
        <v>0.12211113599999998</v>
      </c>
      <c r="Z26" s="8">
        <v>30</v>
      </c>
      <c r="AA26" s="8">
        <v>12</v>
      </c>
      <c r="AB26" s="13">
        <f>X26*Z26*AA26</f>
        <v>24.8033664</v>
      </c>
      <c r="AC26" s="13">
        <f>Y26*Z26*AA26</f>
        <v>43.960008959999996</v>
      </c>
      <c r="AD26" s="4" t="s">
        <v>692</v>
      </c>
      <c r="AE26" s="8">
        <v>47</v>
      </c>
      <c r="AF26" s="8">
        <v>83.3</v>
      </c>
      <c r="AG26" s="7">
        <f>(0.027+0.016+0.116+0.033+0.0116)/5</f>
        <v>0.04072</v>
      </c>
      <c r="AH26" s="8">
        <v>10</v>
      </c>
      <c r="AI26" s="7">
        <f>AG26*AE26*AH26*0.0036</f>
        <v>0.06889824</v>
      </c>
      <c r="AJ26" s="7">
        <f>AG26*AF26*AH26*0.0036</f>
        <v>0.12211113599999998</v>
      </c>
      <c r="AK26" s="8">
        <v>30</v>
      </c>
      <c r="AL26" s="8">
        <v>12</v>
      </c>
      <c r="AM26" s="13">
        <f>AI26*AK26*AL26</f>
        <v>24.8033664</v>
      </c>
      <c r="AN26" s="80">
        <f>AJ26*AK26*AL26</f>
        <v>43.960008959999996</v>
      </c>
      <c r="AO26" s="131"/>
      <c r="AP26" s="131"/>
      <c r="AQ26" s="131"/>
      <c r="AR26" s="131"/>
      <c r="AS26" s="131"/>
      <c r="AT26" s="131"/>
      <c r="AU26" s="131"/>
      <c r="AV26" s="131"/>
      <c r="AW26" s="131"/>
      <c r="AX26" s="131"/>
      <c r="AY26" s="131"/>
      <c r="AZ26" s="131"/>
      <c r="BA26" s="131"/>
      <c r="BB26" s="131"/>
      <c r="BC26" s="131"/>
      <c r="BD26" s="111"/>
      <c r="BE26" s="8"/>
      <c r="BF26" s="111"/>
      <c r="BG26" s="111"/>
      <c r="BH26" s="8"/>
      <c r="BI26" s="8"/>
      <c r="BJ26" s="111"/>
      <c r="BK26" s="111"/>
      <c r="BL26" s="41"/>
      <c r="BM26" s="41"/>
      <c r="BN26" s="208"/>
      <c r="BO26" s="208"/>
      <c r="BP26" s="208"/>
      <c r="BQ26" s="208"/>
      <c r="BR26" s="208"/>
      <c r="BS26" s="208"/>
      <c r="BT26" s="208"/>
      <c r="BU26" s="208"/>
      <c r="BV26" s="208"/>
      <c r="BW26" s="208"/>
    </row>
    <row r="27" spans="1:75" ht="49.5" customHeight="1" hidden="1">
      <c r="A27" s="4"/>
      <c r="B27" s="4"/>
      <c r="C27" s="4"/>
      <c r="D27" s="4"/>
      <c r="E27" s="4"/>
      <c r="F27" s="4"/>
      <c r="G27" s="4"/>
      <c r="H27" s="4"/>
      <c r="I27" s="9"/>
      <c r="J27" s="9"/>
      <c r="K27" s="9"/>
      <c r="L27" s="9"/>
      <c r="M27" s="9"/>
      <c r="N27" s="9"/>
      <c r="O27" s="8"/>
      <c r="P27" s="4"/>
      <c r="Q27" s="4"/>
      <c r="R27" s="4"/>
      <c r="S27" s="4" t="s">
        <v>693</v>
      </c>
      <c r="T27" s="8">
        <v>57.8</v>
      </c>
      <c r="U27" s="8">
        <v>50.9</v>
      </c>
      <c r="V27" s="7">
        <v>0.559</v>
      </c>
      <c r="W27" s="8">
        <v>10</v>
      </c>
      <c r="X27" s="7">
        <f>V27*T27*W27*0.0036</f>
        <v>1.1631672000000002</v>
      </c>
      <c r="Y27" s="7">
        <f>V27*U27*W27*0.0036</f>
        <v>1.0243116</v>
      </c>
      <c r="Z27" s="8">
        <v>30</v>
      </c>
      <c r="AA27" s="8">
        <v>12</v>
      </c>
      <c r="AB27" s="13">
        <f>X27*Z27*AA27</f>
        <v>418.7401920000001</v>
      </c>
      <c r="AC27" s="13">
        <f>Y27*Z27*AA27</f>
        <v>368.752176</v>
      </c>
      <c r="AD27" s="4" t="s">
        <v>693</v>
      </c>
      <c r="AE27" s="8">
        <v>57.8</v>
      </c>
      <c r="AF27" s="8">
        <v>50.9</v>
      </c>
      <c r="AG27" s="7">
        <v>0.559</v>
      </c>
      <c r="AH27" s="8">
        <v>10</v>
      </c>
      <c r="AI27" s="7">
        <f>AG27*AE27*AH27*0.0036</f>
        <v>1.1631672000000002</v>
      </c>
      <c r="AJ27" s="7">
        <f>AG27*AF27*AH27*0.0036</f>
        <v>1.0243116</v>
      </c>
      <c r="AK27" s="8">
        <v>30</v>
      </c>
      <c r="AL27" s="8">
        <v>12</v>
      </c>
      <c r="AM27" s="13">
        <f>AI27*AK27*AL27</f>
        <v>418.7401920000001</v>
      </c>
      <c r="AN27" s="80">
        <f>AJ27*AK27*AL27</f>
        <v>368.752176</v>
      </c>
      <c r="AO27" s="131"/>
      <c r="AP27" s="131"/>
      <c r="AQ27" s="131"/>
      <c r="AR27" s="131"/>
      <c r="AS27" s="131"/>
      <c r="AT27" s="131"/>
      <c r="AU27" s="131"/>
      <c r="AV27" s="131"/>
      <c r="AW27" s="131"/>
      <c r="AX27" s="131"/>
      <c r="AY27" s="131"/>
      <c r="AZ27" s="131"/>
      <c r="BA27" s="131"/>
      <c r="BB27" s="131"/>
      <c r="BC27" s="131"/>
      <c r="BD27" s="111"/>
      <c r="BE27" s="8"/>
      <c r="BF27" s="111"/>
      <c r="BG27" s="111"/>
      <c r="BH27" s="8"/>
      <c r="BI27" s="8"/>
      <c r="BJ27" s="111"/>
      <c r="BK27" s="111"/>
      <c r="BL27" s="41"/>
      <c r="BM27" s="41"/>
      <c r="BN27" s="208"/>
      <c r="BO27" s="208"/>
      <c r="BP27" s="208"/>
      <c r="BQ27" s="208"/>
      <c r="BR27" s="208"/>
      <c r="BS27" s="208"/>
      <c r="BT27" s="208"/>
      <c r="BU27" s="208"/>
      <c r="BV27" s="208"/>
      <c r="BW27" s="208"/>
    </row>
    <row r="29" spans="74:75" ht="15">
      <c r="BV29" s="229"/>
      <c r="BW29" s="229"/>
    </row>
  </sheetData>
  <sheetProtection/>
  <mergeCells count="85">
    <mergeCell ref="A2:A3"/>
    <mergeCell ref="B2:B3"/>
    <mergeCell ref="C2:C3"/>
    <mergeCell ref="D2:D3"/>
    <mergeCell ref="E2:E3"/>
    <mergeCell ref="F2:F3"/>
    <mergeCell ref="G2:G3"/>
    <mergeCell ref="H2:N2"/>
    <mergeCell ref="O2:O3"/>
    <mergeCell ref="P2:P3"/>
    <mergeCell ref="Q2:R2"/>
    <mergeCell ref="S2:S3"/>
    <mergeCell ref="AD2:AD3"/>
    <mergeCell ref="AE2:AE3"/>
    <mergeCell ref="T2:T3"/>
    <mergeCell ref="U2:U3"/>
    <mergeCell ref="V2:V3"/>
    <mergeCell ref="W2:W3"/>
    <mergeCell ref="AC2:AC3"/>
    <mergeCell ref="AF2:AF3"/>
    <mergeCell ref="AG2:AG3"/>
    <mergeCell ref="AH2:AH3"/>
    <mergeCell ref="AI2:AI3"/>
    <mergeCell ref="AJ2:AJ3"/>
    <mergeCell ref="AK2:AK3"/>
    <mergeCell ref="BT2:BU2"/>
    <mergeCell ref="BV2:BW2"/>
    <mergeCell ref="BL2:BL3"/>
    <mergeCell ref="BM2:BM3"/>
    <mergeCell ref="BN2:BO2"/>
    <mergeCell ref="BP2:BQ2"/>
    <mergeCell ref="BJ2:BJ3"/>
    <mergeCell ref="BE2:BE3"/>
    <mergeCell ref="BF2:BF3"/>
    <mergeCell ref="AZ2:AZ3"/>
    <mergeCell ref="BA2:BA3"/>
    <mergeCell ref="BR2:BS2"/>
    <mergeCell ref="BD2:BD3"/>
    <mergeCell ref="BC2:BC3"/>
    <mergeCell ref="BG2:BG3"/>
    <mergeCell ref="BH2:BH3"/>
    <mergeCell ref="BI2:BI3"/>
    <mergeCell ref="Z2:Z3"/>
    <mergeCell ref="AA2:AA3"/>
    <mergeCell ref="AB2:AB3"/>
    <mergeCell ref="AU2:AU3"/>
    <mergeCell ref="AV2:AV3"/>
    <mergeCell ref="AM2:AM3"/>
    <mergeCell ref="AN2:AN3"/>
    <mergeCell ref="AS2:AS3"/>
    <mergeCell ref="AT2:AT3"/>
    <mergeCell ref="AL2:AL3"/>
    <mergeCell ref="BB2:BB3"/>
    <mergeCell ref="AX2:AX3"/>
    <mergeCell ref="AY2:AY3"/>
    <mergeCell ref="AO2:AO3"/>
    <mergeCell ref="AP2:AP3"/>
    <mergeCell ref="AQ2:AQ3"/>
    <mergeCell ref="S1:AC1"/>
    <mergeCell ref="AD1:AN1"/>
    <mergeCell ref="AO1:AQ1"/>
    <mergeCell ref="AR1:BA1"/>
    <mergeCell ref="BB1:BK1"/>
    <mergeCell ref="BK2:BK3"/>
    <mergeCell ref="X2:X3"/>
    <mergeCell ref="Y2:Y3"/>
    <mergeCell ref="AW2:AW3"/>
    <mergeCell ref="AR2:AR3"/>
    <mergeCell ref="BL1:BM1"/>
    <mergeCell ref="BN1:BW1"/>
    <mergeCell ref="A14:A15"/>
    <mergeCell ref="B14:B15"/>
    <mergeCell ref="C14:C15"/>
    <mergeCell ref="D14:D15"/>
    <mergeCell ref="E14:E15"/>
    <mergeCell ref="F14:F15"/>
    <mergeCell ref="G14:G15"/>
    <mergeCell ref="H14:H15"/>
    <mergeCell ref="O14:O15"/>
    <mergeCell ref="I14:I15"/>
    <mergeCell ref="J14:J15"/>
    <mergeCell ref="K14:K15"/>
    <mergeCell ref="L14:L15"/>
    <mergeCell ref="M14:M15"/>
    <mergeCell ref="N14:N15"/>
  </mergeCells>
  <conditionalFormatting sqref="E18">
    <cfRule type="duplicateValues" priority="1" dxfId="5">
      <formula>AND(COUNTIF($E$18:$E$18,E18)&gt;1,NOT(ISBLANK(E18)))</formula>
    </cfRule>
  </conditionalFormatting>
  <printOptions/>
  <pageMargins left="0.7" right="0.7" top="0.75" bottom="0.75" header="0.3" footer="0.3"/>
  <pageSetup horizontalDpi="600" verticalDpi="600" orientation="portrait" r:id="rId1"/>
  <ignoredErrors>
    <ignoredError sqref="BP12:BQ12" formula="1"/>
  </ignoredErrors>
</worksheet>
</file>

<file path=xl/worksheets/sheet6.xml><?xml version="1.0" encoding="utf-8"?>
<worksheet xmlns="http://schemas.openxmlformats.org/spreadsheetml/2006/main" xmlns:r="http://schemas.openxmlformats.org/officeDocument/2006/relationships">
  <dimension ref="A1:BW47"/>
  <sheetViews>
    <sheetView zoomScale="90" zoomScaleNormal="90" zoomScalePageLayoutView="0" workbookViewId="0" topLeftCell="A1">
      <pane xSplit="5" ySplit="3" topLeftCell="BN4" activePane="bottomRight" state="frozen"/>
      <selection pane="topLeft" activeCell="A1" sqref="A1"/>
      <selection pane="topRight" activeCell="F1" sqref="F1"/>
      <selection pane="bottomLeft" activeCell="A3" sqref="A3"/>
      <selection pane="bottomRight" activeCell="A1" sqref="A1"/>
    </sheetView>
  </sheetViews>
  <sheetFormatPr defaultColWidth="11.421875" defaultRowHeight="15"/>
  <cols>
    <col min="1" max="1" width="11.421875" style="2" customWidth="1"/>
    <col min="2" max="2" width="13.28125" style="2" customWidth="1"/>
    <col min="3" max="4" width="11.421875" style="2" customWidth="1"/>
    <col min="5" max="5" width="30.140625" style="2" bestFit="1" customWidth="1"/>
    <col min="6" max="6" width="24.8515625" style="2" hidden="1" customWidth="1"/>
    <col min="7" max="7" width="13.421875" style="2" hidden="1" customWidth="1"/>
    <col min="8" max="8" width="8.421875" style="2" hidden="1" customWidth="1"/>
    <col min="9" max="9" width="11.140625" style="2" hidden="1" customWidth="1"/>
    <col min="10" max="10" width="9.57421875" style="2" hidden="1" customWidth="1"/>
    <col min="11" max="11" width="10.8515625" style="2" hidden="1" customWidth="1"/>
    <col min="12" max="12" width="8.8515625" style="2" hidden="1" customWidth="1"/>
    <col min="13" max="13" width="5.7109375" style="2" hidden="1" customWidth="1"/>
    <col min="14" max="14" width="9.8515625" style="2" hidden="1" customWidth="1"/>
    <col min="15" max="15" width="17.28125" style="2" hidden="1" customWidth="1"/>
    <col min="16" max="16" width="20.421875" style="2" hidden="1" customWidth="1"/>
    <col min="17" max="17" width="10.57421875" style="2" hidden="1" customWidth="1"/>
    <col min="18" max="18" width="11.28125" style="2" hidden="1" customWidth="1"/>
    <col min="19" max="19" width="62.57421875" style="2" hidden="1" customWidth="1"/>
    <col min="20" max="20" width="13.00390625" style="2" hidden="1" customWidth="1"/>
    <col min="21" max="21" width="12.421875" style="2" hidden="1" customWidth="1"/>
    <col min="22" max="22" width="12.57421875" style="2" hidden="1" customWidth="1"/>
    <col min="23" max="23" width="12.140625" style="2" hidden="1" customWidth="1"/>
    <col min="24" max="24" width="17.57421875" style="2" hidden="1" customWidth="1"/>
    <col min="25" max="25" width="16.8515625" style="2" hidden="1" customWidth="1"/>
    <col min="26" max="26" width="25.421875" style="2" hidden="1" customWidth="1"/>
    <col min="27" max="27" width="25.00390625" style="2" hidden="1" customWidth="1"/>
    <col min="28" max="28" width="17.8515625" style="2" hidden="1" customWidth="1"/>
    <col min="29" max="29" width="17.28125" style="2" hidden="1" customWidth="1"/>
    <col min="30" max="30" width="65.421875" style="2" hidden="1" customWidth="1"/>
    <col min="31" max="31" width="13.00390625" style="2" hidden="1" customWidth="1"/>
    <col min="32" max="32" width="12.421875" style="2" hidden="1" customWidth="1"/>
    <col min="33" max="33" width="12.57421875" style="2" hidden="1" customWidth="1"/>
    <col min="34" max="34" width="7.8515625" style="2" hidden="1" customWidth="1"/>
    <col min="35" max="35" width="12.7109375" style="2" hidden="1" customWidth="1"/>
    <col min="36" max="36" width="12.00390625" style="2" hidden="1" customWidth="1"/>
    <col min="37" max="37" width="20.421875" style="2" hidden="1" customWidth="1"/>
    <col min="38" max="38" width="20.140625" style="2" hidden="1" customWidth="1"/>
    <col min="39" max="39" width="13.140625" style="2" hidden="1" customWidth="1"/>
    <col min="40" max="40" width="12.421875" style="2" hidden="1" customWidth="1"/>
    <col min="41" max="41" width="15.28125" style="2" hidden="1" customWidth="1"/>
    <col min="42" max="42" width="10.8515625" style="2" hidden="1" customWidth="1"/>
    <col min="43" max="43" width="7.57421875" style="2" hidden="1" customWidth="1"/>
    <col min="44" max="44" width="8.00390625" style="2" customWidth="1"/>
    <col min="45" max="45" width="7.57421875" style="2" customWidth="1"/>
    <col min="46" max="47" width="7.8515625" style="2" customWidth="1"/>
    <col min="48" max="63" width="11.421875" style="2" customWidth="1"/>
    <col min="64" max="64" width="14.00390625" style="2" customWidth="1"/>
    <col min="65" max="65" width="14.57421875" style="2" customWidth="1"/>
    <col min="66" max="16384" width="11.421875" style="2" customWidth="1"/>
  </cols>
  <sheetData>
    <row r="1" spans="19:75" ht="21" customHeight="1" thickBot="1">
      <c r="S1" s="284" t="s">
        <v>1138</v>
      </c>
      <c r="T1" s="285"/>
      <c r="U1" s="285"/>
      <c r="V1" s="285"/>
      <c r="W1" s="285"/>
      <c r="X1" s="285"/>
      <c r="Y1" s="285"/>
      <c r="Z1" s="285"/>
      <c r="AA1" s="285"/>
      <c r="AB1" s="285"/>
      <c r="AC1" s="286"/>
      <c r="AD1" s="284">
        <v>2020</v>
      </c>
      <c r="AE1" s="285"/>
      <c r="AF1" s="285"/>
      <c r="AG1" s="285"/>
      <c r="AH1" s="285"/>
      <c r="AI1" s="285"/>
      <c r="AJ1" s="285"/>
      <c r="AK1" s="285"/>
      <c r="AL1" s="285"/>
      <c r="AM1" s="285"/>
      <c r="AN1" s="286"/>
      <c r="AO1" s="335" t="s">
        <v>1134</v>
      </c>
      <c r="AP1" s="336"/>
      <c r="AQ1" s="336"/>
      <c r="AR1" s="337" t="s">
        <v>1305</v>
      </c>
      <c r="AS1" s="338"/>
      <c r="AT1" s="338"/>
      <c r="AU1" s="338"/>
      <c r="AV1" s="338"/>
      <c r="AW1" s="338"/>
      <c r="AX1" s="338"/>
      <c r="AY1" s="338"/>
      <c r="AZ1" s="338"/>
      <c r="BA1" s="338"/>
      <c r="BB1" s="329" t="s">
        <v>1141</v>
      </c>
      <c r="BC1" s="330"/>
      <c r="BD1" s="330"/>
      <c r="BE1" s="330"/>
      <c r="BF1" s="330"/>
      <c r="BG1" s="330"/>
      <c r="BH1" s="330"/>
      <c r="BI1" s="330"/>
      <c r="BJ1" s="330"/>
      <c r="BK1" s="330"/>
      <c r="BL1" s="339" t="s">
        <v>1285</v>
      </c>
      <c r="BM1" s="340"/>
      <c r="BN1" s="282" t="s">
        <v>1283</v>
      </c>
      <c r="BO1" s="282"/>
      <c r="BP1" s="282"/>
      <c r="BQ1" s="282"/>
      <c r="BR1" s="282"/>
      <c r="BS1" s="282"/>
      <c r="BT1" s="282"/>
      <c r="BU1" s="282"/>
      <c r="BV1" s="282"/>
      <c r="BW1" s="282"/>
    </row>
    <row r="2" spans="1:75" ht="21.75" customHeight="1">
      <c r="A2" s="281" t="s">
        <v>0</v>
      </c>
      <c r="B2" s="281" t="s">
        <v>18</v>
      </c>
      <c r="C2" s="281" t="s">
        <v>327</v>
      </c>
      <c r="D2" s="307" t="s">
        <v>40</v>
      </c>
      <c r="E2" s="302" t="s">
        <v>1</v>
      </c>
      <c r="F2" s="308" t="s">
        <v>2</v>
      </c>
      <c r="G2" s="281" t="s">
        <v>3</v>
      </c>
      <c r="H2" s="281" t="s">
        <v>4</v>
      </c>
      <c r="I2" s="281"/>
      <c r="J2" s="281"/>
      <c r="K2" s="281"/>
      <c r="L2" s="281"/>
      <c r="M2" s="281"/>
      <c r="N2" s="281"/>
      <c r="O2" s="281" t="s">
        <v>41</v>
      </c>
      <c r="P2" s="281" t="s">
        <v>42</v>
      </c>
      <c r="Q2" s="281" t="s">
        <v>43</v>
      </c>
      <c r="R2" s="281"/>
      <c r="S2" s="249" t="s">
        <v>1301</v>
      </c>
      <c r="T2" s="233" t="s">
        <v>111</v>
      </c>
      <c r="U2" s="233" t="s">
        <v>44</v>
      </c>
      <c r="V2" s="233" t="s">
        <v>45</v>
      </c>
      <c r="W2" s="233" t="s">
        <v>52</v>
      </c>
      <c r="X2" s="233" t="s">
        <v>112</v>
      </c>
      <c r="Y2" s="233" t="s">
        <v>46</v>
      </c>
      <c r="Z2" s="237" t="s">
        <v>47</v>
      </c>
      <c r="AA2" s="237" t="s">
        <v>48</v>
      </c>
      <c r="AB2" s="275" t="s">
        <v>113</v>
      </c>
      <c r="AC2" s="275" t="s">
        <v>49</v>
      </c>
      <c r="AD2" s="249" t="s">
        <v>1302</v>
      </c>
      <c r="AE2" s="233" t="s">
        <v>111</v>
      </c>
      <c r="AF2" s="233" t="s">
        <v>44</v>
      </c>
      <c r="AG2" s="233" t="s">
        <v>45</v>
      </c>
      <c r="AH2" s="233" t="s">
        <v>52</v>
      </c>
      <c r="AI2" s="233" t="s">
        <v>112</v>
      </c>
      <c r="AJ2" s="233" t="s">
        <v>46</v>
      </c>
      <c r="AK2" s="237" t="s">
        <v>47</v>
      </c>
      <c r="AL2" s="237" t="s">
        <v>48</v>
      </c>
      <c r="AM2" s="275" t="s">
        <v>113</v>
      </c>
      <c r="AN2" s="277" t="s">
        <v>49</v>
      </c>
      <c r="AO2" s="280" t="s">
        <v>1135</v>
      </c>
      <c r="AP2" s="234" t="s">
        <v>111</v>
      </c>
      <c r="AQ2" s="234" t="s">
        <v>1136</v>
      </c>
      <c r="AR2" s="234" t="s">
        <v>111</v>
      </c>
      <c r="AS2" s="234" t="s">
        <v>44</v>
      </c>
      <c r="AT2" s="234" t="s">
        <v>45</v>
      </c>
      <c r="AU2" s="234" t="s">
        <v>52</v>
      </c>
      <c r="AV2" s="234" t="s">
        <v>112</v>
      </c>
      <c r="AW2" s="234" t="s">
        <v>46</v>
      </c>
      <c r="AX2" s="238" t="s">
        <v>47</v>
      </c>
      <c r="AY2" s="238" t="s">
        <v>48</v>
      </c>
      <c r="AZ2" s="276" t="s">
        <v>113</v>
      </c>
      <c r="BA2" s="276" t="s">
        <v>49</v>
      </c>
      <c r="BB2" s="234" t="s">
        <v>111</v>
      </c>
      <c r="BC2" s="234" t="s">
        <v>44</v>
      </c>
      <c r="BD2" s="234" t="s">
        <v>45</v>
      </c>
      <c r="BE2" s="234" t="s">
        <v>52</v>
      </c>
      <c r="BF2" s="234" t="s">
        <v>112</v>
      </c>
      <c r="BG2" s="234" t="s">
        <v>46</v>
      </c>
      <c r="BH2" s="238" t="s">
        <v>47</v>
      </c>
      <c r="BI2" s="238" t="s">
        <v>48</v>
      </c>
      <c r="BJ2" s="276" t="s">
        <v>113</v>
      </c>
      <c r="BK2" s="276" t="s">
        <v>49</v>
      </c>
      <c r="BL2" s="341" t="s">
        <v>1284</v>
      </c>
      <c r="BM2" s="341" t="s">
        <v>49</v>
      </c>
      <c r="BN2" s="282">
        <v>2021</v>
      </c>
      <c r="BO2" s="282"/>
      <c r="BP2" s="282">
        <v>2022</v>
      </c>
      <c r="BQ2" s="282"/>
      <c r="BR2" s="282">
        <v>2023</v>
      </c>
      <c r="BS2" s="282"/>
      <c r="BT2" s="282">
        <v>2024</v>
      </c>
      <c r="BU2" s="282"/>
      <c r="BV2" s="282">
        <v>2025</v>
      </c>
      <c r="BW2" s="282"/>
    </row>
    <row r="3" spans="1:75" ht="52.5" customHeight="1">
      <c r="A3" s="281"/>
      <c r="B3" s="281"/>
      <c r="C3" s="281"/>
      <c r="D3" s="307"/>
      <c r="E3" s="249"/>
      <c r="F3" s="308"/>
      <c r="G3" s="281"/>
      <c r="H3" s="72" t="s">
        <v>5</v>
      </c>
      <c r="I3" s="72" t="s">
        <v>6</v>
      </c>
      <c r="J3" s="72" t="s">
        <v>7</v>
      </c>
      <c r="K3" s="72" t="s">
        <v>562</v>
      </c>
      <c r="L3" s="72" t="s">
        <v>563</v>
      </c>
      <c r="M3" s="72" t="s">
        <v>8</v>
      </c>
      <c r="N3" s="72" t="s">
        <v>9</v>
      </c>
      <c r="O3" s="281"/>
      <c r="P3" s="281"/>
      <c r="Q3" s="72" t="s">
        <v>53</v>
      </c>
      <c r="R3" s="72" t="s">
        <v>54</v>
      </c>
      <c r="S3" s="281"/>
      <c r="T3" s="234"/>
      <c r="U3" s="234" t="s">
        <v>44</v>
      </c>
      <c r="V3" s="234" t="s">
        <v>45</v>
      </c>
      <c r="W3" s="234" t="s">
        <v>45</v>
      </c>
      <c r="X3" s="234" t="s">
        <v>112</v>
      </c>
      <c r="Y3" s="234" t="s">
        <v>46</v>
      </c>
      <c r="Z3" s="238" t="s">
        <v>47</v>
      </c>
      <c r="AA3" s="238" t="s">
        <v>48</v>
      </c>
      <c r="AB3" s="276" t="s">
        <v>113</v>
      </c>
      <c r="AC3" s="276" t="s">
        <v>49</v>
      </c>
      <c r="AD3" s="281"/>
      <c r="AE3" s="234"/>
      <c r="AF3" s="234" t="s">
        <v>44</v>
      </c>
      <c r="AG3" s="234" t="s">
        <v>45</v>
      </c>
      <c r="AH3" s="234" t="s">
        <v>45</v>
      </c>
      <c r="AI3" s="234" t="s">
        <v>112</v>
      </c>
      <c r="AJ3" s="234" t="s">
        <v>46</v>
      </c>
      <c r="AK3" s="238" t="s">
        <v>47</v>
      </c>
      <c r="AL3" s="238" t="s">
        <v>48</v>
      </c>
      <c r="AM3" s="276" t="s">
        <v>113</v>
      </c>
      <c r="AN3" s="278" t="s">
        <v>49</v>
      </c>
      <c r="AO3" s="280"/>
      <c r="AP3" s="234"/>
      <c r="AQ3" s="234" t="s">
        <v>44</v>
      </c>
      <c r="AR3" s="234"/>
      <c r="AS3" s="234" t="s">
        <v>44</v>
      </c>
      <c r="AT3" s="234" t="s">
        <v>45</v>
      </c>
      <c r="AU3" s="234" t="s">
        <v>45</v>
      </c>
      <c r="AV3" s="234" t="s">
        <v>112</v>
      </c>
      <c r="AW3" s="234" t="s">
        <v>46</v>
      </c>
      <c r="AX3" s="238" t="s">
        <v>47</v>
      </c>
      <c r="AY3" s="238" t="s">
        <v>48</v>
      </c>
      <c r="AZ3" s="276" t="s">
        <v>113</v>
      </c>
      <c r="BA3" s="276" t="s">
        <v>49</v>
      </c>
      <c r="BB3" s="234"/>
      <c r="BC3" s="234" t="s">
        <v>44</v>
      </c>
      <c r="BD3" s="234" t="s">
        <v>45</v>
      </c>
      <c r="BE3" s="234" t="s">
        <v>45</v>
      </c>
      <c r="BF3" s="234" t="s">
        <v>112</v>
      </c>
      <c r="BG3" s="234" t="s">
        <v>46</v>
      </c>
      <c r="BH3" s="238" t="s">
        <v>47</v>
      </c>
      <c r="BI3" s="238" t="s">
        <v>48</v>
      </c>
      <c r="BJ3" s="276" t="s">
        <v>113</v>
      </c>
      <c r="BK3" s="276" t="s">
        <v>49</v>
      </c>
      <c r="BL3" s="294"/>
      <c r="BM3" s="294"/>
      <c r="BN3" s="204" t="s">
        <v>1284</v>
      </c>
      <c r="BO3" s="204" t="s">
        <v>49</v>
      </c>
      <c r="BP3" s="204" t="s">
        <v>1284</v>
      </c>
      <c r="BQ3" s="204" t="s">
        <v>49</v>
      </c>
      <c r="BR3" s="204" t="s">
        <v>1284</v>
      </c>
      <c r="BS3" s="204" t="s">
        <v>49</v>
      </c>
      <c r="BT3" s="204" t="s">
        <v>1284</v>
      </c>
      <c r="BU3" s="204" t="s">
        <v>49</v>
      </c>
      <c r="BV3" s="204" t="s">
        <v>1284</v>
      </c>
      <c r="BW3" s="204" t="s">
        <v>49</v>
      </c>
    </row>
    <row r="4" spans="1:75" s="21" customFormat="1" ht="88.5" customHeight="1">
      <c r="A4" s="8">
        <v>113</v>
      </c>
      <c r="B4" s="4" t="s">
        <v>204</v>
      </c>
      <c r="C4" s="4" t="s">
        <v>19</v>
      </c>
      <c r="D4" s="4">
        <v>2</v>
      </c>
      <c r="E4" s="4" t="s">
        <v>25</v>
      </c>
      <c r="F4" s="8" t="s">
        <v>289</v>
      </c>
      <c r="G4" s="8" t="s">
        <v>21</v>
      </c>
      <c r="H4" s="8" t="s">
        <v>11</v>
      </c>
      <c r="I4" s="9" t="s">
        <v>67</v>
      </c>
      <c r="J4" s="9" t="s">
        <v>67</v>
      </c>
      <c r="K4" s="9" t="s">
        <v>67</v>
      </c>
      <c r="L4" s="9" t="s">
        <v>67</v>
      </c>
      <c r="M4" s="9" t="s">
        <v>67</v>
      </c>
      <c r="N4" s="9" t="s">
        <v>67</v>
      </c>
      <c r="O4" s="8" t="s">
        <v>51</v>
      </c>
      <c r="P4" s="8" t="s">
        <v>55</v>
      </c>
      <c r="Q4" s="8" t="s">
        <v>351</v>
      </c>
      <c r="R4" s="8" t="s">
        <v>920</v>
      </c>
      <c r="S4" s="4" t="s">
        <v>992</v>
      </c>
      <c r="T4" s="158">
        <f>EstandarizaciónParam_InstiEduca!$F$25</f>
        <v>36.30770101925255</v>
      </c>
      <c r="U4" s="158">
        <f>EstandarizaciónParam_InstiEduca!$F$44</f>
        <v>31.716874292185732</v>
      </c>
      <c r="V4" s="112">
        <f>EstandarizaciónParam_InstiEduca!$F$4</f>
        <v>0.28796969696969693</v>
      </c>
      <c r="W4" s="39">
        <v>8</v>
      </c>
      <c r="X4" s="42"/>
      <c r="Y4" s="42"/>
      <c r="Z4" s="39"/>
      <c r="AA4" s="39"/>
      <c r="AB4" s="13">
        <v>2152.26</v>
      </c>
      <c r="AC4" s="13">
        <v>2152.26</v>
      </c>
      <c r="AD4" s="4" t="s">
        <v>992</v>
      </c>
      <c r="AE4" s="158">
        <f>EstandarizaciónParam_InstiEduca!$I$25</f>
        <v>23</v>
      </c>
      <c r="AF4" s="158">
        <f>EstandarizaciónParam_InstiEduca!$I$44</f>
        <v>23.165</v>
      </c>
      <c r="AG4" s="39">
        <f>EstandarizaciónParam_InstiEduca!$I$4</f>
        <v>0.1305</v>
      </c>
      <c r="AH4" s="39">
        <v>8</v>
      </c>
      <c r="AI4" s="42"/>
      <c r="AJ4" s="42"/>
      <c r="AK4" s="39"/>
      <c r="AL4" s="39"/>
      <c r="AM4" s="13">
        <v>2152.26</v>
      </c>
      <c r="AN4" s="80">
        <v>2152.26</v>
      </c>
      <c r="AO4" s="19"/>
      <c r="AP4" s="19"/>
      <c r="AQ4" s="19"/>
      <c r="AR4" s="31">
        <f>(T4*V4+AE4*AG4)/(V4+AG4)</f>
        <v>32.15768730120258</v>
      </c>
      <c r="AS4" s="31">
        <f>(U4*V4+AF4*AG4)/(V4+AG4)</f>
        <v>29.049967696052786</v>
      </c>
      <c r="AT4" s="111">
        <f>AVERAGE(V4,AG4)</f>
        <v>0.20923484848484847</v>
      </c>
      <c r="AU4" s="8">
        <v>8</v>
      </c>
      <c r="AV4" s="111">
        <f>AT4*AR4*AU4*0.0036</f>
        <v>0.19378105430659942</v>
      </c>
      <c r="AW4" s="111">
        <f>AT4*AS4*AU4*0.0036</f>
        <v>0.1750540489739524</v>
      </c>
      <c r="AX4" s="5">
        <v>22</v>
      </c>
      <c r="AY4" s="5">
        <v>10</v>
      </c>
      <c r="AZ4" s="7">
        <f>AV4*AX4*AY4</f>
        <v>42.63183194745187</v>
      </c>
      <c r="BA4" s="7">
        <f>AW4*AX4*AY4</f>
        <v>38.51189077426953</v>
      </c>
      <c r="BB4" s="8">
        <v>80</v>
      </c>
      <c r="BC4" s="8">
        <v>50</v>
      </c>
      <c r="BD4" s="111">
        <f>AT4</f>
        <v>0.20923484848484847</v>
      </c>
      <c r="BE4" s="8">
        <f>AU4</f>
        <v>8</v>
      </c>
      <c r="BF4" s="111">
        <f>BD4*BB4*BE4*0.0036</f>
        <v>0.4820770909090909</v>
      </c>
      <c r="BG4" s="111">
        <f>BD4*BC4*BE4*0.0036</f>
        <v>0.3012981818181818</v>
      </c>
      <c r="BH4" s="8">
        <f>AX4</f>
        <v>22</v>
      </c>
      <c r="BI4" s="8">
        <f>AY4</f>
        <v>10</v>
      </c>
      <c r="BJ4" s="111">
        <f>BF4*BH4*BI4</f>
        <v>106.05696</v>
      </c>
      <c r="BK4" s="111">
        <f>BG4*BH4*BI4</f>
        <v>66.28559999999999</v>
      </c>
      <c r="BL4" s="41">
        <f>AVERAGE(AZ4,BJ4)</f>
        <v>74.34439597372594</v>
      </c>
      <c r="BM4" s="41">
        <f>AVERAGE(BA4,BK4)</f>
        <v>52.39874538713476</v>
      </c>
      <c r="BN4" s="208">
        <f>ROUNDUP(BJ4,-1)</f>
        <v>110</v>
      </c>
      <c r="BO4" s="208">
        <f>ROUNDUP(BK4,-1)</f>
        <v>70</v>
      </c>
      <c r="BP4" s="208">
        <f>ROUNDUP(BL4,-1)</f>
        <v>80</v>
      </c>
      <c r="BQ4" s="208">
        <f>ROUNDUP(BM4,-1)</f>
        <v>60</v>
      </c>
      <c r="BR4" s="208">
        <f aca="true" t="shared" si="0" ref="BR4:BW4">BP4</f>
        <v>80</v>
      </c>
      <c r="BS4" s="208">
        <f t="shared" si="0"/>
        <v>60</v>
      </c>
      <c r="BT4" s="208">
        <f t="shared" si="0"/>
        <v>80</v>
      </c>
      <c r="BU4" s="208">
        <f t="shared" si="0"/>
        <v>60</v>
      </c>
      <c r="BV4" s="208">
        <f t="shared" si="0"/>
        <v>80</v>
      </c>
      <c r="BW4" s="208">
        <f t="shared" si="0"/>
        <v>60</v>
      </c>
    </row>
    <row r="5" spans="1:75" s="21" customFormat="1" ht="59.25" customHeight="1">
      <c r="A5" s="8">
        <v>114</v>
      </c>
      <c r="B5" s="4" t="s">
        <v>204</v>
      </c>
      <c r="C5" s="4" t="s">
        <v>19</v>
      </c>
      <c r="D5" s="4">
        <v>2</v>
      </c>
      <c r="E5" s="4" t="s">
        <v>26</v>
      </c>
      <c r="F5" s="8" t="s">
        <v>205</v>
      </c>
      <c r="G5" s="8" t="s">
        <v>21</v>
      </c>
      <c r="H5" s="8" t="s">
        <v>11</v>
      </c>
      <c r="I5" s="9" t="s">
        <v>67</v>
      </c>
      <c r="J5" s="9" t="s">
        <v>67</v>
      </c>
      <c r="K5" s="9" t="s">
        <v>67</v>
      </c>
      <c r="L5" s="9" t="s">
        <v>67</v>
      </c>
      <c r="M5" s="9" t="s">
        <v>67</v>
      </c>
      <c r="N5" s="9" t="s">
        <v>67</v>
      </c>
      <c r="O5" s="8" t="s">
        <v>51</v>
      </c>
      <c r="P5" s="8" t="s">
        <v>55</v>
      </c>
      <c r="Q5" s="8" t="s">
        <v>351</v>
      </c>
      <c r="R5" s="8" t="s">
        <v>921</v>
      </c>
      <c r="S5" s="4" t="s">
        <v>992</v>
      </c>
      <c r="T5" s="158">
        <f>EstandarizaciónParam_InstiEduca!$F$25</f>
        <v>36.30770101925255</v>
      </c>
      <c r="U5" s="158">
        <f>EstandarizaciónParam_InstiEduca!$F$44</f>
        <v>31.716874292185732</v>
      </c>
      <c r="V5" s="112">
        <f>EstandarizaciónParam_InstiEduca!$F$4</f>
        <v>0.28796969696969693</v>
      </c>
      <c r="W5" s="39">
        <v>8</v>
      </c>
      <c r="X5" s="42"/>
      <c r="Y5" s="42"/>
      <c r="Z5" s="39"/>
      <c r="AA5" s="39"/>
      <c r="AB5" s="13">
        <v>2423.52</v>
      </c>
      <c r="AC5" s="13">
        <v>2423.52</v>
      </c>
      <c r="AD5" s="4" t="s">
        <v>992</v>
      </c>
      <c r="AE5" s="158">
        <f>EstandarizaciónParam_InstiEduca!$I$25</f>
        <v>23</v>
      </c>
      <c r="AF5" s="158">
        <f>EstandarizaciónParam_InstiEduca!$I$44</f>
        <v>23.165</v>
      </c>
      <c r="AG5" s="186">
        <f>EstandarizaciónParam_InstiEduca!$I$4</f>
        <v>0.1305</v>
      </c>
      <c r="AH5" s="39">
        <v>8</v>
      </c>
      <c r="AI5" s="42"/>
      <c r="AJ5" s="42"/>
      <c r="AK5" s="39"/>
      <c r="AL5" s="39"/>
      <c r="AM5" s="13">
        <v>2423.52</v>
      </c>
      <c r="AN5" s="80">
        <v>2423.52</v>
      </c>
      <c r="AO5" s="19"/>
      <c r="AP5" s="19"/>
      <c r="AQ5" s="19"/>
      <c r="AR5" s="31">
        <f aca="true" t="shared" si="1" ref="AR5:AR11">(T5*V5+AE5*AG5)/(V5+AG5)</f>
        <v>32.15768730120258</v>
      </c>
      <c r="AS5" s="31">
        <f aca="true" t="shared" si="2" ref="AS5:AS11">(U5*V5+AF5*AG5)/(V5+AG5)</f>
        <v>29.049967696052786</v>
      </c>
      <c r="AT5" s="111">
        <f aca="true" t="shared" si="3" ref="AT5:AT11">AVERAGE(V5,AG5)</f>
        <v>0.20923484848484847</v>
      </c>
      <c r="AU5" s="8">
        <v>8</v>
      </c>
      <c r="AV5" s="111">
        <f aca="true" t="shared" si="4" ref="AV5:AV11">AT5*AR5*AU5*0.0036</f>
        <v>0.19378105430659942</v>
      </c>
      <c r="AW5" s="111">
        <f aca="true" t="shared" si="5" ref="AW5:AW11">AT5*AS5*AU5*0.0036</f>
        <v>0.1750540489739524</v>
      </c>
      <c r="AX5" s="5">
        <v>22</v>
      </c>
      <c r="AY5" s="5">
        <v>10</v>
      </c>
      <c r="AZ5" s="7">
        <f aca="true" t="shared" si="6" ref="AZ5:AZ11">AV5*AX5*AY5</f>
        <v>42.63183194745187</v>
      </c>
      <c r="BA5" s="7">
        <f aca="true" t="shared" si="7" ref="BA5:BA11">AW5*AX5*AY5</f>
        <v>38.51189077426953</v>
      </c>
      <c r="BB5" s="8">
        <v>80</v>
      </c>
      <c r="BC5" s="8">
        <v>50</v>
      </c>
      <c r="BD5" s="111">
        <f aca="true" t="shared" si="8" ref="BD5:BD38">AT5</f>
        <v>0.20923484848484847</v>
      </c>
      <c r="BE5" s="8">
        <f aca="true" t="shared" si="9" ref="BE5:BE38">AU5</f>
        <v>8</v>
      </c>
      <c r="BF5" s="111">
        <f aca="true" t="shared" si="10" ref="BF5:BF38">BD5*BB5*BE5*0.0036</f>
        <v>0.4820770909090909</v>
      </c>
      <c r="BG5" s="111">
        <f aca="true" t="shared" si="11" ref="BG5:BG38">BD5*BC5*BE5*0.0036</f>
        <v>0.3012981818181818</v>
      </c>
      <c r="BH5" s="8">
        <f aca="true" t="shared" si="12" ref="BH5:BH38">AX5</f>
        <v>22</v>
      </c>
      <c r="BI5" s="8">
        <f aca="true" t="shared" si="13" ref="BI5:BI38">AY5</f>
        <v>10</v>
      </c>
      <c r="BJ5" s="111">
        <f aca="true" t="shared" si="14" ref="BJ5:BJ38">BF5*BH5*BI5</f>
        <v>106.05696</v>
      </c>
      <c r="BK5" s="111">
        <f aca="true" t="shared" si="15" ref="BK5:BK38">BG5*BH5*BI5</f>
        <v>66.28559999999999</v>
      </c>
      <c r="BL5" s="41">
        <f aca="true" t="shared" si="16" ref="BL5:BL38">AVERAGE(AZ5,BJ5)</f>
        <v>74.34439597372594</v>
      </c>
      <c r="BM5" s="41">
        <f aca="true" t="shared" si="17" ref="BM5:BM38">AVERAGE(BA5,BK5)</f>
        <v>52.39874538713476</v>
      </c>
      <c r="BN5" s="208">
        <f aca="true" t="shared" si="18" ref="BN5:BN11">ROUNDUP(BJ5,-1)</f>
        <v>110</v>
      </c>
      <c r="BO5" s="208">
        <f aca="true" t="shared" si="19" ref="BO5:BO11">ROUNDUP(BK5,-1)</f>
        <v>70</v>
      </c>
      <c r="BP5" s="208">
        <f aca="true" t="shared" si="20" ref="BP5:BP11">ROUNDUP(BL5,-1)</f>
        <v>80</v>
      </c>
      <c r="BQ5" s="208">
        <f aca="true" t="shared" si="21" ref="BQ5:BQ11">ROUNDUP(BM5,-1)</f>
        <v>60</v>
      </c>
      <c r="BR5" s="208">
        <f aca="true" t="shared" si="22" ref="BR5:BR11">BP5</f>
        <v>80</v>
      </c>
      <c r="BS5" s="208">
        <f aca="true" t="shared" si="23" ref="BS5:BS11">BQ5</f>
        <v>60</v>
      </c>
      <c r="BT5" s="208">
        <f aca="true" t="shared" si="24" ref="BT5:BT11">BR5</f>
        <v>80</v>
      </c>
      <c r="BU5" s="208">
        <f aca="true" t="shared" si="25" ref="BU5:BU11">BS5</f>
        <v>60</v>
      </c>
      <c r="BV5" s="208">
        <f aca="true" t="shared" si="26" ref="BV5:BV11">BT5</f>
        <v>80</v>
      </c>
      <c r="BW5" s="208">
        <f aca="true" t="shared" si="27" ref="BW5:BW11">BU5</f>
        <v>60</v>
      </c>
    </row>
    <row r="6" spans="1:75" s="20" customFormat="1" ht="121.5" customHeight="1">
      <c r="A6" s="8">
        <v>115</v>
      </c>
      <c r="B6" s="4" t="s">
        <v>50</v>
      </c>
      <c r="C6" s="4" t="s">
        <v>19</v>
      </c>
      <c r="D6" s="4">
        <v>2</v>
      </c>
      <c r="E6" s="4" t="s">
        <v>529</v>
      </c>
      <c r="F6" s="4" t="s">
        <v>100</v>
      </c>
      <c r="G6" s="11" t="s">
        <v>60</v>
      </c>
      <c r="H6" s="11" t="s">
        <v>11</v>
      </c>
      <c r="I6" s="26" t="s">
        <v>67</v>
      </c>
      <c r="J6" s="26" t="s">
        <v>67</v>
      </c>
      <c r="K6" s="26" t="s">
        <v>67</v>
      </c>
      <c r="L6" s="26" t="s">
        <v>67</v>
      </c>
      <c r="M6" s="26" t="s">
        <v>67</v>
      </c>
      <c r="N6" s="26" t="s">
        <v>67</v>
      </c>
      <c r="O6" s="5" t="s">
        <v>51</v>
      </c>
      <c r="P6" s="5" t="s">
        <v>55</v>
      </c>
      <c r="Q6" s="11" t="s">
        <v>101</v>
      </c>
      <c r="R6" s="11" t="s">
        <v>922</v>
      </c>
      <c r="S6" s="11" t="s">
        <v>1115</v>
      </c>
      <c r="T6" s="158">
        <f>EstandarizaciónParam_InstiEduca!$F$25</f>
        <v>36.30770101925255</v>
      </c>
      <c r="U6" s="158">
        <f>EstandarizaciónParam_InstiEduca!$F$44</f>
        <v>31.716874292185732</v>
      </c>
      <c r="V6" s="112">
        <f>EstandarizaciónParam_InstiEduca!$F$4</f>
        <v>0.28796969696969693</v>
      </c>
      <c r="W6" s="36">
        <v>8</v>
      </c>
      <c r="X6" s="6">
        <f>((50*4*4)/1000)</f>
        <v>0.8</v>
      </c>
      <c r="Y6" s="6">
        <f>((50*4*4)/1000)</f>
        <v>0.8</v>
      </c>
      <c r="Z6" s="5">
        <v>22</v>
      </c>
      <c r="AA6" s="5">
        <v>10</v>
      </c>
      <c r="AB6" s="13">
        <f aca="true" t="shared" si="28" ref="AB6:AB16">X6*Z6*AA6</f>
        <v>176</v>
      </c>
      <c r="AC6" s="13">
        <f aca="true" t="shared" si="29" ref="AC6:AC16">Y6*Z6*AA6</f>
        <v>176</v>
      </c>
      <c r="AD6" s="11" t="s">
        <v>1115</v>
      </c>
      <c r="AE6" s="158">
        <f>EstandarizaciónParam_InstiEduca!$I$25</f>
        <v>23</v>
      </c>
      <c r="AF6" s="158">
        <f>EstandarizaciónParam_InstiEduca!$I$44</f>
        <v>23.165</v>
      </c>
      <c r="AG6" s="186">
        <f>EstandarizaciónParam_InstiEduca!$I$4</f>
        <v>0.1305</v>
      </c>
      <c r="AH6" s="36">
        <v>8</v>
      </c>
      <c r="AI6" s="6">
        <f>((50*4*4)/1000)</f>
        <v>0.8</v>
      </c>
      <c r="AJ6" s="6">
        <f>((50*4*4)/1000)</f>
        <v>0.8</v>
      </c>
      <c r="AK6" s="5">
        <v>22</v>
      </c>
      <c r="AL6" s="5">
        <v>10</v>
      </c>
      <c r="AM6" s="13">
        <f aca="true" t="shared" si="30" ref="AM6:AM17">AI6*AK6*AL6</f>
        <v>176</v>
      </c>
      <c r="AN6" s="80">
        <f aca="true" t="shared" si="31" ref="AN6:AN17">AJ6*AK6*AL6</f>
        <v>176</v>
      </c>
      <c r="AO6" s="90"/>
      <c r="AP6" s="90"/>
      <c r="AQ6" s="90"/>
      <c r="AR6" s="31">
        <f t="shared" si="1"/>
        <v>32.15768730120258</v>
      </c>
      <c r="AS6" s="31">
        <f t="shared" si="2"/>
        <v>29.049967696052786</v>
      </c>
      <c r="AT6" s="111">
        <f t="shared" si="3"/>
        <v>0.20923484848484847</v>
      </c>
      <c r="AU6" s="5">
        <v>8</v>
      </c>
      <c r="AV6" s="111">
        <f t="shared" si="4"/>
        <v>0.19378105430659942</v>
      </c>
      <c r="AW6" s="111">
        <f t="shared" si="5"/>
        <v>0.1750540489739524</v>
      </c>
      <c r="AX6" s="5">
        <v>22</v>
      </c>
      <c r="AY6" s="5">
        <v>10</v>
      </c>
      <c r="AZ6" s="7">
        <f t="shared" si="6"/>
        <v>42.63183194745187</v>
      </c>
      <c r="BA6" s="7">
        <f t="shared" si="7"/>
        <v>38.51189077426953</v>
      </c>
      <c r="BB6" s="5">
        <v>90</v>
      </c>
      <c r="BC6" s="5">
        <v>90</v>
      </c>
      <c r="BD6" s="111">
        <f t="shared" si="8"/>
        <v>0.20923484848484847</v>
      </c>
      <c r="BE6" s="8">
        <f t="shared" si="9"/>
        <v>8</v>
      </c>
      <c r="BF6" s="111">
        <f t="shared" si="10"/>
        <v>0.5423367272727272</v>
      </c>
      <c r="BG6" s="111">
        <f t="shared" si="11"/>
        <v>0.5423367272727272</v>
      </c>
      <c r="BH6" s="8">
        <f t="shared" si="12"/>
        <v>22</v>
      </c>
      <c r="BI6" s="8">
        <f t="shared" si="13"/>
        <v>10</v>
      </c>
      <c r="BJ6" s="111">
        <f t="shared" si="14"/>
        <v>119.31407999999998</v>
      </c>
      <c r="BK6" s="111">
        <f t="shared" si="15"/>
        <v>119.31407999999998</v>
      </c>
      <c r="BL6" s="41">
        <f t="shared" si="16"/>
        <v>80.97295597372593</v>
      </c>
      <c r="BM6" s="41">
        <f t="shared" si="17"/>
        <v>78.91298538713475</v>
      </c>
      <c r="BN6" s="208">
        <f t="shared" si="18"/>
        <v>120</v>
      </c>
      <c r="BO6" s="208">
        <f t="shared" si="19"/>
        <v>120</v>
      </c>
      <c r="BP6" s="208">
        <f t="shared" si="20"/>
        <v>90</v>
      </c>
      <c r="BQ6" s="208">
        <f t="shared" si="21"/>
        <v>80</v>
      </c>
      <c r="BR6" s="208">
        <f t="shared" si="22"/>
        <v>90</v>
      </c>
      <c r="BS6" s="208">
        <f t="shared" si="23"/>
        <v>80</v>
      </c>
      <c r="BT6" s="208">
        <f t="shared" si="24"/>
        <v>90</v>
      </c>
      <c r="BU6" s="208">
        <f t="shared" si="25"/>
        <v>80</v>
      </c>
      <c r="BV6" s="208">
        <f t="shared" si="26"/>
        <v>90</v>
      </c>
      <c r="BW6" s="208">
        <f t="shared" si="27"/>
        <v>80</v>
      </c>
    </row>
    <row r="7" spans="1:75" s="21" customFormat="1" ht="97.5" customHeight="1">
      <c r="A7" s="8">
        <v>116</v>
      </c>
      <c r="B7" s="4" t="s">
        <v>50</v>
      </c>
      <c r="C7" s="4" t="s">
        <v>19</v>
      </c>
      <c r="D7" s="4">
        <v>2</v>
      </c>
      <c r="E7" s="74" t="s">
        <v>605</v>
      </c>
      <c r="F7" s="74" t="s">
        <v>606</v>
      </c>
      <c r="G7" s="11" t="s">
        <v>658</v>
      </c>
      <c r="H7" s="75" t="s">
        <v>11</v>
      </c>
      <c r="I7" s="26" t="s">
        <v>67</v>
      </c>
      <c r="J7" s="26" t="s">
        <v>67</v>
      </c>
      <c r="K7" s="26" t="s">
        <v>67</v>
      </c>
      <c r="L7" s="26" t="s">
        <v>67</v>
      </c>
      <c r="M7" s="26" t="s">
        <v>67</v>
      </c>
      <c r="N7" s="26" t="s">
        <v>67</v>
      </c>
      <c r="O7" s="8" t="s">
        <v>51</v>
      </c>
      <c r="P7" s="8" t="s">
        <v>55</v>
      </c>
      <c r="Q7" s="8" t="s">
        <v>780</v>
      </c>
      <c r="R7" s="8" t="s">
        <v>923</v>
      </c>
      <c r="S7" s="4"/>
      <c r="T7" s="8">
        <v>23</v>
      </c>
      <c r="U7" s="44">
        <v>15</v>
      </c>
      <c r="V7" s="8">
        <v>0.076</v>
      </c>
      <c r="W7" s="44">
        <v>8</v>
      </c>
      <c r="X7" s="7"/>
      <c r="Y7" s="7"/>
      <c r="Z7" s="71"/>
      <c r="AA7" s="71"/>
      <c r="AB7" s="51"/>
      <c r="AC7" s="51"/>
      <c r="AD7" s="4" t="s">
        <v>1116</v>
      </c>
      <c r="AE7" s="8">
        <v>23</v>
      </c>
      <c r="AF7" s="44">
        <v>15</v>
      </c>
      <c r="AG7" s="8">
        <v>0.076</v>
      </c>
      <c r="AH7" s="44">
        <v>8</v>
      </c>
      <c r="AI7" s="7">
        <f>AG7*AE7*AH7*0.0036</f>
        <v>0.050342399999999995</v>
      </c>
      <c r="AJ7" s="7">
        <f aca="true" t="shared" si="32" ref="AJ7:AJ17">AG7*AF7*AH7*0.0036</f>
        <v>0.03283199999999999</v>
      </c>
      <c r="AK7" s="71">
        <v>22</v>
      </c>
      <c r="AL7" s="71">
        <v>10</v>
      </c>
      <c r="AM7" s="51">
        <f t="shared" si="30"/>
        <v>11.075327999999999</v>
      </c>
      <c r="AN7" s="86">
        <f t="shared" si="31"/>
        <v>7.223039999999998</v>
      </c>
      <c r="AO7" s="19"/>
      <c r="AP7" s="19"/>
      <c r="AQ7" s="19"/>
      <c r="AR7" s="31">
        <f t="shared" si="1"/>
        <v>23</v>
      </c>
      <c r="AS7" s="31">
        <f t="shared" si="2"/>
        <v>14.999999999999998</v>
      </c>
      <c r="AT7" s="111">
        <f t="shared" si="3"/>
        <v>0.076</v>
      </c>
      <c r="AU7" s="44">
        <v>8</v>
      </c>
      <c r="AV7" s="111">
        <f t="shared" si="4"/>
        <v>0.050342399999999995</v>
      </c>
      <c r="AW7" s="111">
        <f t="shared" si="5"/>
        <v>0.03283199999999999</v>
      </c>
      <c r="AX7" s="187">
        <v>22</v>
      </c>
      <c r="AY7" s="187">
        <v>10</v>
      </c>
      <c r="AZ7" s="7">
        <f t="shared" si="6"/>
        <v>11.075327999999999</v>
      </c>
      <c r="BA7" s="7">
        <f t="shared" si="7"/>
        <v>7.223039999999998</v>
      </c>
      <c r="BB7" s="5">
        <v>90</v>
      </c>
      <c r="BC7" s="5">
        <v>90</v>
      </c>
      <c r="BD7" s="111">
        <f t="shared" si="8"/>
        <v>0.076</v>
      </c>
      <c r="BE7" s="8">
        <f t="shared" si="9"/>
        <v>8</v>
      </c>
      <c r="BF7" s="111">
        <f t="shared" si="10"/>
        <v>0.196992</v>
      </c>
      <c r="BG7" s="111">
        <f t="shared" si="11"/>
        <v>0.196992</v>
      </c>
      <c r="BH7" s="8">
        <f t="shared" si="12"/>
        <v>22</v>
      </c>
      <c r="BI7" s="8">
        <f t="shared" si="13"/>
        <v>10</v>
      </c>
      <c r="BJ7" s="111">
        <f t="shared" si="14"/>
        <v>43.33824</v>
      </c>
      <c r="BK7" s="111">
        <f t="shared" si="15"/>
        <v>43.33824</v>
      </c>
      <c r="BL7" s="41">
        <f t="shared" si="16"/>
        <v>27.206784</v>
      </c>
      <c r="BM7" s="41">
        <f t="shared" si="17"/>
        <v>25.28064</v>
      </c>
      <c r="BN7" s="208">
        <f t="shared" si="18"/>
        <v>50</v>
      </c>
      <c r="BO7" s="208">
        <f t="shared" si="19"/>
        <v>50</v>
      </c>
      <c r="BP7" s="208">
        <f>BN7</f>
        <v>50</v>
      </c>
      <c r="BQ7" s="208">
        <f>BO7</f>
        <v>50</v>
      </c>
      <c r="BR7" s="208">
        <f t="shared" si="22"/>
        <v>50</v>
      </c>
      <c r="BS7" s="208">
        <f t="shared" si="23"/>
        <v>50</v>
      </c>
      <c r="BT7" s="208">
        <f t="shared" si="24"/>
        <v>50</v>
      </c>
      <c r="BU7" s="208">
        <f t="shared" si="25"/>
        <v>50</v>
      </c>
      <c r="BV7" s="208">
        <f t="shared" si="26"/>
        <v>50</v>
      </c>
      <c r="BW7" s="208">
        <f t="shared" si="27"/>
        <v>50</v>
      </c>
    </row>
    <row r="8" spans="1:75" ht="49.5" customHeight="1">
      <c r="A8" s="4">
        <v>117</v>
      </c>
      <c r="B8" s="4" t="s">
        <v>20</v>
      </c>
      <c r="C8" s="4" t="s">
        <v>19</v>
      </c>
      <c r="D8" s="4">
        <v>2</v>
      </c>
      <c r="E8" s="4" t="s">
        <v>162</v>
      </c>
      <c r="F8" s="4" t="s">
        <v>199</v>
      </c>
      <c r="G8" s="4" t="s">
        <v>444</v>
      </c>
      <c r="H8" s="8" t="s">
        <v>11</v>
      </c>
      <c r="I8" s="9" t="s">
        <v>67</v>
      </c>
      <c r="J8" s="9" t="s">
        <v>67</v>
      </c>
      <c r="K8" s="9" t="s">
        <v>67</v>
      </c>
      <c r="L8" s="9" t="s">
        <v>67</v>
      </c>
      <c r="M8" s="9" t="s">
        <v>67</v>
      </c>
      <c r="N8" s="9" t="s">
        <v>67</v>
      </c>
      <c r="O8" s="8" t="s">
        <v>163</v>
      </c>
      <c r="P8" s="8" t="s">
        <v>55</v>
      </c>
      <c r="Q8" s="8" t="s">
        <v>781</v>
      </c>
      <c r="R8" s="8" t="s">
        <v>924</v>
      </c>
      <c r="S8" s="4" t="s">
        <v>1232</v>
      </c>
      <c r="T8" s="8">
        <v>15.2</v>
      </c>
      <c r="U8" s="8">
        <v>48</v>
      </c>
      <c r="V8" s="8">
        <f>(0.43+0.19+0.29+0.44+0.81)/5</f>
        <v>0.43200000000000005</v>
      </c>
      <c r="W8" s="8">
        <v>8</v>
      </c>
      <c r="X8" s="7">
        <f>V8*T8*W8*0.0036</f>
        <v>0.18911232000000003</v>
      </c>
      <c r="Y8" s="7">
        <f aca="true" t="shared" si="33" ref="Y8:Y16">V8*U8*W8*0.0036</f>
        <v>0.5971968000000001</v>
      </c>
      <c r="Z8" s="8">
        <v>22</v>
      </c>
      <c r="AA8" s="8">
        <v>10</v>
      </c>
      <c r="AB8" s="13">
        <f t="shared" si="28"/>
        <v>41.60471040000001</v>
      </c>
      <c r="AC8" s="13">
        <f t="shared" si="29"/>
        <v>131.38329600000003</v>
      </c>
      <c r="AD8" s="4" t="s">
        <v>1117</v>
      </c>
      <c r="AE8" s="8">
        <v>15.2</v>
      </c>
      <c r="AF8" s="8">
        <v>48</v>
      </c>
      <c r="AG8" s="8">
        <f>(0.43+0.19+0.29+0.44+0.81)/5</f>
        <v>0.43200000000000005</v>
      </c>
      <c r="AH8" s="8">
        <v>8</v>
      </c>
      <c r="AI8" s="7">
        <f>AG8*AE8*AH8*0.0036</f>
        <v>0.18911232000000003</v>
      </c>
      <c r="AJ8" s="7">
        <f t="shared" si="32"/>
        <v>0.5971968000000001</v>
      </c>
      <c r="AK8" s="8">
        <v>22</v>
      </c>
      <c r="AL8" s="8">
        <v>10</v>
      </c>
      <c r="AM8" s="13">
        <f t="shared" si="30"/>
        <v>41.60471040000001</v>
      </c>
      <c r="AN8" s="80">
        <f t="shared" si="31"/>
        <v>131.38329600000003</v>
      </c>
      <c r="AO8" s="89"/>
      <c r="AP8" s="89"/>
      <c r="AQ8" s="89"/>
      <c r="AR8" s="31">
        <f t="shared" si="1"/>
        <v>15.2</v>
      </c>
      <c r="AS8" s="31">
        <f t="shared" si="2"/>
        <v>48.00000000000001</v>
      </c>
      <c r="AT8" s="111">
        <f t="shared" si="3"/>
        <v>0.43200000000000005</v>
      </c>
      <c r="AU8" s="8">
        <v>8</v>
      </c>
      <c r="AV8" s="111">
        <f t="shared" si="4"/>
        <v>0.18911232000000003</v>
      </c>
      <c r="AW8" s="111">
        <f t="shared" si="5"/>
        <v>0.5971968000000001</v>
      </c>
      <c r="AX8" s="8">
        <v>22</v>
      </c>
      <c r="AY8" s="8">
        <v>10</v>
      </c>
      <c r="AZ8" s="7">
        <f t="shared" si="6"/>
        <v>41.60471040000001</v>
      </c>
      <c r="BA8" s="7">
        <f t="shared" si="7"/>
        <v>131.38329600000003</v>
      </c>
      <c r="BB8" s="8">
        <v>80</v>
      </c>
      <c r="BC8" s="8">
        <v>50</v>
      </c>
      <c r="BD8" s="111">
        <f t="shared" si="8"/>
        <v>0.43200000000000005</v>
      </c>
      <c r="BE8" s="8">
        <f t="shared" si="9"/>
        <v>8</v>
      </c>
      <c r="BF8" s="111">
        <f t="shared" si="10"/>
        <v>0.995328</v>
      </c>
      <c r="BG8" s="111">
        <f t="shared" si="11"/>
        <v>0.6220800000000001</v>
      </c>
      <c r="BH8" s="8">
        <f t="shared" si="12"/>
        <v>22</v>
      </c>
      <c r="BI8" s="8">
        <f t="shared" si="13"/>
        <v>10</v>
      </c>
      <c r="BJ8" s="111">
        <f t="shared" si="14"/>
        <v>218.97216</v>
      </c>
      <c r="BK8" s="111">
        <f t="shared" si="15"/>
        <v>136.85760000000002</v>
      </c>
      <c r="BL8" s="41">
        <f t="shared" si="16"/>
        <v>130.2884352</v>
      </c>
      <c r="BM8" s="41">
        <f t="shared" si="17"/>
        <v>134.120448</v>
      </c>
      <c r="BN8" s="208">
        <f t="shared" si="18"/>
        <v>220</v>
      </c>
      <c r="BO8" s="208">
        <f t="shared" si="19"/>
        <v>140</v>
      </c>
      <c r="BP8" s="208">
        <f t="shared" si="20"/>
        <v>140</v>
      </c>
      <c r="BQ8" s="208">
        <f t="shared" si="21"/>
        <v>140</v>
      </c>
      <c r="BR8" s="208">
        <f t="shared" si="22"/>
        <v>140</v>
      </c>
      <c r="BS8" s="208">
        <f t="shared" si="23"/>
        <v>140</v>
      </c>
      <c r="BT8" s="208">
        <f t="shared" si="24"/>
        <v>140</v>
      </c>
      <c r="BU8" s="208">
        <f t="shared" si="25"/>
        <v>140</v>
      </c>
      <c r="BV8" s="208">
        <f t="shared" si="26"/>
        <v>140</v>
      </c>
      <c r="BW8" s="208">
        <f t="shared" si="27"/>
        <v>140</v>
      </c>
    </row>
    <row r="9" spans="1:75" ht="49.5" customHeight="1">
      <c r="A9" s="4">
        <v>118</v>
      </c>
      <c r="B9" s="4" t="s">
        <v>20</v>
      </c>
      <c r="C9" s="4" t="s">
        <v>19</v>
      </c>
      <c r="D9" s="4">
        <v>2</v>
      </c>
      <c r="E9" s="4" t="s">
        <v>164</v>
      </c>
      <c r="F9" s="4" t="s">
        <v>200</v>
      </c>
      <c r="G9" s="4" t="s">
        <v>165</v>
      </c>
      <c r="H9" s="8" t="s">
        <v>11</v>
      </c>
      <c r="I9" s="9" t="s">
        <v>67</v>
      </c>
      <c r="J9" s="9" t="s">
        <v>67</v>
      </c>
      <c r="K9" s="9" t="s">
        <v>67</v>
      </c>
      <c r="L9" s="9" t="s">
        <v>67</v>
      </c>
      <c r="M9" s="9" t="s">
        <v>67</v>
      </c>
      <c r="N9" s="9" t="s">
        <v>67</v>
      </c>
      <c r="O9" s="8" t="s">
        <v>51</v>
      </c>
      <c r="P9" s="8" t="s">
        <v>55</v>
      </c>
      <c r="Q9" s="8" t="s">
        <v>782</v>
      </c>
      <c r="R9" s="8" t="s">
        <v>925</v>
      </c>
      <c r="S9" s="4" t="s">
        <v>1233</v>
      </c>
      <c r="T9" s="8">
        <v>46</v>
      </c>
      <c r="U9" s="158">
        <f>EstandarizaciónParam_InstiEduca!$F$44</f>
        <v>31.716874292185732</v>
      </c>
      <c r="V9" s="7">
        <f>((0.456+0.325+0.309+0.25+0.244+0.431+0.427+0.46+0.446+0.402+0.633+0.396+0.291+0.493+0.278+0.23+0.197+0.241+0.312+0.293+0.262+0.296+0.373+0.309+0.155+0.304+0.32+0.275+0.29+0.209+0.22+0.197+0.168)/33)</f>
        <v>0.3179393939393939</v>
      </c>
      <c r="W9" s="8">
        <v>8</v>
      </c>
      <c r="X9" s="7">
        <f>V9*T9*W9*0.0036</f>
        <v>0.42120610909090905</v>
      </c>
      <c r="Y9" s="7">
        <f t="shared" si="33"/>
        <v>0.29042046115515285</v>
      </c>
      <c r="Z9" s="8">
        <v>22</v>
      </c>
      <c r="AA9" s="8">
        <v>10</v>
      </c>
      <c r="AB9" s="13">
        <f t="shared" si="28"/>
        <v>92.66534399999999</v>
      </c>
      <c r="AC9" s="13">
        <f t="shared" si="29"/>
        <v>63.89250145413363</v>
      </c>
      <c r="AD9" s="4" t="s">
        <v>993</v>
      </c>
      <c r="AE9" s="8">
        <v>46</v>
      </c>
      <c r="AF9" s="158">
        <f>EstandarizaciónParam_InstiEduca!$I$44</f>
        <v>23.165</v>
      </c>
      <c r="AG9" s="7">
        <f>((0.456+0.325+0.309+0.25+0.244+0.431+0.427+0.46+0.446+0.402+0.633+0.396+0.291+0.493+0.278+0.23+0.197+0.241+0.312+0.293+0.262+0.296+0.373+0.309+0.155+0.304+0.32+0.275+0.29+0.209+0.22+0.197+0.168)/33)</f>
        <v>0.3179393939393939</v>
      </c>
      <c r="AH9" s="8">
        <v>8</v>
      </c>
      <c r="AI9" s="7">
        <f>AG9*AE9*AH9*0.0036</f>
        <v>0.42120610909090905</v>
      </c>
      <c r="AJ9" s="7">
        <f t="shared" si="32"/>
        <v>0.2121139025454545</v>
      </c>
      <c r="AK9" s="8">
        <v>22</v>
      </c>
      <c r="AL9" s="8">
        <v>10</v>
      </c>
      <c r="AM9" s="13">
        <f t="shared" si="30"/>
        <v>92.66534399999999</v>
      </c>
      <c r="AN9" s="80">
        <f t="shared" si="31"/>
        <v>46.66505855999999</v>
      </c>
      <c r="AO9" s="89"/>
      <c r="AP9" s="89"/>
      <c r="AQ9" s="89"/>
      <c r="AR9" s="31">
        <f t="shared" si="1"/>
        <v>46</v>
      </c>
      <c r="AS9" s="31">
        <f t="shared" si="2"/>
        <v>27.440937146092864</v>
      </c>
      <c r="AT9" s="111">
        <f t="shared" si="3"/>
        <v>0.3179393939393939</v>
      </c>
      <c r="AU9" s="8">
        <v>8</v>
      </c>
      <c r="AV9" s="111">
        <f t="shared" si="4"/>
        <v>0.42120610909090905</v>
      </c>
      <c r="AW9" s="111">
        <f t="shared" si="5"/>
        <v>0.25126718185030367</v>
      </c>
      <c r="AX9" s="8">
        <v>22</v>
      </c>
      <c r="AY9" s="8">
        <v>10</v>
      </c>
      <c r="AZ9" s="7">
        <f t="shared" si="6"/>
        <v>92.66534399999999</v>
      </c>
      <c r="BA9" s="7">
        <f t="shared" si="7"/>
        <v>55.2787800070668</v>
      </c>
      <c r="BB9" s="8">
        <v>80</v>
      </c>
      <c r="BC9" s="8">
        <v>50</v>
      </c>
      <c r="BD9" s="111">
        <f t="shared" si="8"/>
        <v>0.3179393939393939</v>
      </c>
      <c r="BE9" s="8">
        <f t="shared" si="9"/>
        <v>8</v>
      </c>
      <c r="BF9" s="111">
        <f t="shared" si="10"/>
        <v>0.7325323636363635</v>
      </c>
      <c r="BG9" s="111">
        <f t="shared" si="11"/>
        <v>0.45783272727272717</v>
      </c>
      <c r="BH9" s="8">
        <f t="shared" si="12"/>
        <v>22</v>
      </c>
      <c r="BI9" s="8">
        <f t="shared" si="13"/>
        <v>10</v>
      </c>
      <c r="BJ9" s="111">
        <f t="shared" si="14"/>
        <v>161.15712</v>
      </c>
      <c r="BK9" s="111">
        <f t="shared" si="15"/>
        <v>100.72319999999998</v>
      </c>
      <c r="BL9" s="41">
        <f t="shared" si="16"/>
        <v>126.91123199999998</v>
      </c>
      <c r="BM9" s="41">
        <f t="shared" si="17"/>
        <v>78.00099000353339</v>
      </c>
      <c r="BN9" s="208">
        <f t="shared" si="18"/>
        <v>170</v>
      </c>
      <c r="BO9" s="208">
        <f t="shared" si="19"/>
        <v>110</v>
      </c>
      <c r="BP9" s="208">
        <f t="shared" si="20"/>
        <v>130</v>
      </c>
      <c r="BQ9" s="208">
        <f t="shared" si="21"/>
        <v>80</v>
      </c>
      <c r="BR9" s="208">
        <f t="shared" si="22"/>
        <v>130</v>
      </c>
      <c r="BS9" s="208">
        <f t="shared" si="23"/>
        <v>80</v>
      </c>
      <c r="BT9" s="208">
        <f t="shared" si="24"/>
        <v>130</v>
      </c>
      <c r="BU9" s="208">
        <f t="shared" si="25"/>
        <v>80</v>
      </c>
      <c r="BV9" s="208">
        <f t="shared" si="26"/>
        <v>130</v>
      </c>
      <c r="BW9" s="208">
        <f t="shared" si="27"/>
        <v>80</v>
      </c>
    </row>
    <row r="10" spans="1:75" s="20" customFormat="1" ht="111.75" customHeight="1">
      <c r="A10" s="8">
        <v>119</v>
      </c>
      <c r="B10" s="4" t="s">
        <v>50</v>
      </c>
      <c r="C10" s="4" t="s">
        <v>19</v>
      </c>
      <c r="D10" s="4">
        <v>2</v>
      </c>
      <c r="E10" s="73" t="s">
        <v>237</v>
      </c>
      <c r="F10" s="4" t="s">
        <v>278</v>
      </c>
      <c r="G10" s="11" t="s">
        <v>238</v>
      </c>
      <c r="H10" s="11" t="s">
        <v>11</v>
      </c>
      <c r="I10" s="26" t="s">
        <v>67</v>
      </c>
      <c r="J10" s="26" t="s">
        <v>67</v>
      </c>
      <c r="K10" s="26" t="s">
        <v>67</v>
      </c>
      <c r="L10" s="26" t="s">
        <v>67</v>
      </c>
      <c r="M10" s="26" t="s">
        <v>67</v>
      </c>
      <c r="N10" s="26" t="s">
        <v>67</v>
      </c>
      <c r="O10" s="5" t="s">
        <v>223</v>
      </c>
      <c r="P10" s="5" t="s">
        <v>55</v>
      </c>
      <c r="Q10" s="8" t="s">
        <v>783</v>
      </c>
      <c r="R10" s="8" t="s">
        <v>926</v>
      </c>
      <c r="S10" s="11" t="s">
        <v>1234</v>
      </c>
      <c r="T10" s="158">
        <f>EstandarizaciónParam_InstiEduca!$F$25</f>
        <v>36.30770101925255</v>
      </c>
      <c r="U10" s="158">
        <f>EstandarizaciónParam_InstiEduca!$F$44</f>
        <v>31.716874292185732</v>
      </c>
      <c r="V10" s="112">
        <f>EstandarizaciónParam_InstiEduca!$F$4</f>
        <v>0.28796969696969693</v>
      </c>
      <c r="W10" s="167">
        <v>8</v>
      </c>
      <c r="X10" s="167">
        <v>10</v>
      </c>
      <c r="Y10" s="167">
        <v>10</v>
      </c>
      <c r="Z10" s="92">
        <v>22</v>
      </c>
      <c r="AA10" s="92">
        <v>10</v>
      </c>
      <c r="AB10" s="163">
        <v>2200</v>
      </c>
      <c r="AC10" s="163">
        <v>2200</v>
      </c>
      <c r="AD10" s="11" t="s">
        <v>994</v>
      </c>
      <c r="AE10" s="5">
        <v>21</v>
      </c>
      <c r="AF10" s="5">
        <v>13</v>
      </c>
      <c r="AG10" s="5">
        <v>0.174</v>
      </c>
      <c r="AH10" s="76">
        <v>8</v>
      </c>
      <c r="AI10" s="49">
        <f>AG10*AE10*AH10*0.0036</f>
        <v>0.1052352</v>
      </c>
      <c r="AJ10" s="49">
        <f t="shared" si="32"/>
        <v>0.0651456</v>
      </c>
      <c r="AK10" s="76">
        <v>22</v>
      </c>
      <c r="AL10" s="76">
        <v>10</v>
      </c>
      <c r="AM10" s="29">
        <f t="shared" si="30"/>
        <v>23.151744</v>
      </c>
      <c r="AN10" s="81">
        <f t="shared" si="31"/>
        <v>14.332031999999998</v>
      </c>
      <c r="AO10" s="90"/>
      <c r="AP10" s="90"/>
      <c r="AQ10" s="90"/>
      <c r="AR10" s="31">
        <f t="shared" si="1"/>
        <v>30.542084800653132</v>
      </c>
      <c r="AS10" s="31">
        <f t="shared" si="2"/>
        <v>24.66719950138675</v>
      </c>
      <c r="AT10" s="111">
        <f t="shared" si="3"/>
        <v>0.23098484848484846</v>
      </c>
      <c r="AU10" s="188">
        <v>8</v>
      </c>
      <c r="AV10" s="111">
        <f t="shared" si="4"/>
        <v>0.20317705430659938</v>
      </c>
      <c r="AW10" s="111">
        <f t="shared" si="5"/>
        <v>0.16409518097395243</v>
      </c>
      <c r="AX10" s="188">
        <v>22</v>
      </c>
      <c r="AY10" s="188">
        <v>10</v>
      </c>
      <c r="AZ10" s="7">
        <f t="shared" si="6"/>
        <v>44.69895194745186</v>
      </c>
      <c r="BA10" s="7">
        <f t="shared" si="7"/>
        <v>36.10093981426954</v>
      </c>
      <c r="BB10" s="5">
        <v>90</v>
      </c>
      <c r="BC10" s="5">
        <v>90</v>
      </c>
      <c r="BD10" s="111">
        <f t="shared" si="8"/>
        <v>0.23098484848484846</v>
      </c>
      <c r="BE10" s="8">
        <f t="shared" si="9"/>
        <v>8</v>
      </c>
      <c r="BF10" s="111">
        <f t="shared" si="10"/>
        <v>0.5987127272727272</v>
      </c>
      <c r="BG10" s="111">
        <f t="shared" si="11"/>
        <v>0.5987127272727272</v>
      </c>
      <c r="BH10" s="8">
        <f t="shared" si="12"/>
        <v>22</v>
      </c>
      <c r="BI10" s="8">
        <f t="shared" si="13"/>
        <v>10</v>
      </c>
      <c r="BJ10" s="111">
        <f t="shared" si="14"/>
        <v>131.71679999999998</v>
      </c>
      <c r="BK10" s="111">
        <f t="shared" si="15"/>
        <v>131.71679999999998</v>
      </c>
      <c r="BL10" s="41">
        <f t="shared" si="16"/>
        <v>88.20787597372592</v>
      </c>
      <c r="BM10" s="41">
        <f t="shared" si="17"/>
        <v>83.90886990713476</v>
      </c>
      <c r="BN10" s="208">
        <f t="shared" si="18"/>
        <v>140</v>
      </c>
      <c r="BO10" s="208">
        <f t="shared" si="19"/>
        <v>140</v>
      </c>
      <c r="BP10" s="208">
        <f t="shared" si="20"/>
        <v>90</v>
      </c>
      <c r="BQ10" s="208">
        <f t="shared" si="21"/>
        <v>90</v>
      </c>
      <c r="BR10" s="208">
        <f t="shared" si="22"/>
        <v>90</v>
      </c>
      <c r="BS10" s="208">
        <f t="shared" si="23"/>
        <v>90</v>
      </c>
      <c r="BT10" s="208">
        <f t="shared" si="24"/>
        <v>90</v>
      </c>
      <c r="BU10" s="208">
        <f t="shared" si="25"/>
        <v>90</v>
      </c>
      <c r="BV10" s="208">
        <f t="shared" si="26"/>
        <v>90</v>
      </c>
      <c r="BW10" s="208">
        <f t="shared" si="27"/>
        <v>90</v>
      </c>
    </row>
    <row r="11" spans="1:75" s="21" customFormat="1" ht="80.25" customHeight="1">
      <c r="A11" s="8">
        <v>120</v>
      </c>
      <c r="B11" s="4" t="s">
        <v>50</v>
      </c>
      <c r="C11" s="4" t="s">
        <v>19</v>
      </c>
      <c r="D11" s="4">
        <v>2</v>
      </c>
      <c r="E11" s="46" t="s">
        <v>241</v>
      </c>
      <c r="F11" s="4" t="s">
        <v>280</v>
      </c>
      <c r="G11" s="4" t="s">
        <v>447</v>
      </c>
      <c r="H11" s="4" t="s">
        <v>486</v>
      </c>
      <c r="I11" s="4" t="s">
        <v>526</v>
      </c>
      <c r="J11" s="10">
        <v>43164</v>
      </c>
      <c r="K11" s="25">
        <v>43181</v>
      </c>
      <c r="L11" s="25">
        <v>43200</v>
      </c>
      <c r="M11" s="8" t="s">
        <v>74</v>
      </c>
      <c r="N11" s="25">
        <v>45025</v>
      </c>
      <c r="O11" s="8" t="s">
        <v>223</v>
      </c>
      <c r="P11" s="8" t="s">
        <v>55</v>
      </c>
      <c r="Q11" s="11" t="s">
        <v>784</v>
      </c>
      <c r="R11" s="11" t="s">
        <v>927</v>
      </c>
      <c r="S11" s="4" t="s">
        <v>1235</v>
      </c>
      <c r="T11" s="31">
        <f>(T12*V12+T13*V13)/(V12+V13)</f>
        <v>40.373612800943846</v>
      </c>
      <c r="U11" s="176">
        <f>(U12*V12+U13*V13)/(V12+V13)</f>
        <v>20.579950595435612</v>
      </c>
      <c r="V11" s="33">
        <f>AVERAGE(V12:V13)</f>
        <v>0.797735294117647</v>
      </c>
      <c r="W11" s="78">
        <v>8</v>
      </c>
      <c r="X11" s="32"/>
      <c r="Y11" s="32"/>
      <c r="Z11" s="78"/>
      <c r="AA11" s="78"/>
      <c r="AB11" s="33">
        <f>AVERAGE(AB12:AB13)</f>
        <v>204.0664404705882</v>
      </c>
      <c r="AC11" s="33">
        <f>AVERAGE(AC12:AC13)</f>
        <v>104.02034823529412</v>
      </c>
      <c r="AD11" s="74" t="s">
        <v>995</v>
      </c>
      <c r="AE11" s="8">
        <v>7.8</v>
      </c>
      <c r="AF11" s="8">
        <v>72</v>
      </c>
      <c r="AG11" s="7">
        <v>0.003</v>
      </c>
      <c r="AH11" s="8">
        <v>8</v>
      </c>
      <c r="AI11" s="49">
        <f>AG11*AE11*AH11*0.0036</f>
        <v>0.00067392</v>
      </c>
      <c r="AJ11" s="49">
        <f t="shared" si="32"/>
        <v>0.006220799999999999</v>
      </c>
      <c r="AK11" s="8">
        <v>22</v>
      </c>
      <c r="AL11" s="8">
        <v>10</v>
      </c>
      <c r="AM11" s="29">
        <f t="shared" si="30"/>
        <v>0.14826240000000002</v>
      </c>
      <c r="AN11" s="81">
        <f t="shared" si="31"/>
        <v>1.368576</v>
      </c>
      <c r="AO11" s="191" t="s">
        <v>1276</v>
      </c>
      <c r="AP11" s="191">
        <v>90</v>
      </c>
      <c r="AQ11" s="191">
        <v>90</v>
      </c>
      <c r="AR11" s="31">
        <f t="shared" si="1"/>
        <v>40.251573921028466</v>
      </c>
      <c r="AS11" s="31">
        <f t="shared" si="2"/>
        <v>20.7725987144169</v>
      </c>
      <c r="AT11" s="111">
        <f t="shared" si="3"/>
        <v>0.4003676470588235</v>
      </c>
      <c r="AU11" s="8">
        <v>8</v>
      </c>
      <c r="AV11" s="111">
        <f t="shared" si="4"/>
        <v>0.46412432470588233</v>
      </c>
      <c r="AW11" s="111">
        <f t="shared" si="5"/>
        <v>0.2395202823529412</v>
      </c>
      <c r="AX11" s="8">
        <v>22</v>
      </c>
      <c r="AY11" s="8">
        <v>10</v>
      </c>
      <c r="AZ11" s="7">
        <f t="shared" si="6"/>
        <v>102.10735143529412</v>
      </c>
      <c r="BA11" s="7">
        <f t="shared" si="7"/>
        <v>52.69446211764706</v>
      </c>
      <c r="BB11" s="5">
        <v>90</v>
      </c>
      <c r="BC11" s="5">
        <v>90</v>
      </c>
      <c r="BD11" s="111">
        <f t="shared" si="8"/>
        <v>0.4003676470588235</v>
      </c>
      <c r="BE11" s="8">
        <f t="shared" si="9"/>
        <v>8</v>
      </c>
      <c r="BF11" s="111">
        <f t="shared" si="10"/>
        <v>1.0377529411764705</v>
      </c>
      <c r="BG11" s="111">
        <f t="shared" si="11"/>
        <v>1.0377529411764705</v>
      </c>
      <c r="BH11" s="8">
        <f t="shared" si="12"/>
        <v>22</v>
      </c>
      <c r="BI11" s="8">
        <f t="shared" si="13"/>
        <v>10</v>
      </c>
      <c r="BJ11" s="111">
        <f t="shared" si="14"/>
        <v>228.30564705882352</v>
      </c>
      <c r="BK11" s="111">
        <f t="shared" si="15"/>
        <v>228.30564705882352</v>
      </c>
      <c r="BL11" s="41">
        <f t="shared" si="16"/>
        <v>165.20649924705882</v>
      </c>
      <c r="BM11" s="41">
        <f t="shared" si="17"/>
        <v>140.5000545882353</v>
      </c>
      <c r="BN11" s="208">
        <f t="shared" si="18"/>
        <v>230</v>
      </c>
      <c r="BO11" s="208">
        <f t="shared" si="19"/>
        <v>230</v>
      </c>
      <c r="BP11" s="208">
        <f t="shared" si="20"/>
        <v>170</v>
      </c>
      <c r="BQ11" s="208">
        <f t="shared" si="21"/>
        <v>150</v>
      </c>
      <c r="BR11" s="208">
        <f t="shared" si="22"/>
        <v>170</v>
      </c>
      <c r="BS11" s="208">
        <f t="shared" si="23"/>
        <v>150</v>
      </c>
      <c r="BT11" s="208">
        <f t="shared" si="24"/>
        <v>170</v>
      </c>
      <c r="BU11" s="208">
        <f t="shared" si="25"/>
        <v>150</v>
      </c>
      <c r="BV11" s="208">
        <f t="shared" si="26"/>
        <v>170</v>
      </c>
      <c r="BW11" s="208">
        <f t="shared" si="27"/>
        <v>150</v>
      </c>
    </row>
    <row r="12" spans="1:75" s="178" customFormat="1" ht="80.25" customHeight="1" hidden="1">
      <c r="A12" s="8"/>
      <c r="B12" s="4"/>
      <c r="C12" s="4"/>
      <c r="D12" s="4"/>
      <c r="E12" s="179"/>
      <c r="F12" s="4"/>
      <c r="G12" s="4"/>
      <c r="H12" s="4"/>
      <c r="I12" s="4"/>
      <c r="J12" s="10"/>
      <c r="K12" s="25"/>
      <c r="L12" s="25"/>
      <c r="M12" s="8"/>
      <c r="N12" s="25"/>
      <c r="O12" s="8"/>
      <c r="P12" s="8"/>
      <c r="Q12" s="11"/>
      <c r="R12" s="11"/>
      <c r="S12" s="4" t="s">
        <v>1236</v>
      </c>
      <c r="T12" s="8">
        <v>57</v>
      </c>
      <c r="U12" s="78">
        <v>30</v>
      </c>
      <c r="V12" s="32">
        <v>0.844</v>
      </c>
      <c r="W12" s="78">
        <v>8</v>
      </c>
      <c r="X12" s="7">
        <f>W12*V12*T12*0.0036</f>
        <v>1.3855103999999998</v>
      </c>
      <c r="Y12" s="34">
        <f>V12*U12*W12*0.0036</f>
        <v>0.729216</v>
      </c>
      <c r="Z12" s="78">
        <v>22</v>
      </c>
      <c r="AA12" s="78">
        <v>10</v>
      </c>
      <c r="AB12" s="29">
        <f>X12*Z12*AA12</f>
        <v>304.81228799999997</v>
      </c>
      <c r="AC12" s="29">
        <f>Y12*Z12*AA12</f>
        <v>160.42752000000002</v>
      </c>
      <c r="AD12" s="181"/>
      <c r="AE12" s="8"/>
      <c r="AF12" s="8"/>
      <c r="AG12" s="7"/>
      <c r="AH12" s="8"/>
      <c r="AI12" s="180"/>
      <c r="AJ12" s="180"/>
      <c r="AK12" s="8"/>
      <c r="AL12" s="8"/>
      <c r="AM12" s="29"/>
      <c r="AN12" s="81"/>
      <c r="AO12" s="177"/>
      <c r="AP12" s="177"/>
      <c r="AQ12" s="177"/>
      <c r="AR12" s="177"/>
      <c r="AS12" s="177"/>
      <c r="AT12" s="177"/>
      <c r="AU12" s="5"/>
      <c r="AV12" s="177"/>
      <c r="AW12" s="177"/>
      <c r="AX12" s="5"/>
      <c r="AY12" s="5"/>
      <c r="AZ12" s="177"/>
      <c r="BA12" s="177"/>
      <c r="BB12" s="177"/>
      <c r="BC12" s="177"/>
      <c r="BD12" s="111"/>
      <c r="BE12" s="8"/>
      <c r="BF12" s="111"/>
      <c r="BG12" s="111"/>
      <c r="BH12" s="8"/>
      <c r="BI12" s="8"/>
      <c r="BJ12" s="111"/>
      <c r="BK12" s="111"/>
      <c r="BL12" s="41"/>
      <c r="BM12" s="41"/>
      <c r="BN12" s="208"/>
      <c r="BO12" s="208"/>
      <c r="BP12" s="208"/>
      <c r="BQ12" s="208"/>
      <c r="BR12" s="208"/>
      <c r="BS12" s="208"/>
      <c r="BT12" s="208"/>
      <c r="BU12" s="208"/>
      <c r="BV12" s="208"/>
      <c r="BW12" s="208"/>
    </row>
    <row r="13" spans="1:75" s="178" customFormat="1" ht="80.25" customHeight="1" hidden="1">
      <c r="A13" s="8"/>
      <c r="B13" s="4"/>
      <c r="C13" s="4"/>
      <c r="D13" s="4"/>
      <c r="E13" s="179"/>
      <c r="F13" s="4"/>
      <c r="G13" s="4"/>
      <c r="H13" s="4"/>
      <c r="I13" s="4"/>
      <c r="J13" s="10"/>
      <c r="K13" s="25"/>
      <c r="L13" s="25"/>
      <c r="M13" s="8"/>
      <c r="N13" s="25"/>
      <c r="O13" s="8"/>
      <c r="P13" s="8"/>
      <c r="Q13" s="11"/>
      <c r="R13" s="11"/>
      <c r="S13" s="4" t="s">
        <v>1237</v>
      </c>
      <c r="T13" s="8">
        <v>21.7</v>
      </c>
      <c r="U13" s="78">
        <v>10</v>
      </c>
      <c r="V13" s="32">
        <v>0.7514705882352941</v>
      </c>
      <c r="W13" s="78">
        <v>8</v>
      </c>
      <c r="X13" s="7">
        <f>W13*V13*T13*0.0036</f>
        <v>0.46963905882352935</v>
      </c>
      <c r="Y13" s="34">
        <f>V13*U13*W13*0.0036</f>
        <v>0.2164235294117647</v>
      </c>
      <c r="Z13" s="78">
        <v>22</v>
      </c>
      <c r="AA13" s="78">
        <v>10</v>
      </c>
      <c r="AB13" s="29">
        <f>X13*Z13*AA13</f>
        <v>103.32059294117644</v>
      </c>
      <c r="AC13" s="29">
        <f>Y13*Z13*AA13</f>
        <v>47.613176470588236</v>
      </c>
      <c r="AD13" s="181"/>
      <c r="AE13" s="8"/>
      <c r="AF13" s="8"/>
      <c r="AG13" s="7"/>
      <c r="AH13" s="8"/>
      <c r="AI13" s="180"/>
      <c r="AJ13" s="180"/>
      <c r="AK13" s="8"/>
      <c r="AL13" s="8"/>
      <c r="AM13" s="29"/>
      <c r="AN13" s="81"/>
      <c r="AO13" s="177"/>
      <c r="AP13" s="177"/>
      <c r="AQ13" s="177"/>
      <c r="AR13" s="177"/>
      <c r="AS13" s="177"/>
      <c r="AT13" s="177"/>
      <c r="AU13" s="8"/>
      <c r="AV13" s="177"/>
      <c r="AW13" s="177"/>
      <c r="AX13" s="187"/>
      <c r="AY13" s="187"/>
      <c r="AZ13" s="177"/>
      <c r="BA13" s="177"/>
      <c r="BB13" s="177"/>
      <c r="BC13" s="177"/>
      <c r="BD13" s="111"/>
      <c r="BE13" s="8"/>
      <c r="BF13" s="111"/>
      <c r="BG13" s="111"/>
      <c r="BH13" s="8"/>
      <c r="BI13" s="8"/>
      <c r="BJ13" s="111"/>
      <c r="BK13" s="111"/>
      <c r="BL13" s="41"/>
      <c r="BM13" s="41"/>
      <c r="BN13" s="208"/>
      <c r="BO13" s="208"/>
      <c r="BP13" s="208"/>
      <c r="BQ13" s="208"/>
      <c r="BR13" s="208"/>
      <c r="BS13" s="208"/>
      <c r="BT13" s="208"/>
      <c r="BU13" s="208"/>
      <c r="BV13" s="208"/>
      <c r="BW13" s="208"/>
    </row>
    <row r="14" spans="1:75" s="20" customFormat="1" ht="69.75" customHeight="1">
      <c r="A14" s="8">
        <v>121</v>
      </c>
      <c r="B14" s="4" t="s">
        <v>50</v>
      </c>
      <c r="C14" s="4" t="s">
        <v>19</v>
      </c>
      <c r="D14" s="4">
        <v>2</v>
      </c>
      <c r="E14" s="37" t="s">
        <v>294</v>
      </c>
      <c r="F14" s="4" t="s">
        <v>295</v>
      </c>
      <c r="G14" s="11" t="s">
        <v>530</v>
      </c>
      <c r="H14" s="11" t="s">
        <v>11</v>
      </c>
      <c r="I14" s="26" t="s">
        <v>67</v>
      </c>
      <c r="J14" s="26" t="s">
        <v>67</v>
      </c>
      <c r="K14" s="26" t="s">
        <v>67</v>
      </c>
      <c r="L14" s="26" t="s">
        <v>67</v>
      </c>
      <c r="M14" s="26" t="s">
        <v>67</v>
      </c>
      <c r="N14" s="26" t="s">
        <v>67</v>
      </c>
      <c r="O14" s="5" t="s">
        <v>51</v>
      </c>
      <c r="P14" s="5" t="s">
        <v>55</v>
      </c>
      <c r="Q14" s="11" t="s">
        <v>785</v>
      </c>
      <c r="R14" s="11" t="s">
        <v>928</v>
      </c>
      <c r="S14" s="11" t="s">
        <v>1238</v>
      </c>
      <c r="T14" s="92">
        <v>5</v>
      </c>
      <c r="U14" s="92">
        <v>23</v>
      </c>
      <c r="V14" s="167">
        <v>0.09458823529411764</v>
      </c>
      <c r="W14" s="92">
        <v>18</v>
      </c>
      <c r="X14" s="7">
        <f>W14*V14*T14*0.0036</f>
        <v>0.030646588235294113</v>
      </c>
      <c r="Y14" s="34">
        <f t="shared" si="33"/>
        <v>0.14097430588235293</v>
      </c>
      <c r="Z14" s="5">
        <v>30</v>
      </c>
      <c r="AA14" s="5">
        <v>12</v>
      </c>
      <c r="AB14" s="29">
        <f>X14*Z14*AA14</f>
        <v>11.032771764705881</v>
      </c>
      <c r="AC14" s="29">
        <f t="shared" si="29"/>
        <v>50.75075011764705</v>
      </c>
      <c r="AD14" s="11" t="s">
        <v>1118</v>
      </c>
      <c r="AE14" s="5">
        <v>13.97</v>
      </c>
      <c r="AF14" s="5">
        <v>12</v>
      </c>
      <c r="AG14" s="34">
        <v>0.1</v>
      </c>
      <c r="AH14" s="5">
        <v>8</v>
      </c>
      <c r="AI14" s="7">
        <f>AH14*AG14*AE14*0.0036</f>
        <v>0.04023360000000001</v>
      </c>
      <c r="AJ14" s="34">
        <f t="shared" si="32"/>
        <v>0.03456000000000001</v>
      </c>
      <c r="AK14" s="5">
        <v>22</v>
      </c>
      <c r="AL14" s="5">
        <v>10</v>
      </c>
      <c r="AM14" s="29">
        <f t="shared" si="30"/>
        <v>8.851392000000002</v>
      </c>
      <c r="AN14" s="81">
        <f t="shared" si="31"/>
        <v>7.603200000000001</v>
      </c>
      <c r="AO14" s="90"/>
      <c r="AP14" s="90"/>
      <c r="AQ14" s="90"/>
      <c r="AR14" s="31">
        <f>(T14*V14+AE14*AG14)/(V14+AG14)</f>
        <v>9.609733978234583</v>
      </c>
      <c r="AS14" s="31">
        <f>(U14*V14+AF14*AG14)/(V14+AG14)</f>
        <v>17.347037484885128</v>
      </c>
      <c r="AT14" s="111">
        <f>AVERAGE(V14,AG14)</f>
        <v>0.09729411764705882</v>
      </c>
      <c r="AU14" s="5">
        <v>8</v>
      </c>
      <c r="AV14" s="111">
        <f>AT14*AR14*AU14*0.0036</f>
        <v>0.026927152941176473</v>
      </c>
      <c r="AW14" s="111">
        <f>AT14*AS14*AU14*0.0036</f>
        <v>0.04860762352941177</v>
      </c>
      <c r="AX14" s="5">
        <v>22</v>
      </c>
      <c r="AY14" s="5">
        <v>10</v>
      </c>
      <c r="AZ14" s="7">
        <f>AV14*AX14*AY14</f>
        <v>5.9239736470588245</v>
      </c>
      <c r="BA14" s="7">
        <f>AW14*AX14*AY14</f>
        <v>10.693677176470588</v>
      </c>
      <c r="BB14" s="5">
        <v>90</v>
      </c>
      <c r="BC14" s="5">
        <v>90</v>
      </c>
      <c r="BD14" s="111">
        <f t="shared" si="8"/>
        <v>0.09729411764705882</v>
      </c>
      <c r="BE14" s="8">
        <f t="shared" si="9"/>
        <v>8</v>
      </c>
      <c r="BF14" s="111">
        <f t="shared" si="10"/>
        <v>0.2521863529411765</v>
      </c>
      <c r="BG14" s="111">
        <f t="shared" si="11"/>
        <v>0.2521863529411765</v>
      </c>
      <c r="BH14" s="8">
        <f t="shared" si="12"/>
        <v>22</v>
      </c>
      <c r="BI14" s="8">
        <f t="shared" si="13"/>
        <v>10</v>
      </c>
      <c r="BJ14" s="111">
        <f t="shared" si="14"/>
        <v>55.48099764705882</v>
      </c>
      <c r="BK14" s="111">
        <f t="shared" si="15"/>
        <v>55.48099764705882</v>
      </c>
      <c r="BL14" s="41">
        <f t="shared" si="16"/>
        <v>30.702485647058822</v>
      </c>
      <c r="BM14" s="41">
        <f t="shared" si="17"/>
        <v>33.08733741176471</v>
      </c>
      <c r="BN14" s="208">
        <f aca="true" t="shared" si="34" ref="BN14:BQ17">ROUNDUP(BJ14,-1)</f>
        <v>60</v>
      </c>
      <c r="BO14" s="208">
        <f t="shared" si="34"/>
        <v>60</v>
      </c>
      <c r="BP14" s="208">
        <f t="shared" si="34"/>
        <v>40</v>
      </c>
      <c r="BQ14" s="208">
        <f t="shared" si="34"/>
        <v>40</v>
      </c>
      <c r="BR14" s="208">
        <f aca="true" t="shared" si="35" ref="BR14:BW17">BP14</f>
        <v>40</v>
      </c>
      <c r="BS14" s="208">
        <f t="shared" si="35"/>
        <v>40</v>
      </c>
      <c r="BT14" s="208">
        <f t="shared" si="35"/>
        <v>40</v>
      </c>
      <c r="BU14" s="208">
        <f t="shared" si="35"/>
        <v>40</v>
      </c>
      <c r="BV14" s="208">
        <f t="shared" si="35"/>
        <v>40</v>
      </c>
      <c r="BW14" s="208">
        <f t="shared" si="35"/>
        <v>40</v>
      </c>
    </row>
    <row r="15" spans="1:75" s="21" customFormat="1" ht="66" customHeight="1">
      <c r="A15" s="8">
        <v>122</v>
      </c>
      <c r="B15" s="4" t="s">
        <v>50</v>
      </c>
      <c r="C15" s="4" t="s">
        <v>19</v>
      </c>
      <c r="D15" s="4">
        <v>2</v>
      </c>
      <c r="E15" s="37" t="s">
        <v>395</v>
      </c>
      <c r="F15" s="4" t="s">
        <v>314</v>
      </c>
      <c r="G15" s="4" t="s">
        <v>315</v>
      </c>
      <c r="H15" s="4" t="s">
        <v>11</v>
      </c>
      <c r="I15" s="9" t="s">
        <v>67</v>
      </c>
      <c r="J15" s="9" t="s">
        <v>67</v>
      </c>
      <c r="K15" s="9" t="s">
        <v>67</v>
      </c>
      <c r="L15" s="9" t="s">
        <v>67</v>
      </c>
      <c r="M15" s="9" t="s">
        <v>67</v>
      </c>
      <c r="N15" s="9" t="s">
        <v>67</v>
      </c>
      <c r="O15" s="8" t="s">
        <v>51</v>
      </c>
      <c r="P15" s="8" t="s">
        <v>55</v>
      </c>
      <c r="Q15" s="11" t="s">
        <v>744</v>
      </c>
      <c r="R15" s="11" t="s">
        <v>929</v>
      </c>
      <c r="S15" s="94" t="s">
        <v>1239</v>
      </c>
      <c r="T15" s="158">
        <f>EstandarizaciónParam_InstiEduca!$F$25</f>
        <v>36.30770101925255</v>
      </c>
      <c r="U15" s="78">
        <v>78</v>
      </c>
      <c r="V15" s="78">
        <v>1.08</v>
      </c>
      <c r="W15" s="78">
        <v>12</v>
      </c>
      <c r="X15" s="7">
        <f>V15*T15*W15*0.0036</f>
        <v>1.693972098754247</v>
      </c>
      <c r="Y15" s="7">
        <f t="shared" si="33"/>
        <v>3.639168</v>
      </c>
      <c r="Z15" s="71">
        <v>30</v>
      </c>
      <c r="AA15" s="71">
        <v>12</v>
      </c>
      <c r="AB15" s="51">
        <f t="shared" si="28"/>
        <v>609.8299555515289</v>
      </c>
      <c r="AC15" s="51">
        <f t="shared" si="29"/>
        <v>1310.10048</v>
      </c>
      <c r="AD15" s="4" t="s">
        <v>996</v>
      </c>
      <c r="AE15" s="158">
        <f>EstandarizaciónParam_InstiEduca!$I$25</f>
        <v>23</v>
      </c>
      <c r="AF15" s="8">
        <v>78</v>
      </c>
      <c r="AG15" s="8">
        <f>(0.91+1.16+1.16+0.94+1.23)/5</f>
        <v>1.08</v>
      </c>
      <c r="AH15" s="8">
        <v>12</v>
      </c>
      <c r="AI15" s="7">
        <f>AG15*AE15*AH15*0.0036</f>
        <v>1.073088</v>
      </c>
      <c r="AJ15" s="7">
        <f t="shared" si="32"/>
        <v>3.639168</v>
      </c>
      <c r="AK15" s="71">
        <v>30</v>
      </c>
      <c r="AL15" s="71">
        <v>12</v>
      </c>
      <c r="AM15" s="51">
        <f t="shared" si="30"/>
        <v>386.31168</v>
      </c>
      <c r="AN15" s="86">
        <f t="shared" si="31"/>
        <v>1310.10048</v>
      </c>
      <c r="AO15" s="19"/>
      <c r="AP15" s="19"/>
      <c r="AQ15" s="19"/>
      <c r="AR15" s="31">
        <f>(T15*V15+AE15*AG15)/(V15+AG15)</f>
        <v>29.65385050962627</v>
      </c>
      <c r="AS15" s="31">
        <f>(U15*V15+AF15*AG15)/(V15+AG15)</f>
        <v>78</v>
      </c>
      <c r="AT15" s="111">
        <f>AVERAGE(V15,AG15)</f>
        <v>1.08</v>
      </c>
      <c r="AU15" s="8">
        <v>12</v>
      </c>
      <c r="AV15" s="111">
        <f>AT15*AR15*AU15*0.0036</f>
        <v>1.3835300493771234</v>
      </c>
      <c r="AW15" s="111">
        <f>AT15*AS15*AU15*0.0036</f>
        <v>3.639168</v>
      </c>
      <c r="AX15" s="187">
        <v>30</v>
      </c>
      <c r="AY15" s="187">
        <v>12</v>
      </c>
      <c r="AZ15" s="7">
        <f>AV15*AX15*AY15</f>
        <v>498.0708177757644</v>
      </c>
      <c r="BA15" s="7">
        <f>AW15*AX15*AY15</f>
        <v>1310.10048</v>
      </c>
      <c r="BB15" s="5">
        <v>90</v>
      </c>
      <c r="BC15" s="5">
        <v>90</v>
      </c>
      <c r="BD15" s="111">
        <f t="shared" si="8"/>
        <v>1.08</v>
      </c>
      <c r="BE15" s="8">
        <f t="shared" si="9"/>
        <v>12</v>
      </c>
      <c r="BF15" s="111">
        <f t="shared" si="10"/>
        <v>4.19904</v>
      </c>
      <c r="BG15" s="111">
        <f t="shared" si="11"/>
        <v>4.19904</v>
      </c>
      <c r="BH15" s="8">
        <f t="shared" si="12"/>
        <v>30</v>
      </c>
      <c r="BI15" s="8">
        <f t="shared" si="13"/>
        <v>12</v>
      </c>
      <c r="BJ15" s="111">
        <f t="shared" si="14"/>
        <v>1511.6544000000001</v>
      </c>
      <c r="BK15" s="111">
        <f t="shared" si="15"/>
        <v>1511.6544000000001</v>
      </c>
      <c r="BL15" s="41">
        <f t="shared" si="16"/>
        <v>1004.8626088878823</v>
      </c>
      <c r="BM15" s="41">
        <f t="shared" si="17"/>
        <v>1410.8774400000002</v>
      </c>
      <c r="BN15" s="208">
        <f t="shared" si="34"/>
        <v>1520</v>
      </c>
      <c r="BO15" s="208">
        <f t="shared" si="34"/>
        <v>1520</v>
      </c>
      <c r="BP15" s="208">
        <f t="shared" si="34"/>
        <v>1010</v>
      </c>
      <c r="BQ15" s="208">
        <f t="shared" si="34"/>
        <v>1420</v>
      </c>
      <c r="BR15" s="208">
        <f t="shared" si="35"/>
        <v>1010</v>
      </c>
      <c r="BS15" s="208">
        <f t="shared" si="35"/>
        <v>1420</v>
      </c>
      <c r="BT15" s="208">
        <f t="shared" si="35"/>
        <v>1010</v>
      </c>
      <c r="BU15" s="208">
        <f t="shared" si="35"/>
        <v>1420</v>
      </c>
      <c r="BV15" s="208">
        <f t="shared" si="35"/>
        <v>1010</v>
      </c>
      <c r="BW15" s="208">
        <f t="shared" si="35"/>
        <v>1420</v>
      </c>
    </row>
    <row r="16" spans="1:75" s="20" customFormat="1" ht="79.5" customHeight="1">
      <c r="A16" s="8">
        <v>123</v>
      </c>
      <c r="B16" s="4" t="s">
        <v>50</v>
      </c>
      <c r="C16" s="4" t="s">
        <v>19</v>
      </c>
      <c r="D16" s="4">
        <v>2</v>
      </c>
      <c r="E16" s="37" t="s">
        <v>316</v>
      </c>
      <c r="F16" s="4" t="s">
        <v>317</v>
      </c>
      <c r="G16" s="11" t="s">
        <v>477</v>
      </c>
      <c r="H16" s="11" t="s">
        <v>11</v>
      </c>
      <c r="I16" s="26" t="s">
        <v>67</v>
      </c>
      <c r="J16" s="26" t="s">
        <v>67</v>
      </c>
      <c r="K16" s="26" t="s">
        <v>67</v>
      </c>
      <c r="L16" s="26" t="s">
        <v>67</v>
      </c>
      <c r="M16" s="26" t="s">
        <v>67</v>
      </c>
      <c r="N16" s="26" t="s">
        <v>67</v>
      </c>
      <c r="O16" s="5" t="s">
        <v>51</v>
      </c>
      <c r="P16" s="5" t="s">
        <v>55</v>
      </c>
      <c r="Q16" s="11" t="s">
        <v>371</v>
      </c>
      <c r="R16" s="11" t="s">
        <v>930</v>
      </c>
      <c r="S16" s="11" t="s">
        <v>1240</v>
      </c>
      <c r="T16" s="92">
        <v>33</v>
      </c>
      <c r="U16" s="92">
        <v>38</v>
      </c>
      <c r="V16" s="167">
        <v>0.009454545454545459</v>
      </c>
      <c r="W16" s="92">
        <v>18</v>
      </c>
      <c r="X16" s="34">
        <f>V16*T16*W16*0.0036</f>
        <v>0.02021760000000001</v>
      </c>
      <c r="Y16" s="34">
        <f t="shared" si="33"/>
        <v>0.023280872727272733</v>
      </c>
      <c r="Z16" s="5">
        <v>30</v>
      </c>
      <c r="AA16" s="71">
        <v>12</v>
      </c>
      <c r="AB16" s="29">
        <f t="shared" si="28"/>
        <v>7.278336000000003</v>
      </c>
      <c r="AC16" s="29">
        <f t="shared" si="29"/>
        <v>8.381114181818184</v>
      </c>
      <c r="AD16" s="11" t="s">
        <v>997</v>
      </c>
      <c r="AE16" s="5">
        <v>33</v>
      </c>
      <c r="AF16" s="5">
        <v>38</v>
      </c>
      <c r="AG16" s="34">
        <f>((0+0+0+0+0.02+0.016+0.016+0.01+0.016+0+0+0+0.023+0.016+0.022+0+0+0+0.017+0.012+0+0+0.024+0.012+0.008+0+0+0.023+0.021+0+0.02+0.014+0.022)/33)</f>
        <v>0.009454545454545459</v>
      </c>
      <c r="AH16" s="5">
        <v>12</v>
      </c>
      <c r="AI16" s="34">
        <f>AG16*AE16*AH16*0.0036</f>
        <v>0.013478400000000005</v>
      </c>
      <c r="AJ16" s="34">
        <f t="shared" si="32"/>
        <v>0.015520581818181823</v>
      </c>
      <c r="AK16" s="5">
        <v>30</v>
      </c>
      <c r="AL16" s="71">
        <v>12</v>
      </c>
      <c r="AM16" s="29">
        <f t="shared" si="30"/>
        <v>4.852224000000001</v>
      </c>
      <c r="AN16" s="81">
        <f t="shared" si="31"/>
        <v>5.5874094545454565</v>
      </c>
      <c r="AO16" s="90"/>
      <c r="AP16" s="90"/>
      <c r="AQ16" s="90"/>
      <c r="AR16" s="31">
        <f>(T16*V16+AE16*AG16)/(V16+AG16)</f>
        <v>33</v>
      </c>
      <c r="AS16" s="31">
        <f>(U16*V16+AF16*AG16)/(V16+AG16)</f>
        <v>38</v>
      </c>
      <c r="AT16" s="111">
        <f>AVERAGE(V16,AG16)</f>
        <v>0.009454545454545459</v>
      </c>
      <c r="AU16" s="5">
        <v>12</v>
      </c>
      <c r="AV16" s="111">
        <f>AT16*AR16*AU16*0.0036</f>
        <v>0.013478400000000005</v>
      </c>
      <c r="AW16" s="111">
        <f>AT16*AS16*AU16*0.0036</f>
        <v>0.015520581818181823</v>
      </c>
      <c r="AX16" s="5">
        <v>30</v>
      </c>
      <c r="AY16" s="187">
        <v>12</v>
      </c>
      <c r="AZ16" s="7">
        <f>AV16*AX16*AY16</f>
        <v>4.852224000000001</v>
      </c>
      <c r="BA16" s="7">
        <f>AW16*AX16*AY16</f>
        <v>5.5874094545454565</v>
      </c>
      <c r="BB16" s="5">
        <v>90</v>
      </c>
      <c r="BC16" s="5">
        <v>90</v>
      </c>
      <c r="BD16" s="111">
        <f t="shared" si="8"/>
        <v>0.009454545454545459</v>
      </c>
      <c r="BE16" s="8">
        <f t="shared" si="9"/>
        <v>12</v>
      </c>
      <c r="BF16" s="111">
        <f t="shared" si="10"/>
        <v>0.03675927272727274</v>
      </c>
      <c r="BG16" s="111">
        <f t="shared" si="11"/>
        <v>0.03675927272727274</v>
      </c>
      <c r="BH16" s="8">
        <f t="shared" si="12"/>
        <v>30</v>
      </c>
      <c r="BI16" s="8">
        <f t="shared" si="13"/>
        <v>12</v>
      </c>
      <c r="BJ16" s="111">
        <f t="shared" si="14"/>
        <v>13.233338181818185</v>
      </c>
      <c r="BK16" s="111">
        <f t="shared" si="15"/>
        <v>13.233338181818185</v>
      </c>
      <c r="BL16" s="41">
        <f t="shared" si="16"/>
        <v>9.042781090909093</v>
      </c>
      <c r="BM16" s="41">
        <f t="shared" si="17"/>
        <v>9.41037381818182</v>
      </c>
      <c r="BN16" s="208">
        <f t="shared" si="34"/>
        <v>20</v>
      </c>
      <c r="BO16" s="208">
        <f t="shared" si="34"/>
        <v>20</v>
      </c>
      <c r="BP16" s="208">
        <f t="shared" si="34"/>
        <v>10</v>
      </c>
      <c r="BQ16" s="208">
        <f t="shared" si="34"/>
        <v>10</v>
      </c>
      <c r="BR16" s="208">
        <f t="shared" si="35"/>
        <v>10</v>
      </c>
      <c r="BS16" s="208">
        <f t="shared" si="35"/>
        <v>10</v>
      </c>
      <c r="BT16" s="208">
        <f t="shared" si="35"/>
        <v>10</v>
      </c>
      <c r="BU16" s="208">
        <f t="shared" si="35"/>
        <v>10</v>
      </c>
      <c r="BV16" s="208">
        <f t="shared" si="35"/>
        <v>10</v>
      </c>
      <c r="BW16" s="208">
        <f t="shared" si="35"/>
        <v>10</v>
      </c>
    </row>
    <row r="17" spans="1:75" s="21" customFormat="1" ht="93.75" customHeight="1">
      <c r="A17" s="8">
        <v>124</v>
      </c>
      <c r="B17" s="4" t="s">
        <v>50</v>
      </c>
      <c r="C17" s="4" t="s">
        <v>19</v>
      </c>
      <c r="D17" s="4">
        <v>2</v>
      </c>
      <c r="E17" s="4" t="s">
        <v>402</v>
      </c>
      <c r="F17" s="8" t="s">
        <v>391</v>
      </c>
      <c r="G17" s="8" t="s">
        <v>401</v>
      </c>
      <c r="H17" s="8" t="s">
        <v>11</v>
      </c>
      <c r="I17" s="26" t="s">
        <v>67</v>
      </c>
      <c r="J17" s="26" t="s">
        <v>67</v>
      </c>
      <c r="K17" s="26" t="s">
        <v>67</v>
      </c>
      <c r="L17" s="26" t="s">
        <v>67</v>
      </c>
      <c r="M17" s="26" t="s">
        <v>67</v>
      </c>
      <c r="N17" s="26" t="s">
        <v>67</v>
      </c>
      <c r="O17" s="5" t="s">
        <v>51</v>
      </c>
      <c r="P17" s="8" t="s">
        <v>55</v>
      </c>
      <c r="Q17" s="8" t="s">
        <v>392</v>
      </c>
      <c r="R17" s="8" t="s">
        <v>931</v>
      </c>
      <c r="S17" s="4" t="s">
        <v>1241</v>
      </c>
      <c r="T17" s="13">
        <f>(T18*V18+T19*V19)/(V18+V19)</f>
        <v>36.615402038505096</v>
      </c>
      <c r="U17" s="13">
        <f>(U18*V18+U19*V19)/(V18+V19)</f>
        <v>31.716874292185732</v>
      </c>
      <c r="V17" s="13">
        <f>AVERAGE(V18:V19)</f>
        <v>0.5297999999999999</v>
      </c>
      <c r="W17" s="78">
        <v>8</v>
      </c>
      <c r="X17" s="32"/>
      <c r="Y17" s="32"/>
      <c r="Z17" s="78"/>
      <c r="AA17" s="78"/>
      <c r="AB17" s="33">
        <f>AVERAGE(AB18:AB19)</f>
        <v>167.6059776</v>
      </c>
      <c r="AC17" s="33">
        <f>AVERAGE(AC18:AC19)</f>
        <v>145.18310399999996</v>
      </c>
      <c r="AD17" s="4" t="s">
        <v>998</v>
      </c>
      <c r="AE17" s="5">
        <v>88</v>
      </c>
      <c r="AF17" s="5">
        <v>27</v>
      </c>
      <c r="AG17" s="34">
        <v>0.025</v>
      </c>
      <c r="AH17" s="5">
        <v>8</v>
      </c>
      <c r="AI17" s="34">
        <f>AG17*AE17*AH17*0.0036</f>
        <v>0.06336</v>
      </c>
      <c r="AJ17" s="34">
        <f t="shared" si="32"/>
        <v>0.019440000000000002</v>
      </c>
      <c r="AK17" s="5">
        <v>22</v>
      </c>
      <c r="AL17" s="5">
        <v>10</v>
      </c>
      <c r="AM17" s="29">
        <f t="shared" si="30"/>
        <v>13.9392</v>
      </c>
      <c r="AN17" s="81">
        <f t="shared" si="31"/>
        <v>4.276800000000001</v>
      </c>
      <c r="AO17" s="19"/>
      <c r="AP17" s="19"/>
      <c r="AQ17" s="19"/>
      <c r="AR17" s="31">
        <f>(T17*V17+AE17*AG17)/(V17+AG17)</f>
        <v>38.93085796683489</v>
      </c>
      <c r="AS17" s="31">
        <f>(U17*V17+AF17*AG17)/(V17+AG17)</f>
        <v>31.504325883201155</v>
      </c>
      <c r="AT17" s="111">
        <f>AVERAGE(V17,AG17)</f>
        <v>0.2774</v>
      </c>
      <c r="AU17" s="5">
        <v>8</v>
      </c>
      <c r="AV17" s="111">
        <f>AT17*AR17*AU17*0.0036</f>
        <v>0.31102329599999995</v>
      </c>
      <c r="AW17" s="111">
        <f>AT17*AS17*AU17*0.0036</f>
        <v>0.25169184</v>
      </c>
      <c r="AX17" s="5">
        <v>22</v>
      </c>
      <c r="AY17" s="5">
        <v>10</v>
      </c>
      <c r="AZ17" s="7">
        <f>AV17*AX17*AY17</f>
        <v>68.42512511999999</v>
      </c>
      <c r="BA17" s="7">
        <f>AW17*AX17*AY17</f>
        <v>55.372204800000006</v>
      </c>
      <c r="BB17" s="5">
        <v>90</v>
      </c>
      <c r="BC17" s="5">
        <v>90</v>
      </c>
      <c r="BD17" s="111">
        <f t="shared" si="8"/>
        <v>0.2774</v>
      </c>
      <c r="BE17" s="8">
        <f t="shared" si="9"/>
        <v>8</v>
      </c>
      <c r="BF17" s="111">
        <f t="shared" si="10"/>
        <v>0.7190207999999999</v>
      </c>
      <c r="BG17" s="111">
        <f t="shared" si="11"/>
        <v>0.7190207999999999</v>
      </c>
      <c r="BH17" s="8">
        <f t="shared" si="12"/>
        <v>22</v>
      </c>
      <c r="BI17" s="8">
        <f t="shared" si="13"/>
        <v>10</v>
      </c>
      <c r="BJ17" s="111">
        <f t="shared" si="14"/>
        <v>158.184576</v>
      </c>
      <c r="BK17" s="111">
        <f t="shared" si="15"/>
        <v>158.184576</v>
      </c>
      <c r="BL17" s="41">
        <f t="shared" si="16"/>
        <v>113.30485055999999</v>
      </c>
      <c r="BM17" s="41">
        <f t="shared" si="17"/>
        <v>106.7783904</v>
      </c>
      <c r="BN17" s="208">
        <f t="shared" si="34"/>
        <v>160</v>
      </c>
      <c r="BO17" s="208">
        <f t="shared" si="34"/>
        <v>160</v>
      </c>
      <c r="BP17" s="208">
        <f t="shared" si="34"/>
        <v>120</v>
      </c>
      <c r="BQ17" s="208">
        <f t="shared" si="34"/>
        <v>110</v>
      </c>
      <c r="BR17" s="208">
        <f t="shared" si="35"/>
        <v>120</v>
      </c>
      <c r="BS17" s="208">
        <f t="shared" si="35"/>
        <v>110</v>
      </c>
      <c r="BT17" s="208">
        <f t="shared" si="35"/>
        <v>120</v>
      </c>
      <c r="BU17" s="208">
        <f t="shared" si="35"/>
        <v>110</v>
      </c>
      <c r="BV17" s="208">
        <f t="shared" si="35"/>
        <v>120</v>
      </c>
      <c r="BW17" s="208">
        <f t="shared" si="35"/>
        <v>110</v>
      </c>
    </row>
    <row r="18" spans="1:75" s="185" customFormat="1" ht="93.75" customHeight="1" hidden="1">
      <c r="A18" s="8"/>
      <c r="B18" s="4"/>
      <c r="C18" s="4"/>
      <c r="D18" s="4"/>
      <c r="E18" s="4"/>
      <c r="F18" s="8"/>
      <c r="G18" s="8"/>
      <c r="H18" s="8"/>
      <c r="I18" s="26"/>
      <c r="J18" s="26"/>
      <c r="K18" s="26"/>
      <c r="L18" s="26"/>
      <c r="M18" s="26"/>
      <c r="N18" s="26"/>
      <c r="O18" s="5"/>
      <c r="P18" s="8"/>
      <c r="Q18" s="8"/>
      <c r="R18" s="8"/>
      <c r="S18" s="4" t="s">
        <v>1242</v>
      </c>
      <c r="T18" s="78">
        <v>35.8</v>
      </c>
      <c r="U18" s="78">
        <v>32</v>
      </c>
      <c r="V18" s="32">
        <f>(3.2+1.31+0.59+0.027+0.071)/5</f>
        <v>1.0395999999999999</v>
      </c>
      <c r="W18" s="78">
        <v>8</v>
      </c>
      <c r="X18" s="32">
        <f>V18*T18*W18*0.0036</f>
        <v>1.0718691839999999</v>
      </c>
      <c r="Y18" s="32">
        <f>V18*U18*W18*0.0036</f>
        <v>0.9580953599999998</v>
      </c>
      <c r="Z18" s="78">
        <v>25</v>
      </c>
      <c r="AA18" s="78">
        <v>12</v>
      </c>
      <c r="AB18" s="33">
        <f>X18*Z18*AA18</f>
        <v>321.56075519999996</v>
      </c>
      <c r="AC18" s="33">
        <f>Y18*Z18*AA18</f>
        <v>287.42860799999994</v>
      </c>
      <c r="AD18" s="4"/>
      <c r="AE18" s="5"/>
      <c r="AF18" s="5"/>
      <c r="AG18" s="34"/>
      <c r="AH18" s="5"/>
      <c r="AI18" s="34"/>
      <c r="AJ18" s="34"/>
      <c r="AK18" s="5"/>
      <c r="AL18" s="5"/>
      <c r="AM18" s="29"/>
      <c r="AN18" s="81"/>
      <c r="AO18" s="184"/>
      <c r="AP18" s="184"/>
      <c r="AQ18" s="184"/>
      <c r="AR18" s="184"/>
      <c r="AS18" s="184"/>
      <c r="AT18" s="184"/>
      <c r="AU18" s="44"/>
      <c r="AV18" s="184"/>
      <c r="AW18" s="184"/>
      <c r="AX18" s="187"/>
      <c r="AY18" s="187"/>
      <c r="AZ18" s="184"/>
      <c r="BA18" s="184"/>
      <c r="BB18" s="184"/>
      <c r="BC18" s="184"/>
      <c r="BD18" s="111"/>
      <c r="BE18" s="8"/>
      <c r="BF18" s="111"/>
      <c r="BG18" s="111"/>
      <c r="BH18" s="8"/>
      <c r="BI18" s="8"/>
      <c r="BJ18" s="111"/>
      <c r="BK18" s="111"/>
      <c r="BL18" s="41"/>
      <c r="BM18" s="41"/>
      <c r="BN18" s="208"/>
      <c r="BO18" s="208"/>
      <c r="BP18" s="208"/>
      <c r="BQ18" s="208"/>
      <c r="BR18" s="208"/>
      <c r="BS18" s="208"/>
      <c r="BT18" s="208"/>
      <c r="BU18" s="208"/>
      <c r="BV18" s="208"/>
      <c r="BW18" s="208"/>
    </row>
    <row r="19" spans="1:75" s="185" customFormat="1" ht="93.75" customHeight="1" hidden="1">
      <c r="A19" s="8"/>
      <c r="B19" s="4"/>
      <c r="C19" s="4"/>
      <c r="D19" s="4"/>
      <c r="E19" s="4"/>
      <c r="F19" s="8"/>
      <c r="G19" s="8"/>
      <c r="H19" s="8"/>
      <c r="I19" s="26"/>
      <c r="J19" s="26"/>
      <c r="K19" s="26"/>
      <c r="L19" s="26"/>
      <c r="M19" s="26"/>
      <c r="N19" s="26"/>
      <c r="O19" s="5"/>
      <c r="P19" s="8"/>
      <c r="Q19" s="8"/>
      <c r="R19" s="8"/>
      <c r="S19" s="4" t="s">
        <v>1243</v>
      </c>
      <c r="T19" s="78">
        <v>79</v>
      </c>
      <c r="U19" s="78">
        <v>17</v>
      </c>
      <c r="V19" s="32">
        <v>0.02</v>
      </c>
      <c r="W19" s="78">
        <v>8</v>
      </c>
      <c r="X19" s="32">
        <f>V19*T19*W19*0.0036</f>
        <v>0.045504</v>
      </c>
      <c r="Y19" s="32">
        <f>V19*U19*W19*0.0036</f>
        <v>0.009792</v>
      </c>
      <c r="Z19" s="78">
        <v>25</v>
      </c>
      <c r="AA19" s="78">
        <v>12</v>
      </c>
      <c r="AB19" s="33">
        <f>X19*Z19*AA19</f>
        <v>13.651200000000003</v>
      </c>
      <c r="AC19" s="33">
        <f>Y19*Z19*AA19</f>
        <v>2.9376</v>
      </c>
      <c r="AD19" s="4"/>
      <c r="AE19" s="5"/>
      <c r="AF19" s="5"/>
      <c r="AG19" s="34"/>
      <c r="AH19" s="5"/>
      <c r="AI19" s="34"/>
      <c r="AJ19" s="34"/>
      <c r="AK19" s="5"/>
      <c r="AL19" s="5"/>
      <c r="AM19" s="29"/>
      <c r="AN19" s="81"/>
      <c r="AO19" s="184"/>
      <c r="AP19" s="184"/>
      <c r="AQ19" s="184"/>
      <c r="AR19" s="184"/>
      <c r="AS19" s="184"/>
      <c r="AT19" s="184"/>
      <c r="AU19" s="44"/>
      <c r="AV19" s="184"/>
      <c r="AW19" s="184"/>
      <c r="AX19" s="187"/>
      <c r="AY19" s="187"/>
      <c r="AZ19" s="184"/>
      <c r="BA19" s="184"/>
      <c r="BB19" s="184"/>
      <c r="BC19" s="184"/>
      <c r="BD19" s="111"/>
      <c r="BE19" s="8"/>
      <c r="BF19" s="111"/>
      <c r="BG19" s="111"/>
      <c r="BH19" s="8"/>
      <c r="BI19" s="8"/>
      <c r="BJ19" s="111"/>
      <c r="BK19" s="111"/>
      <c r="BL19" s="41"/>
      <c r="BM19" s="41"/>
      <c r="BN19" s="208"/>
      <c r="BO19" s="208"/>
      <c r="BP19" s="208"/>
      <c r="BQ19" s="208"/>
      <c r="BR19" s="208"/>
      <c r="BS19" s="208"/>
      <c r="BT19" s="208"/>
      <c r="BU19" s="208"/>
      <c r="BV19" s="208"/>
      <c r="BW19" s="208"/>
    </row>
    <row r="20" spans="1:75" ht="49.5" customHeight="1">
      <c r="A20" s="8">
        <v>125</v>
      </c>
      <c r="B20" s="4" t="s">
        <v>20</v>
      </c>
      <c r="C20" s="4" t="s">
        <v>19</v>
      </c>
      <c r="D20" s="4">
        <v>2</v>
      </c>
      <c r="E20" s="4" t="s">
        <v>211</v>
      </c>
      <c r="F20" s="8" t="s">
        <v>390</v>
      </c>
      <c r="G20" s="8" t="s">
        <v>473</v>
      </c>
      <c r="H20" s="8" t="s">
        <v>11</v>
      </c>
      <c r="I20" s="9" t="s">
        <v>67</v>
      </c>
      <c r="J20" s="9" t="s">
        <v>67</v>
      </c>
      <c r="K20" s="9" t="s">
        <v>67</v>
      </c>
      <c r="L20" s="9" t="s">
        <v>67</v>
      </c>
      <c r="M20" s="9" t="s">
        <v>67</v>
      </c>
      <c r="N20" s="9" t="s">
        <v>67</v>
      </c>
      <c r="O20" s="8" t="s">
        <v>51</v>
      </c>
      <c r="P20" s="8" t="s">
        <v>55</v>
      </c>
      <c r="Q20" s="8" t="s">
        <v>786</v>
      </c>
      <c r="R20" s="8" t="s">
        <v>932</v>
      </c>
      <c r="S20" s="4" t="s">
        <v>1184</v>
      </c>
      <c r="T20" s="158">
        <f>EstandarizaciónParam_InstiEduca!$F$25</f>
        <v>36.30770101925255</v>
      </c>
      <c r="U20" s="13">
        <f>(U21*V21+U22*V22)/(V21+V22)</f>
        <v>46.17825754680933</v>
      </c>
      <c r="V20" s="13">
        <f>AVERAGE(V21:V22)</f>
        <v>1.5702</v>
      </c>
      <c r="W20" s="8">
        <v>8</v>
      </c>
      <c r="X20" s="7">
        <f>T20*V20*W20*0.0036</f>
        <v>1.641898141644394</v>
      </c>
      <c r="Y20" s="7">
        <f>U20*V20*W20*0.0036</f>
        <v>2.0882620800000002</v>
      </c>
      <c r="Z20" s="8">
        <v>20</v>
      </c>
      <c r="AA20" s="8">
        <v>10</v>
      </c>
      <c r="AB20" s="13">
        <f>AVERAGE(AB21:AB22)</f>
        <v>878.7792384</v>
      </c>
      <c r="AC20" s="13">
        <f>AVERAGE(AC21:AC22)</f>
        <v>438.5350368</v>
      </c>
      <c r="AD20" s="4" t="s">
        <v>999</v>
      </c>
      <c r="AE20" s="158">
        <f>EstandarizaciónParam_InstiEduca!$I$25</f>
        <v>23</v>
      </c>
      <c r="AF20" s="13">
        <f>(AF21*AG21+AF22*AG22)/(AG21+AG22)</f>
        <v>46.17825754680933</v>
      </c>
      <c r="AG20" s="13">
        <f>AVERAGE(AG21:AG22)</f>
        <v>1.5702</v>
      </c>
      <c r="AH20" s="8">
        <v>8</v>
      </c>
      <c r="AI20" s="7">
        <f>AE20*AG20*AH20*0.0036</f>
        <v>1.04010048</v>
      </c>
      <c r="AJ20" s="7">
        <f>AF20*AG20*AH20*0.0036</f>
        <v>2.0882620800000002</v>
      </c>
      <c r="AK20" s="8">
        <v>20</v>
      </c>
      <c r="AL20" s="8">
        <v>10.5</v>
      </c>
      <c r="AM20" s="13">
        <f>AVERAGE(AM21:AM22)</f>
        <v>878.7792384</v>
      </c>
      <c r="AN20" s="80">
        <f>AVERAGE(AN21:AN22)</f>
        <v>438.5350368</v>
      </c>
      <c r="AO20" s="89"/>
      <c r="AP20" s="89"/>
      <c r="AQ20" s="89"/>
      <c r="AR20" s="31">
        <f>(T20*V20+AE20*AG20)/(V20+AG20)</f>
        <v>29.653850509626274</v>
      </c>
      <c r="AS20" s="31">
        <f>(U20*V20+AF20*AG20)/(V20+AG20)</f>
        <v>46.17825754680933</v>
      </c>
      <c r="AT20" s="111">
        <f>AVERAGE(V20,AG20)</f>
        <v>1.5702</v>
      </c>
      <c r="AU20" s="8">
        <v>8</v>
      </c>
      <c r="AV20" s="111">
        <f>AT20*AR20*AU20*0.0036</f>
        <v>1.3409993108221971</v>
      </c>
      <c r="AW20" s="111">
        <f>AT20*AS20*AU20*0.0036</f>
        <v>2.0882620800000002</v>
      </c>
      <c r="AX20" s="8">
        <v>20</v>
      </c>
      <c r="AY20" s="8">
        <v>10.5</v>
      </c>
      <c r="AZ20" s="7">
        <f>AV20*AX20*AY20</f>
        <v>281.60985527266143</v>
      </c>
      <c r="BA20" s="7">
        <f>AW20*AX20*AY20</f>
        <v>438.53503680000006</v>
      </c>
      <c r="BB20" s="5">
        <v>90</v>
      </c>
      <c r="BC20" s="5">
        <v>90</v>
      </c>
      <c r="BD20" s="111">
        <f t="shared" si="8"/>
        <v>1.5702</v>
      </c>
      <c r="BE20" s="8">
        <f t="shared" si="9"/>
        <v>8</v>
      </c>
      <c r="BF20" s="111">
        <f t="shared" si="10"/>
        <v>4.0699584</v>
      </c>
      <c r="BG20" s="111">
        <f t="shared" si="11"/>
        <v>4.0699584</v>
      </c>
      <c r="BH20" s="8">
        <f t="shared" si="12"/>
        <v>20</v>
      </c>
      <c r="BI20" s="8">
        <f t="shared" si="13"/>
        <v>10.5</v>
      </c>
      <c r="BJ20" s="111">
        <f t="shared" si="14"/>
        <v>854.691264</v>
      </c>
      <c r="BK20" s="111">
        <f t="shared" si="15"/>
        <v>854.691264</v>
      </c>
      <c r="BL20" s="41">
        <f t="shared" si="16"/>
        <v>568.1505596363307</v>
      </c>
      <c r="BM20" s="41">
        <f t="shared" si="17"/>
        <v>646.6131504</v>
      </c>
      <c r="BN20" s="208">
        <f>ROUNDUP(BJ20,-1)</f>
        <v>860</v>
      </c>
      <c r="BO20" s="208">
        <f>ROUNDUP(BK20,-1)</f>
        <v>860</v>
      </c>
      <c r="BP20" s="208">
        <f>ROUNDUP(BL20,-1)</f>
        <v>570</v>
      </c>
      <c r="BQ20" s="208">
        <f>ROUNDUP(BM20,-1)</f>
        <v>650</v>
      </c>
      <c r="BR20" s="208">
        <f aca="true" t="shared" si="36" ref="BR20:BW20">BP20</f>
        <v>570</v>
      </c>
      <c r="BS20" s="208">
        <f t="shared" si="36"/>
        <v>650</v>
      </c>
      <c r="BT20" s="208">
        <f t="shared" si="36"/>
        <v>570</v>
      </c>
      <c r="BU20" s="208">
        <f t="shared" si="36"/>
        <v>650</v>
      </c>
      <c r="BV20" s="208">
        <f t="shared" si="36"/>
        <v>570</v>
      </c>
      <c r="BW20" s="208">
        <f t="shared" si="36"/>
        <v>650</v>
      </c>
    </row>
    <row r="21" spans="1:75" ht="49.5" customHeight="1" hidden="1">
      <c r="A21" s="8"/>
      <c r="B21" s="4"/>
      <c r="C21" s="4"/>
      <c r="D21" s="4"/>
      <c r="E21" s="4"/>
      <c r="F21" s="8"/>
      <c r="G21" s="8"/>
      <c r="H21" s="8"/>
      <c r="I21" s="9"/>
      <c r="J21" s="9"/>
      <c r="K21" s="9"/>
      <c r="L21" s="9"/>
      <c r="M21" s="9"/>
      <c r="N21" s="9"/>
      <c r="O21" s="8"/>
      <c r="P21" s="8"/>
      <c r="Q21" s="8"/>
      <c r="R21" s="8"/>
      <c r="S21" s="4" t="s">
        <v>1244</v>
      </c>
      <c r="T21" s="8">
        <v>104</v>
      </c>
      <c r="U21" s="8">
        <v>58</v>
      </c>
      <c r="V21" s="7">
        <f>(2.4+1.64+0.18+5.85+0.007)/5</f>
        <v>2.0154</v>
      </c>
      <c r="W21" s="8">
        <v>8</v>
      </c>
      <c r="X21" s="32">
        <f>V21*T21*W21*0.0036</f>
        <v>6.036526080000001</v>
      </c>
      <c r="Y21" s="32">
        <f>V21*U21*W21*0.0036</f>
        <v>3.36652416</v>
      </c>
      <c r="Z21" s="8">
        <v>20</v>
      </c>
      <c r="AA21" s="8">
        <v>10.5</v>
      </c>
      <c r="AB21" s="33">
        <f>X21*Z21*AA21</f>
        <v>1267.6704768000002</v>
      </c>
      <c r="AC21" s="33">
        <f>Y21*Z21*AA21</f>
        <v>706.9700736</v>
      </c>
      <c r="AD21" s="4" t="s">
        <v>688</v>
      </c>
      <c r="AE21" s="8">
        <v>104</v>
      </c>
      <c r="AF21" s="8">
        <v>58</v>
      </c>
      <c r="AG21" s="7">
        <f>(2.4+1.64+0.18+5.85+0.007)/5</f>
        <v>2.0154</v>
      </c>
      <c r="AH21" s="8">
        <v>8</v>
      </c>
      <c r="AI21" s="32">
        <f aca="true" t="shared" si="37" ref="AI21:AI26">AG21*AE21*AH21*0.0036</f>
        <v>6.036526080000001</v>
      </c>
      <c r="AJ21" s="32">
        <f aca="true" t="shared" si="38" ref="AJ21:AJ26">AG21*AF21*AH21*0.0036</f>
        <v>3.36652416</v>
      </c>
      <c r="AK21" s="8">
        <v>20</v>
      </c>
      <c r="AL21" s="8">
        <v>10.5</v>
      </c>
      <c r="AM21" s="33">
        <f>AI21*AK21*AL21</f>
        <v>1267.6704768000002</v>
      </c>
      <c r="AN21" s="87">
        <f>AJ21*AK21*AL21</f>
        <v>706.9700736</v>
      </c>
      <c r="AO21" s="89"/>
      <c r="AP21" s="89"/>
      <c r="AQ21" s="89"/>
      <c r="AR21" s="89"/>
      <c r="AS21" s="89"/>
      <c r="AT21" s="89"/>
      <c r="AU21" s="8"/>
      <c r="AV21" s="89"/>
      <c r="AW21" s="89"/>
      <c r="AX21" s="8"/>
      <c r="AY21" s="8"/>
      <c r="AZ21" s="89"/>
      <c r="BA21" s="89"/>
      <c r="BB21" s="89"/>
      <c r="BC21" s="89"/>
      <c r="BD21" s="111"/>
      <c r="BE21" s="8"/>
      <c r="BF21" s="111"/>
      <c r="BG21" s="111"/>
      <c r="BH21" s="8"/>
      <c r="BI21" s="8"/>
      <c r="BJ21" s="111"/>
      <c r="BK21" s="111"/>
      <c r="BL21" s="41"/>
      <c r="BM21" s="41"/>
      <c r="BN21" s="208"/>
      <c r="BO21" s="208"/>
      <c r="BP21" s="208"/>
      <c r="BQ21" s="208"/>
      <c r="BR21" s="208"/>
      <c r="BS21" s="208"/>
      <c r="BT21" s="208"/>
      <c r="BU21" s="208"/>
      <c r="BV21" s="208"/>
      <c r="BW21" s="208"/>
    </row>
    <row r="22" spans="1:75" ht="49.5" customHeight="1" hidden="1">
      <c r="A22" s="8"/>
      <c r="B22" s="4"/>
      <c r="C22" s="4"/>
      <c r="D22" s="4"/>
      <c r="E22" s="4"/>
      <c r="F22" s="8"/>
      <c r="G22" s="8"/>
      <c r="H22" s="8"/>
      <c r="I22" s="9"/>
      <c r="J22" s="9"/>
      <c r="K22" s="9"/>
      <c r="L22" s="9"/>
      <c r="M22" s="9"/>
      <c r="N22" s="9"/>
      <c r="O22" s="8"/>
      <c r="P22" s="8"/>
      <c r="Q22" s="8"/>
      <c r="R22" s="8"/>
      <c r="S22" s="4" t="s">
        <v>1245</v>
      </c>
      <c r="T22" s="8">
        <v>72</v>
      </c>
      <c r="U22" s="8">
        <v>25</v>
      </c>
      <c r="V22" s="7">
        <v>1.125</v>
      </c>
      <c r="W22" s="8">
        <v>8</v>
      </c>
      <c r="X22" s="32">
        <f>V22*T22*W22*0.0036</f>
        <v>2.3327999999999998</v>
      </c>
      <c r="Y22" s="32">
        <f>V22*U22*W22*0.0036</f>
        <v>0.8099999999999999</v>
      </c>
      <c r="Z22" s="8">
        <v>20</v>
      </c>
      <c r="AA22" s="8">
        <v>10.5</v>
      </c>
      <c r="AB22" s="33">
        <f>X22*Z22*AA22</f>
        <v>489.8879999999999</v>
      </c>
      <c r="AC22" s="33">
        <f>Y22*Z22*AA22</f>
        <v>170.1</v>
      </c>
      <c r="AD22" s="4" t="s">
        <v>689</v>
      </c>
      <c r="AE22" s="8">
        <v>72</v>
      </c>
      <c r="AF22" s="8">
        <v>25</v>
      </c>
      <c r="AG22" s="7">
        <v>1.125</v>
      </c>
      <c r="AH22" s="8">
        <v>8</v>
      </c>
      <c r="AI22" s="7">
        <f t="shared" si="37"/>
        <v>2.3327999999999998</v>
      </c>
      <c r="AJ22" s="7">
        <f t="shared" si="38"/>
        <v>0.8099999999999999</v>
      </c>
      <c r="AK22" s="8">
        <v>20</v>
      </c>
      <c r="AL22" s="8">
        <v>10.5</v>
      </c>
      <c r="AM22" s="13">
        <f>AI22*AK22*AL22</f>
        <v>489.8879999999999</v>
      </c>
      <c r="AN22" s="80">
        <f>AJ22*AK22*AL22</f>
        <v>170.1</v>
      </c>
      <c r="AO22" s="89"/>
      <c r="AP22" s="89"/>
      <c r="AQ22" s="89"/>
      <c r="AR22" s="31"/>
      <c r="AS22" s="31"/>
      <c r="AT22" s="111"/>
      <c r="AU22" s="8"/>
      <c r="AV22" s="111"/>
      <c r="AW22" s="111"/>
      <c r="AX22" s="8"/>
      <c r="AY22" s="8"/>
      <c r="AZ22" s="7"/>
      <c r="BA22" s="7"/>
      <c r="BB22" s="5"/>
      <c r="BC22" s="5"/>
      <c r="BD22" s="111"/>
      <c r="BE22" s="8"/>
      <c r="BF22" s="111"/>
      <c r="BG22" s="111"/>
      <c r="BH22" s="8"/>
      <c r="BI22" s="8"/>
      <c r="BJ22" s="111"/>
      <c r="BK22" s="111"/>
      <c r="BL22" s="41"/>
      <c r="BM22" s="41"/>
      <c r="BN22" s="208"/>
      <c r="BO22" s="208"/>
      <c r="BP22" s="208"/>
      <c r="BQ22" s="208"/>
      <c r="BR22" s="208"/>
      <c r="BS22" s="208"/>
      <c r="BT22" s="208"/>
      <c r="BU22" s="208"/>
      <c r="BV22" s="208"/>
      <c r="BW22" s="208"/>
    </row>
    <row r="23" spans="1:75" s="63" customFormat="1" ht="97.5" customHeight="1">
      <c r="A23" s="8">
        <v>126</v>
      </c>
      <c r="B23" s="75" t="s">
        <v>578</v>
      </c>
      <c r="C23" s="75" t="s">
        <v>579</v>
      </c>
      <c r="D23" s="75">
        <v>2</v>
      </c>
      <c r="E23" s="74" t="s">
        <v>580</v>
      </c>
      <c r="F23" s="74" t="s">
        <v>581</v>
      </c>
      <c r="G23" s="75" t="s">
        <v>633</v>
      </c>
      <c r="H23" s="75" t="s">
        <v>11</v>
      </c>
      <c r="I23" s="26" t="s">
        <v>67</v>
      </c>
      <c r="J23" s="26" t="s">
        <v>67</v>
      </c>
      <c r="K23" s="26" t="s">
        <v>67</v>
      </c>
      <c r="L23" s="26" t="s">
        <v>67</v>
      </c>
      <c r="M23" s="26" t="s">
        <v>67</v>
      </c>
      <c r="N23" s="26" t="s">
        <v>67</v>
      </c>
      <c r="O23" s="8" t="s">
        <v>51</v>
      </c>
      <c r="P23" s="8" t="s">
        <v>55</v>
      </c>
      <c r="Q23" s="8" t="s">
        <v>787</v>
      </c>
      <c r="R23" s="8" t="s">
        <v>933</v>
      </c>
      <c r="S23" s="4"/>
      <c r="T23" s="8">
        <v>23</v>
      </c>
      <c r="U23" s="44">
        <v>17</v>
      </c>
      <c r="V23" s="8">
        <v>0.004</v>
      </c>
      <c r="W23" s="44">
        <v>8</v>
      </c>
      <c r="X23" s="41"/>
      <c r="Y23" s="41"/>
      <c r="Z23" s="71"/>
      <c r="AA23" s="71"/>
      <c r="AB23" s="51"/>
      <c r="AC23" s="51"/>
      <c r="AD23" s="4" t="s">
        <v>1119</v>
      </c>
      <c r="AE23" s="8">
        <v>23</v>
      </c>
      <c r="AF23" s="44">
        <v>17</v>
      </c>
      <c r="AG23" s="8">
        <v>0.004</v>
      </c>
      <c r="AH23" s="44">
        <v>8</v>
      </c>
      <c r="AI23" s="41">
        <f t="shared" si="37"/>
        <v>0.0026496</v>
      </c>
      <c r="AJ23" s="41">
        <f t="shared" si="38"/>
        <v>0.0019584</v>
      </c>
      <c r="AK23" s="71">
        <v>22</v>
      </c>
      <c r="AL23" s="71">
        <v>10</v>
      </c>
      <c r="AM23" s="51">
        <f aca="true" t="shared" si="39" ref="AM23:AM38">AI23*AK23*AL23</f>
        <v>0.582912</v>
      </c>
      <c r="AN23" s="86">
        <f aca="true" t="shared" si="40" ref="AN23:AN38">AJ23*AK23*AL23</f>
        <v>0.430848</v>
      </c>
      <c r="AO23" s="39"/>
      <c r="AP23" s="39"/>
      <c r="AQ23" s="39"/>
      <c r="AR23" s="31">
        <f aca="true" t="shared" si="41" ref="AR23:AR31">(T23*V23+AE23*AG23)/(V23+AG23)</f>
        <v>23</v>
      </c>
      <c r="AS23" s="31">
        <f aca="true" t="shared" si="42" ref="AS23:AS31">(U23*V23+AF23*AG23)/(V23+AG23)</f>
        <v>17</v>
      </c>
      <c r="AT23" s="111">
        <f aca="true" t="shared" si="43" ref="AT23:AT31">AVERAGE(V23,AG23)</f>
        <v>0.004</v>
      </c>
      <c r="AU23" s="44">
        <v>8</v>
      </c>
      <c r="AV23" s="111">
        <f aca="true" t="shared" si="44" ref="AV23:AV31">AT23*AR23*AU23*0.0036</f>
        <v>0.0026496</v>
      </c>
      <c r="AW23" s="111">
        <f aca="true" t="shared" si="45" ref="AW23:AW31">AT23*AS23*AU23*0.0036</f>
        <v>0.0019584</v>
      </c>
      <c r="AX23" s="187">
        <v>22</v>
      </c>
      <c r="AY23" s="187">
        <v>10</v>
      </c>
      <c r="AZ23" s="7">
        <f aca="true" t="shared" si="46" ref="AZ23:AZ31">AV23*AX23*AY23</f>
        <v>0.582912</v>
      </c>
      <c r="BA23" s="7">
        <f aca="true" t="shared" si="47" ref="BA23:BA31">AW23*AX23*AY23</f>
        <v>0.430848</v>
      </c>
      <c r="BB23" s="5">
        <v>90</v>
      </c>
      <c r="BC23" s="5">
        <v>90</v>
      </c>
      <c r="BD23" s="111">
        <f t="shared" si="8"/>
        <v>0.004</v>
      </c>
      <c r="BE23" s="8">
        <f t="shared" si="9"/>
        <v>8</v>
      </c>
      <c r="BF23" s="111">
        <f t="shared" si="10"/>
        <v>0.010367999999999999</v>
      </c>
      <c r="BG23" s="111">
        <f t="shared" si="11"/>
        <v>0.010367999999999999</v>
      </c>
      <c r="BH23" s="8">
        <f t="shared" si="12"/>
        <v>22</v>
      </c>
      <c r="BI23" s="8">
        <f t="shared" si="13"/>
        <v>10</v>
      </c>
      <c r="BJ23" s="111">
        <f t="shared" si="14"/>
        <v>2.2809599999999994</v>
      </c>
      <c r="BK23" s="111">
        <f t="shared" si="15"/>
        <v>2.2809599999999994</v>
      </c>
      <c r="BL23" s="41">
        <f t="shared" si="16"/>
        <v>1.4319359999999997</v>
      </c>
      <c r="BM23" s="41">
        <f t="shared" si="17"/>
        <v>1.3559039999999998</v>
      </c>
      <c r="BN23" s="208">
        <f>ROUNDUP(BJ23,-1)</f>
        <v>10</v>
      </c>
      <c r="BO23" s="208">
        <f>ROUNDUP(BK23,-1)</f>
        <v>10</v>
      </c>
      <c r="BP23" s="208">
        <f>ROUNDUP(BL23,-1)</f>
        <v>10</v>
      </c>
      <c r="BQ23" s="208">
        <f>ROUNDUP(BM23,-1)</f>
        <v>10</v>
      </c>
      <c r="BR23" s="208">
        <f>BP23</f>
        <v>10</v>
      </c>
      <c r="BS23" s="208">
        <f>BQ23</f>
        <v>10</v>
      </c>
      <c r="BT23" s="208">
        <f aca="true" t="shared" si="48" ref="BT23:BT38">BR23</f>
        <v>10</v>
      </c>
      <c r="BU23" s="208">
        <f aca="true" t="shared" si="49" ref="BU23:BU38">BS23</f>
        <v>10</v>
      </c>
      <c r="BV23" s="208">
        <f aca="true" t="shared" si="50" ref="BV23:BV38">BT23</f>
        <v>10</v>
      </c>
      <c r="BW23" s="208">
        <f aca="true" t="shared" si="51" ref="BW23:BW38">BU23</f>
        <v>10</v>
      </c>
    </row>
    <row r="24" spans="1:75" s="21" customFormat="1" ht="97.5" customHeight="1">
      <c r="A24" s="8">
        <v>127</v>
      </c>
      <c r="B24" s="4" t="s">
        <v>50</v>
      </c>
      <c r="C24" s="4" t="s">
        <v>19</v>
      </c>
      <c r="D24" s="4">
        <v>2</v>
      </c>
      <c r="E24" s="74" t="s">
        <v>587</v>
      </c>
      <c r="F24" s="74" t="s">
        <v>588</v>
      </c>
      <c r="G24" s="48" t="s">
        <v>637</v>
      </c>
      <c r="H24" s="75" t="s">
        <v>227</v>
      </c>
      <c r="I24" s="75" t="s">
        <v>638</v>
      </c>
      <c r="J24" s="77">
        <v>44410</v>
      </c>
      <c r="K24" s="75" t="s">
        <v>10</v>
      </c>
      <c r="L24" s="75" t="s">
        <v>10</v>
      </c>
      <c r="M24" s="75" t="s">
        <v>74</v>
      </c>
      <c r="N24" s="75">
        <v>2026</v>
      </c>
      <c r="O24" s="8" t="s">
        <v>51</v>
      </c>
      <c r="P24" s="8" t="s">
        <v>55</v>
      </c>
      <c r="Q24" s="8" t="s">
        <v>788</v>
      </c>
      <c r="R24" s="8" t="s">
        <v>934</v>
      </c>
      <c r="S24" s="4"/>
      <c r="T24" s="158">
        <f>EstandarizaciónParam_InstiEduca!$F$25</f>
        <v>36.30770101925255</v>
      </c>
      <c r="U24" s="158">
        <f>EstandarizaciónParam_InstiEduca!$F$44</f>
        <v>31.716874292185732</v>
      </c>
      <c r="V24" s="112">
        <f>EstandarizaciónParam_InstiEduca!$F$4</f>
        <v>0.28796969696969693</v>
      </c>
      <c r="W24" s="44">
        <v>8</v>
      </c>
      <c r="X24" s="7"/>
      <c r="Y24" s="7"/>
      <c r="Z24" s="71"/>
      <c r="AA24" s="71"/>
      <c r="AB24" s="51"/>
      <c r="AC24" s="51"/>
      <c r="AD24" s="4" t="s">
        <v>1120</v>
      </c>
      <c r="AE24" s="8">
        <v>7</v>
      </c>
      <c r="AF24" s="44">
        <v>5</v>
      </c>
      <c r="AG24" s="8">
        <v>0.021</v>
      </c>
      <c r="AH24" s="44">
        <v>8</v>
      </c>
      <c r="AI24" s="7">
        <f t="shared" si="37"/>
        <v>0.0042336000000000006</v>
      </c>
      <c r="AJ24" s="7">
        <f t="shared" si="38"/>
        <v>0.003024</v>
      </c>
      <c r="AK24" s="71">
        <v>30</v>
      </c>
      <c r="AL24" s="71">
        <v>10</v>
      </c>
      <c r="AM24" s="51">
        <f t="shared" si="39"/>
        <v>1.27008</v>
      </c>
      <c r="AN24" s="86">
        <f t="shared" si="40"/>
        <v>0.9072000000000001</v>
      </c>
      <c r="AO24" s="191" t="s">
        <v>1276</v>
      </c>
      <c r="AP24" s="191">
        <v>90</v>
      </c>
      <c r="AQ24" s="191">
        <v>90</v>
      </c>
      <c r="AR24" s="31">
        <f t="shared" si="41"/>
        <v>34.31572016339319</v>
      </c>
      <c r="AS24" s="31">
        <f t="shared" si="42"/>
        <v>29.90098630822293</v>
      </c>
      <c r="AT24" s="111">
        <f t="shared" si="43"/>
        <v>0.15448484848484847</v>
      </c>
      <c r="AU24" s="44">
        <v>8</v>
      </c>
      <c r="AV24" s="111">
        <f t="shared" si="44"/>
        <v>0.1526762543065994</v>
      </c>
      <c r="AW24" s="111">
        <f t="shared" si="45"/>
        <v>0.13303438097395243</v>
      </c>
      <c r="AX24" s="187">
        <v>30</v>
      </c>
      <c r="AY24" s="187">
        <v>10</v>
      </c>
      <c r="AZ24" s="7">
        <f t="shared" si="46"/>
        <v>45.80287629197982</v>
      </c>
      <c r="BA24" s="7">
        <f t="shared" si="47"/>
        <v>39.910314292185724</v>
      </c>
      <c r="BB24" s="5">
        <v>90</v>
      </c>
      <c r="BC24" s="5">
        <v>90</v>
      </c>
      <c r="BD24" s="111">
        <f t="shared" si="8"/>
        <v>0.15448484848484847</v>
      </c>
      <c r="BE24" s="8">
        <f t="shared" si="9"/>
        <v>8</v>
      </c>
      <c r="BF24" s="111">
        <f t="shared" si="10"/>
        <v>0.4004247272727272</v>
      </c>
      <c r="BG24" s="111">
        <f t="shared" si="11"/>
        <v>0.4004247272727272</v>
      </c>
      <c r="BH24" s="8">
        <f t="shared" si="12"/>
        <v>30</v>
      </c>
      <c r="BI24" s="8">
        <f t="shared" si="13"/>
        <v>10</v>
      </c>
      <c r="BJ24" s="111">
        <f t="shared" si="14"/>
        <v>120.12741818181816</v>
      </c>
      <c r="BK24" s="111">
        <f t="shared" si="15"/>
        <v>120.12741818181816</v>
      </c>
      <c r="BL24" s="41">
        <f t="shared" si="16"/>
        <v>82.96514723689899</v>
      </c>
      <c r="BM24" s="41">
        <f t="shared" si="17"/>
        <v>80.01886623700194</v>
      </c>
      <c r="BN24" s="208">
        <f aca="true" t="shared" si="52" ref="BN24:BN38">ROUNDUP(BJ24,-1)</f>
        <v>130</v>
      </c>
      <c r="BO24" s="208">
        <f aca="true" t="shared" si="53" ref="BO24:BO38">ROUNDUP(BK24,-1)</f>
        <v>130</v>
      </c>
      <c r="BP24" s="208">
        <f aca="true" t="shared" si="54" ref="BP24:BP38">ROUNDUP(BL24,-1)</f>
        <v>90</v>
      </c>
      <c r="BQ24" s="208">
        <f aca="true" t="shared" si="55" ref="BQ24:BQ38">ROUNDUP(BM24,-1)</f>
        <v>90</v>
      </c>
      <c r="BR24" s="208">
        <f aca="true" t="shared" si="56" ref="BR24:BR38">BP24</f>
        <v>90</v>
      </c>
      <c r="BS24" s="208">
        <f aca="true" t="shared" si="57" ref="BS24:BS38">BQ24</f>
        <v>90</v>
      </c>
      <c r="BT24" s="208">
        <f t="shared" si="48"/>
        <v>90</v>
      </c>
      <c r="BU24" s="208">
        <f t="shared" si="49"/>
        <v>90</v>
      </c>
      <c r="BV24" s="208">
        <f t="shared" si="50"/>
        <v>90</v>
      </c>
      <c r="BW24" s="208">
        <f t="shared" si="51"/>
        <v>90</v>
      </c>
    </row>
    <row r="25" spans="1:75" s="21" customFormat="1" ht="97.5" customHeight="1">
      <c r="A25" s="8">
        <v>128</v>
      </c>
      <c r="B25" s="4" t="s">
        <v>50</v>
      </c>
      <c r="C25" s="4" t="s">
        <v>19</v>
      </c>
      <c r="D25" s="4">
        <v>2</v>
      </c>
      <c r="E25" s="74" t="s">
        <v>592</v>
      </c>
      <c r="F25" s="74" t="s">
        <v>593</v>
      </c>
      <c r="G25" s="11" t="s">
        <v>643</v>
      </c>
      <c r="H25" s="75" t="s">
        <v>11</v>
      </c>
      <c r="I25" s="26" t="s">
        <v>67</v>
      </c>
      <c r="J25" s="26" t="s">
        <v>67</v>
      </c>
      <c r="K25" s="26" t="s">
        <v>67</v>
      </c>
      <c r="L25" s="26" t="s">
        <v>67</v>
      </c>
      <c r="M25" s="26" t="s">
        <v>67</v>
      </c>
      <c r="N25" s="26" t="s">
        <v>67</v>
      </c>
      <c r="O25" s="8" t="s">
        <v>51</v>
      </c>
      <c r="P25" s="8" t="s">
        <v>55</v>
      </c>
      <c r="Q25" s="8" t="s">
        <v>789</v>
      </c>
      <c r="R25" s="8" t="s">
        <v>935</v>
      </c>
      <c r="S25" s="4"/>
      <c r="T25" s="158">
        <f>EstandarizaciónParam_InstiEduca!$F$25</f>
        <v>36.30770101925255</v>
      </c>
      <c r="U25" s="158">
        <f>EstandarizaciónParam_InstiEduca!$F$44</f>
        <v>31.716874292185732</v>
      </c>
      <c r="V25" s="112">
        <f>EstandarizaciónParam_InstiEduca!$F$4</f>
        <v>0.28796969696969693</v>
      </c>
      <c r="W25" s="44">
        <v>8</v>
      </c>
      <c r="X25" s="7"/>
      <c r="Y25" s="7"/>
      <c r="Z25" s="71"/>
      <c r="AA25" s="71"/>
      <c r="AB25" s="51"/>
      <c r="AC25" s="51"/>
      <c r="AD25" s="4" t="s">
        <v>1121</v>
      </c>
      <c r="AE25" s="8">
        <v>45</v>
      </c>
      <c r="AF25" s="44">
        <v>32</v>
      </c>
      <c r="AG25" s="8">
        <v>0.047</v>
      </c>
      <c r="AH25" s="44">
        <v>8</v>
      </c>
      <c r="AI25" s="7">
        <f t="shared" si="37"/>
        <v>0.06091200000000001</v>
      </c>
      <c r="AJ25" s="7">
        <f t="shared" si="38"/>
        <v>0.0433152</v>
      </c>
      <c r="AK25" s="71">
        <v>30</v>
      </c>
      <c r="AL25" s="71">
        <v>10</v>
      </c>
      <c r="AM25" s="51">
        <f t="shared" si="39"/>
        <v>18.273600000000002</v>
      </c>
      <c r="AN25" s="86">
        <f t="shared" si="40"/>
        <v>12.99456</v>
      </c>
      <c r="AO25" s="19"/>
      <c r="AP25" s="19"/>
      <c r="AQ25" s="19"/>
      <c r="AR25" s="31">
        <f t="shared" si="41"/>
        <v>37.52732791622553</v>
      </c>
      <c r="AS25" s="31">
        <f t="shared" si="42"/>
        <v>31.756599999877057</v>
      </c>
      <c r="AT25" s="111">
        <f t="shared" si="43"/>
        <v>0.16748484848484846</v>
      </c>
      <c r="AU25" s="44">
        <v>8</v>
      </c>
      <c r="AV25" s="111">
        <f t="shared" si="44"/>
        <v>0.18101545430659938</v>
      </c>
      <c r="AW25" s="111">
        <f t="shared" si="45"/>
        <v>0.1531799809739524</v>
      </c>
      <c r="AX25" s="187">
        <v>30</v>
      </c>
      <c r="AY25" s="187">
        <v>10</v>
      </c>
      <c r="AZ25" s="7">
        <f t="shared" si="46"/>
        <v>54.30463629197981</v>
      </c>
      <c r="BA25" s="7">
        <f t="shared" si="47"/>
        <v>45.953994292185726</v>
      </c>
      <c r="BB25" s="5">
        <v>90</v>
      </c>
      <c r="BC25" s="5">
        <v>90</v>
      </c>
      <c r="BD25" s="111">
        <f t="shared" si="8"/>
        <v>0.16748484848484846</v>
      </c>
      <c r="BE25" s="8">
        <f t="shared" si="9"/>
        <v>8</v>
      </c>
      <c r="BF25" s="111">
        <f t="shared" si="10"/>
        <v>0.43412072727272716</v>
      </c>
      <c r="BG25" s="111">
        <f t="shared" si="11"/>
        <v>0.43412072727272716</v>
      </c>
      <c r="BH25" s="8">
        <f t="shared" si="12"/>
        <v>30</v>
      </c>
      <c r="BI25" s="8">
        <f t="shared" si="13"/>
        <v>10</v>
      </c>
      <c r="BJ25" s="111">
        <f t="shared" si="14"/>
        <v>130.23621818181815</v>
      </c>
      <c r="BK25" s="111">
        <f t="shared" si="15"/>
        <v>130.23621818181815</v>
      </c>
      <c r="BL25" s="41">
        <f t="shared" si="16"/>
        <v>92.27042723689898</v>
      </c>
      <c r="BM25" s="41">
        <f t="shared" si="17"/>
        <v>88.09510623700194</v>
      </c>
      <c r="BN25" s="208">
        <f t="shared" si="52"/>
        <v>140</v>
      </c>
      <c r="BO25" s="208">
        <f t="shared" si="53"/>
        <v>140</v>
      </c>
      <c r="BP25" s="208">
        <f t="shared" si="54"/>
        <v>100</v>
      </c>
      <c r="BQ25" s="208">
        <f t="shared" si="55"/>
        <v>90</v>
      </c>
      <c r="BR25" s="208">
        <f t="shared" si="56"/>
        <v>100</v>
      </c>
      <c r="BS25" s="208">
        <f t="shared" si="57"/>
        <v>90</v>
      </c>
      <c r="BT25" s="208">
        <f t="shared" si="48"/>
        <v>100</v>
      </c>
      <c r="BU25" s="208">
        <f t="shared" si="49"/>
        <v>90</v>
      </c>
      <c r="BV25" s="208">
        <f t="shared" si="50"/>
        <v>100</v>
      </c>
      <c r="BW25" s="208">
        <f t="shared" si="51"/>
        <v>90</v>
      </c>
    </row>
    <row r="26" spans="1:75" ht="49.5" customHeight="1">
      <c r="A26" s="8">
        <v>129</v>
      </c>
      <c r="B26" s="4" t="s">
        <v>20</v>
      </c>
      <c r="C26" s="4" t="s">
        <v>19</v>
      </c>
      <c r="D26" s="4">
        <v>2</v>
      </c>
      <c r="E26" s="4" t="s">
        <v>214</v>
      </c>
      <c r="F26" s="8" t="s">
        <v>220</v>
      </c>
      <c r="G26" s="8" t="s">
        <v>215</v>
      </c>
      <c r="H26" s="8" t="s">
        <v>11</v>
      </c>
      <c r="I26" s="9" t="s">
        <v>67</v>
      </c>
      <c r="J26" s="9" t="s">
        <v>67</v>
      </c>
      <c r="K26" s="9" t="s">
        <v>67</v>
      </c>
      <c r="L26" s="9" t="s">
        <v>67</v>
      </c>
      <c r="M26" s="9" t="s">
        <v>67</v>
      </c>
      <c r="N26" s="9" t="s">
        <v>67</v>
      </c>
      <c r="O26" s="8" t="s">
        <v>51</v>
      </c>
      <c r="P26" s="8" t="s">
        <v>55</v>
      </c>
      <c r="Q26" s="8" t="s">
        <v>790</v>
      </c>
      <c r="R26" s="8" t="s">
        <v>936</v>
      </c>
      <c r="S26" s="4" t="s">
        <v>1246</v>
      </c>
      <c r="T26" s="8">
        <v>24.4</v>
      </c>
      <c r="U26" s="8">
        <v>19.33</v>
      </c>
      <c r="V26" s="8">
        <f>(0.53+0.51+0+0+0)/5</f>
        <v>0.20800000000000002</v>
      </c>
      <c r="W26" s="8">
        <v>8</v>
      </c>
      <c r="X26" s="7">
        <f>V26*T26*W26*0.0036</f>
        <v>0.14616575999999998</v>
      </c>
      <c r="Y26" s="7">
        <f>V26*U26*W26*0.0036</f>
        <v>0.115794432</v>
      </c>
      <c r="Z26" s="8">
        <v>22</v>
      </c>
      <c r="AA26" s="8">
        <v>10</v>
      </c>
      <c r="AB26" s="13">
        <f aca="true" t="shared" si="58" ref="AB26:AB38">X26*Z26*AA26</f>
        <v>32.156467199999994</v>
      </c>
      <c r="AC26" s="13">
        <f aca="true" t="shared" si="59" ref="AC26:AC38">Y26*Z26*AA26</f>
        <v>25.47477504</v>
      </c>
      <c r="AD26" s="4" t="s">
        <v>1000</v>
      </c>
      <c r="AE26" s="8">
        <v>24.4</v>
      </c>
      <c r="AF26" s="8">
        <v>19.33</v>
      </c>
      <c r="AG26" s="8">
        <f>(0.53+0.51+0+0+0)/5</f>
        <v>0.20800000000000002</v>
      </c>
      <c r="AH26" s="8">
        <v>8</v>
      </c>
      <c r="AI26" s="7">
        <f t="shared" si="37"/>
        <v>0.14616575999999998</v>
      </c>
      <c r="AJ26" s="7">
        <f t="shared" si="38"/>
        <v>0.115794432</v>
      </c>
      <c r="AK26" s="8">
        <v>22</v>
      </c>
      <c r="AL26" s="8">
        <v>10</v>
      </c>
      <c r="AM26" s="13">
        <f t="shared" si="39"/>
        <v>32.156467199999994</v>
      </c>
      <c r="AN26" s="80">
        <f t="shared" si="40"/>
        <v>25.47477504</v>
      </c>
      <c r="AO26" s="89"/>
      <c r="AP26" s="89"/>
      <c r="AQ26" s="89"/>
      <c r="AR26" s="31">
        <f t="shared" si="41"/>
        <v>24.399999999999995</v>
      </c>
      <c r="AS26" s="31">
        <f t="shared" si="42"/>
        <v>19.33</v>
      </c>
      <c r="AT26" s="111">
        <f t="shared" si="43"/>
        <v>0.20800000000000002</v>
      </c>
      <c r="AU26" s="8">
        <v>8</v>
      </c>
      <c r="AV26" s="111">
        <f t="shared" si="44"/>
        <v>0.14616575999999998</v>
      </c>
      <c r="AW26" s="111">
        <f t="shared" si="45"/>
        <v>0.115794432</v>
      </c>
      <c r="AX26" s="8">
        <v>22</v>
      </c>
      <c r="AY26" s="8">
        <v>10</v>
      </c>
      <c r="AZ26" s="7">
        <f t="shared" si="46"/>
        <v>32.156467199999994</v>
      </c>
      <c r="BA26" s="7">
        <f t="shared" si="47"/>
        <v>25.47477504</v>
      </c>
      <c r="BB26" s="188">
        <v>80</v>
      </c>
      <c r="BC26" s="188">
        <v>50</v>
      </c>
      <c r="BD26" s="111">
        <f t="shared" si="8"/>
        <v>0.20800000000000002</v>
      </c>
      <c r="BE26" s="8">
        <f t="shared" si="9"/>
        <v>8</v>
      </c>
      <c r="BF26" s="111">
        <f t="shared" si="10"/>
        <v>0.479232</v>
      </c>
      <c r="BG26" s="111">
        <f t="shared" si="11"/>
        <v>0.29952</v>
      </c>
      <c r="BH26" s="8">
        <f t="shared" si="12"/>
        <v>22</v>
      </c>
      <c r="BI26" s="8">
        <f t="shared" si="13"/>
        <v>10</v>
      </c>
      <c r="BJ26" s="111">
        <f t="shared" si="14"/>
        <v>105.43104</v>
      </c>
      <c r="BK26" s="111">
        <f t="shared" si="15"/>
        <v>65.89439999999999</v>
      </c>
      <c r="BL26" s="41">
        <f t="shared" si="16"/>
        <v>68.7937536</v>
      </c>
      <c r="BM26" s="41">
        <f t="shared" si="17"/>
        <v>45.684587519999994</v>
      </c>
      <c r="BN26" s="208">
        <f t="shared" si="52"/>
        <v>110</v>
      </c>
      <c r="BO26" s="208">
        <f t="shared" si="53"/>
        <v>70</v>
      </c>
      <c r="BP26" s="208">
        <f t="shared" si="54"/>
        <v>70</v>
      </c>
      <c r="BQ26" s="208">
        <f t="shared" si="55"/>
        <v>50</v>
      </c>
      <c r="BR26" s="208">
        <f t="shared" si="56"/>
        <v>70</v>
      </c>
      <c r="BS26" s="208">
        <f t="shared" si="57"/>
        <v>50</v>
      </c>
      <c r="BT26" s="208">
        <f t="shared" si="48"/>
        <v>70</v>
      </c>
      <c r="BU26" s="208">
        <f t="shared" si="49"/>
        <v>50</v>
      </c>
      <c r="BV26" s="208">
        <f t="shared" si="50"/>
        <v>70</v>
      </c>
      <c r="BW26" s="208">
        <f t="shared" si="51"/>
        <v>50</v>
      </c>
    </row>
    <row r="27" spans="1:75" ht="49.5" customHeight="1">
      <c r="A27" s="8">
        <v>130</v>
      </c>
      <c r="B27" s="4" t="s">
        <v>20</v>
      </c>
      <c r="C27" s="4" t="s">
        <v>19</v>
      </c>
      <c r="D27" s="4">
        <v>2</v>
      </c>
      <c r="E27" s="4" t="s">
        <v>389</v>
      </c>
      <c r="F27" s="8" t="s">
        <v>114</v>
      </c>
      <c r="G27" s="4" t="s">
        <v>449</v>
      </c>
      <c r="H27" s="8" t="s">
        <v>11</v>
      </c>
      <c r="I27" s="9" t="s">
        <v>67</v>
      </c>
      <c r="J27" s="9" t="s">
        <v>67</v>
      </c>
      <c r="K27" s="9" t="s">
        <v>67</v>
      </c>
      <c r="L27" s="9" t="s">
        <v>67</v>
      </c>
      <c r="M27" s="9" t="s">
        <v>67</v>
      </c>
      <c r="N27" s="9" t="s">
        <v>67</v>
      </c>
      <c r="O27" s="8" t="s">
        <v>51</v>
      </c>
      <c r="P27" s="8" t="s">
        <v>55</v>
      </c>
      <c r="Q27" s="5" t="s">
        <v>791</v>
      </c>
      <c r="R27" s="5" t="s">
        <v>937</v>
      </c>
      <c r="S27" s="11" t="s">
        <v>1247</v>
      </c>
      <c r="T27" s="158">
        <f>EstandarizaciónParam_InstiEduca!$F$25</f>
        <v>36.30770101925255</v>
      </c>
      <c r="U27" s="158">
        <f>EstandarizaciónParam_InstiEduca!$F$44</f>
        <v>31.716874292185732</v>
      </c>
      <c r="V27" s="5">
        <v>0.114</v>
      </c>
      <c r="W27" s="5">
        <v>18</v>
      </c>
      <c r="X27" s="34">
        <f>V27*T27*W27*0.0036</f>
        <v>0.2682122489694224</v>
      </c>
      <c r="Y27" s="34">
        <f>V27*U27*W27*0.0036</f>
        <v>0.23429889377123445</v>
      </c>
      <c r="Z27" s="5">
        <v>30</v>
      </c>
      <c r="AA27" s="5">
        <v>12</v>
      </c>
      <c r="AB27" s="13">
        <f t="shared" si="58"/>
        <v>96.55640962899207</v>
      </c>
      <c r="AC27" s="13">
        <f t="shared" si="59"/>
        <v>84.34760175764441</v>
      </c>
      <c r="AD27" s="4" t="s">
        <v>1122</v>
      </c>
      <c r="AE27" s="158">
        <f>EstandarizaciónParam_InstiEduca!$I$25</f>
        <v>23</v>
      </c>
      <c r="AF27" s="158">
        <f>EstandarizaciónParam_InstiEduca!$I$44</f>
        <v>23.165</v>
      </c>
      <c r="AG27" s="186">
        <f>EstandarizaciónParam_InstiEduca!$I$4</f>
        <v>0.1305</v>
      </c>
      <c r="AH27" s="5">
        <v>18</v>
      </c>
      <c r="AI27" s="7">
        <f>50*30*1/1000</f>
        <v>1.5</v>
      </c>
      <c r="AJ27" s="7">
        <f>50*30*1/1000</f>
        <v>1.5</v>
      </c>
      <c r="AK27" s="8">
        <v>22</v>
      </c>
      <c r="AL27" s="8">
        <v>10</v>
      </c>
      <c r="AM27" s="13">
        <f t="shared" si="39"/>
        <v>330</v>
      </c>
      <c r="AN27" s="80">
        <f t="shared" si="40"/>
        <v>330</v>
      </c>
      <c r="AO27" s="89"/>
      <c r="AP27" s="89"/>
      <c r="AQ27" s="89"/>
      <c r="AR27" s="31">
        <f t="shared" si="41"/>
        <v>29.204817653148428</v>
      </c>
      <c r="AS27" s="31">
        <f t="shared" si="42"/>
        <v>27.152376970589668</v>
      </c>
      <c r="AT27" s="111">
        <f t="shared" si="43"/>
        <v>0.12225</v>
      </c>
      <c r="AU27" s="5">
        <v>18</v>
      </c>
      <c r="AV27" s="111">
        <f t="shared" si="44"/>
        <v>0.23135472448471123</v>
      </c>
      <c r="AW27" s="111">
        <f t="shared" si="45"/>
        <v>0.21509569988561722</v>
      </c>
      <c r="AX27" s="8">
        <v>22</v>
      </c>
      <c r="AY27" s="8">
        <v>10</v>
      </c>
      <c r="AZ27" s="7">
        <f t="shared" si="46"/>
        <v>50.89803938663647</v>
      </c>
      <c r="BA27" s="7">
        <f t="shared" si="47"/>
        <v>47.32105397483579</v>
      </c>
      <c r="BB27" s="5">
        <v>90</v>
      </c>
      <c r="BC27" s="5">
        <v>90</v>
      </c>
      <c r="BD27" s="111">
        <f t="shared" si="8"/>
        <v>0.12225</v>
      </c>
      <c r="BE27" s="8">
        <f t="shared" si="9"/>
        <v>18</v>
      </c>
      <c r="BF27" s="111">
        <f t="shared" si="10"/>
        <v>0.712962</v>
      </c>
      <c r="BG27" s="111">
        <f t="shared" si="11"/>
        <v>0.712962</v>
      </c>
      <c r="BH27" s="8">
        <f t="shared" si="12"/>
        <v>22</v>
      </c>
      <c r="BI27" s="8">
        <f t="shared" si="13"/>
        <v>10</v>
      </c>
      <c r="BJ27" s="111">
        <f t="shared" si="14"/>
        <v>156.85164</v>
      </c>
      <c r="BK27" s="111">
        <f t="shared" si="15"/>
        <v>156.85164</v>
      </c>
      <c r="BL27" s="41">
        <f t="shared" si="16"/>
        <v>103.87483969331824</v>
      </c>
      <c r="BM27" s="41">
        <f t="shared" si="17"/>
        <v>102.0863469874179</v>
      </c>
      <c r="BN27" s="208">
        <f t="shared" si="52"/>
        <v>160</v>
      </c>
      <c r="BO27" s="208">
        <f t="shared" si="53"/>
        <v>160</v>
      </c>
      <c r="BP27" s="208">
        <f t="shared" si="54"/>
        <v>110</v>
      </c>
      <c r="BQ27" s="208">
        <f t="shared" si="55"/>
        <v>110</v>
      </c>
      <c r="BR27" s="208">
        <f t="shared" si="56"/>
        <v>110</v>
      </c>
      <c r="BS27" s="208">
        <f t="shared" si="57"/>
        <v>110</v>
      </c>
      <c r="BT27" s="208">
        <f t="shared" si="48"/>
        <v>110</v>
      </c>
      <c r="BU27" s="208">
        <f t="shared" si="49"/>
        <v>110</v>
      </c>
      <c r="BV27" s="208">
        <f t="shared" si="50"/>
        <v>110</v>
      </c>
      <c r="BW27" s="208">
        <f t="shared" si="51"/>
        <v>110</v>
      </c>
    </row>
    <row r="28" spans="1:75" ht="49.5" customHeight="1">
      <c r="A28" s="5">
        <v>131</v>
      </c>
      <c r="B28" s="5" t="s">
        <v>106</v>
      </c>
      <c r="C28" s="4" t="s">
        <v>19</v>
      </c>
      <c r="D28" s="4">
        <v>2</v>
      </c>
      <c r="E28" s="4" t="s">
        <v>107</v>
      </c>
      <c r="F28" s="5" t="s">
        <v>115</v>
      </c>
      <c r="G28" s="11" t="s">
        <v>455</v>
      </c>
      <c r="H28" s="5" t="s">
        <v>11</v>
      </c>
      <c r="I28" s="26" t="s">
        <v>67</v>
      </c>
      <c r="J28" s="26" t="s">
        <v>67</v>
      </c>
      <c r="K28" s="26" t="s">
        <v>67</v>
      </c>
      <c r="L28" s="26" t="s">
        <v>67</v>
      </c>
      <c r="M28" s="26" t="s">
        <v>67</v>
      </c>
      <c r="N28" s="26" t="s">
        <v>67</v>
      </c>
      <c r="O28" s="5" t="s">
        <v>51</v>
      </c>
      <c r="P28" s="5" t="s">
        <v>55</v>
      </c>
      <c r="Q28" s="5" t="s">
        <v>792</v>
      </c>
      <c r="R28" s="5" t="s">
        <v>938</v>
      </c>
      <c r="S28" s="11" t="s">
        <v>1248</v>
      </c>
      <c r="T28" s="5">
        <v>39</v>
      </c>
      <c r="U28" s="5">
        <v>7</v>
      </c>
      <c r="V28" s="7">
        <f>(0+0+0+0+0.036+0.038+0.087+0.104+0.155+0.07+0.073+0.029+0.041+0.036+0+0+0)/17</f>
        <v>0.03935294117647059</v>
      </c>
      <c r="W28" s="5">
        <v>10</v>
      </c>
      <c r="X28" s="34">
        <f>V28*T28*W28*0.0036</f>
        <v>0.055251529411764706</v>
      </c>
      <c r="Y28" s="34">
        <f>V28*U28*W28*0.0036</f>
        <v>0.009916941176470588</v>
      </c>
      <c r="Z28" s="5">
        <v>20</v>
      </c>
      <c r="AA28" s="5">
        <v>10</v>
      </c>
      <c r="AB28" s="13">
        <f t="shared" si="58"/>
        <v>11.050305882352943</v>
      </c>
      <c r="AC28" s="13">
        <f t="shared" si="59"/>
        <v>1.9833882352941177</v>
      </c>
      <c r="AD28" s="4" t="s">
        <v>1001</v>
      </c>
      <c r="AE28" s="158">
        <f>EstandarizaciónParam_InstiEduca!$I$25</f>
        <v>23</v>
      </c>
      <c r="AF28" s="158">
        <f>EstandarizaciónParam_InstiEduca!$I$44</f>
        <v>23.165</v>
      </c>
      <c r="AG28" s="186">
        <f>EstandarizaciónParam_InstiEduca!$I$4</f>
        <v>0.1305</v>
      </c>
      <c r="AH28" s="5">
        <v>10</v>
      </c>
      <c r="AI28" s="7">
        <f>(50*175*1/1000)/3</f>
        <v>2.9166666666666665</v>
      </c>
      <c r="AJ28" s="7">
        <f>(50*175*1/1000)/3</f>
        <v>2.9166666666666665</v>
      </c>
      <c r="AK28" s="8">
        <v>22</v>
      </c>
      <c r="AL28" s="8">
        <v>10</v>
      </c>
      <c r="AM28" s="13">
        <f t="shared" si="39"/>
        <v>641.6666666666665</v>
      </c>
      <c r="AN28" s="80">
        <f t="shared" si="40"/>
        <v>641.6666666666665</v>
      </c>
      <c r="AO28" s="89"/>
      <c r="AP28" s="89"/>
      <c r="AQ28" s="89"/>
      <c r="AR28" s="31">
        <f t="shared" si="41"/>
        <v>26.707012987012984</v>
      </c>
      <c r="AS28" s="31">
        <f t="shared" si="42"/>
        <v>19.41975844155844</v>
      </c>
      <c r="AT28" s="111">
        <f t="shared" si="43"/>
        <v>0.0849264705882353</v>
      </c>
      <c r="AU28" s="5">
        <v>10</v>
      </c>
      <c r="AV28" s="111">
        <f t="shared" si="44"/>
        <v>0.08165276470588234</v>
      </c>
      <c r="AW28" s="111">
        <f t="shared" si="45"/>
        <v>0.05937305558823529</v>
      </c>
      <c r="AX28" s="8">
        <v>22</v>
      </c>
      <c r="AY28" s="8">
        <v>10</v>
      </c>
      <c r="AZ28" s="7">
        <f t="shared" si="46"/>
        <v>17.963608235294114</v>
      </c>
      <c r="BA28" s="7">
        <f t="shared" si="47"/>
        <v>13.062072229411763</v>
      </c>
      <c r="BB28" s="5">
        <v>90</v>
      </c>
      <c r="BC28" s="5">
        <v>90</v>
      </c>
      <c r="BD28" s="111">
        <f t="shared" si="8"/>
        <v>0.0849264705882353</v>
      </c>
      <c r="BE28" s="8">
        <f t="shared" si="9"/>
        <v>10</v>
      </c>
      <c r="BF28" s="111">
        <f t="shared" si="10"/>
        <v>0.2751617647058824</v>
      </c>
      <c r="BG28" s="111">
        <f t="shared" si="11"/>
        <v>0.2751617647058824</v>
      </c>
      <c r="BH28" s="8">
        <f t="shared" si="12"/>
        <v>22</v>
      </c>
      <c r="BI28" s="8">
        <f t="shared" si="13"/>
        <v>10</v>
      </c>
      <c r="BJ28" s="111">
        <f t="shared" si="14"/>
        <v>60.53558823529413</v>
      </c>
      <c r="BK28" s="111">
        <f t="shared" si="15"/>
        <v>60.53558823529413</v>
      </c>
      <c r="BL28" s="41">
        <f t="shared" si="16"/>
        <v>39.24959823529412</v>
      </c>
      <c r="BM28" s="41">
        <f t="shared" si="17"/>
        <v>36.79883023235295</v>
      </c>
      <c r="BN28" s="208">
        <f t="shared" si="52"/>
        <v>70</v>
      </c>
      <c r="BO28" s="208">
        <f t="shared" si="53"/>
        <v>70</v>
      </c>
      <c r="BP28" s="208">
        <f t="shared" si="54"/>
        <v>40</v>
      </c>
      <c r="BQ28" s="208">
        <f t="shared" si="55"/>
        <v>40</v>
      </c>
      <c r="BR28" s="208">
        <f t="shared" si="56"/>
        <v>40</v>
      </c>
      <c r="BS28" s="208">
        <f t="shared" si="57"/>
        <v>40</v>
      </c>
      <c r="BT28" s="208">
        <f t="shared" si="48"/>
        <v>40</v>
      </c>
      <c r="BU28" s="208">
        <f t="shared" si="49"/>
        <v>40</v>
      </c>
      <c r="BV28" s="208">
        <f t="shared" si="50"/>
        <v>40</v>
      </c>
      <c r="BW28" s="208">
        <f t="shared" si="51"/>
        <v>40</v>
      </c>
    </row>
    <row r="29" spans="1:75" s="21" customFormat="1" ht="97.5" customHeight="1">
      <c r="A29" s="8">
        <v>132</v>
      </c>
      <c r="B29" s="4" t="s">
        <v>50</v>
      </c>
      <c r="C29" s="4" t="s">
        <v>19</v>
      </c>
      <c r="D29" s="4">
        <v>2</v>
      </c>
      <c r="E29" s="74" t="s">
        <v>645</v>
      </c>
      <c r="F29" s="74" t="s">
        <v>594</v>
      </c>
      <c r="G29" s="65" t="s">
        <v>21</v>
      </c>
      <c r="H29" s="75" t="s">
        <v>11</v>
      </c>
      <c r="I29" s="26" t="s">
        <v>67</v>
      </c>
      <c r="J29" s="26" t="s">
        <v>67</v>
      </c>
      <c r="K29" s="26" t="s">
        <v>67</v>
      </c>
      <c r="L29" s="26" t="s">
        <v>67</v>
      </c>
      <c r="M29" s="26" t="s">
        <v>67</v>
      </c>
      <c r="N29" s="26" t="s">
        <v>67</v>
      </c>
      <c r="O29" s="8" t="s">
        <v>51</v>
      </c>
      <c r="P29" s="8" t="s">
        <v>55</v>
      </c>
      <c r="Q29" s="8" t="s">
        <v>793</v>
      </c>
      <c r="R29" s="8" t="s">
        <v>939</v>
      </c>
      <c r="S29" s="4"/>
      <c r="T29" s="158">
        <f>EstandarizaciónParam_InstiEduca!$F$25</f>
        <v>36.30770101925255</v>
      </c>
      <c r="U29" s="158">
        <f>EstandarizaciónParam_InstiEduca!$F$44</f>
        <v>31.716874292185732</v>
      </c>
      <c r="V29" s="112">
        <f>EstandarizaciónParam_InstiEduca!$F$4</f>
        <v>0.28796969696969693</v>
      </c>
      <c r="W29" s="44">
        <v>12</v>
      </c>
      <c r="X29" s="7"/>
      <c r="Y29" s="7"/>
      <c r="Z29" s="71"/>
      <c r="AA29" s="71"/>
      <c r="AB29" s="51"/>
      <c r="AC29" s="51"/>
      <c r="AD29" s="4" t="s">
        <v>1003</v>
      </c>
      <c r="AE29" s="8">
        <v>2</v>
      </c>
      <c r="AF29" s="44">
        <v>5</v>
      </c>
      <c r="AG29" s="8">
        <v>0.086</v>
      </c>
      <c r="AH29" s="44">
        <v>12</v>
      </c>
      <c r="AI29" s="7">
        <f>AG29*AE29*AH29*0.0036</f>
        <v>0.0074304</v>
      </c>
      <c r="AJ29" s="7">
        <f>AG29*AF29*AH29*0.0036</f>
        <v>0.018575999999999995</v>
      </c>
      <c r="AK29" s="71">
        <v>30</v>
      </c>
      <c r="AL29" s="71">
        <v>12</v>
      </c>
      <c r="AM29" s="51">
        <f t="shared" si="39"/>
        <v>2.674944</v>
      </c>
      <c r="AN29" s="86">
        <f t="shared" si="40"/>
        <v>6.687359999999998</v>
      </c>
      <c r="AO29" s="19"/>
      <c r="AP29" s="19"/>
      <c r="AQ29" s="19"/>
      <c r="AR29" s="31">
        <f t="shared" si="41"/>
        <v>28.418125175103878</v>
      </c>
      <c r="AS29" s="31">
        <f t="shared" si="42"/>
        <v>25.57292410652629</v>
      </c>
      <c r="AT29" s="111">
        <f t="shared" si="43"/>
        <v>0.18698484848484848</v>
      </c>
      <c r="AU29" s="44">
        <v>12</v>
      </c>
      <c r="AV29" s="111">
        <f t="shared" si="44"/>
        <v>0.2295543814598991</v>
      </c>
      <c r="AW29" s="111">
        <f t="shared" si="45"/>
        <v>0.2065715714609286</v>
      </c>
      <c r="AX29" s="187">
        <v>30</v>
      </c>
      <c r="AY29" s="187">
        <v>12</v>
      </c>
      <c r="AZ29" s="7">
        <f t="shared" si="46"/>
        <v>82.63957732556368</v>
      </c>
      <c r="BA29" s="7">
        <f t="shared" si="47"/>
        <v>74.3657657259343</v>
      </c>
      <c r="BB29" s="5">
        <v>90</v>
      </c>
      <c r="BC29" s="5">
        <v>90</v>
      </c>
      <c r="BD29" s="111">
        <f t="shared" si="8"/>
        <v>0.18698484848484848</v>
      </c>
      <c r="BE29" s="8">
        <f t="shared" si="9"/>
        <v>12</v>
      </c>
      <c r="BF29" s="111">
        <f t="shared" si="10"/>
        <v>0.7269970909090908</v>
      </c>
      <c r="BG29" s="111">
        <f t="shared" si="11"/>
        <v>0.7269970909090908</v>
      </c>
      <c r="BH29" s="8">
        <f t="shared" si="12"/>
        <v>30</v>
      </c>
      <c r="BI29" s="8">
        <f t="shared" si="13"/>
        <v>12</v>
      </c>
      <c r="BJ29" s="111">
        <f t="shared" si="14"/>
        <v>261.7189527272727</v>
      </c>
      <c r="BK29" s="111">
        <f t="shared" si="15"/>
        <v>261.7189527272727</v>
      </c>
      <c r="BL29" s="41">
        <f t="shared" si="16"/>
        <v>172.1792650264182</v>
      </c>
      <c r="BM29" s="41">
        <f t="shared" si="17"/>
        <v>168.0423592266035</v>
      </c>
      <c r="BN29" s="208">
        <f t="shared" si="52"/>
        <v>270</v>
      </c>
      <c r="BO29" s="208">
        <f t="shared" si="53"/>
        <v>270</v>
      </c>
      <c r="BP29" s="208">
        <f t="shared" si="54"/>
        <v>180</v>
      </c>
      <c r="BQ29" s="208">
        <f t="shared" si="55"/>
        <v>170</v>
      </c>
      <c r="BR29" s="208">
        <f t="shared" si="56"/>
        <v>180</v>
      </c>
      <c r="BS29" s="208">
        <f t="shared" si="57"/>
        <v>170</v>
      </c>
      <c r="BT29" s="208">
        <f t="shared" si="48"/>
        <v>180</v>
      </c>
      <c r="BU29" s="208">
        <f t="shared" si="49"/>
        <v>170</v>
      </c>
      <c r="BV29" s="208">
        <f t="shared" si="50"/>
        <v>180</v>
      </c>
      <c r="BW29" s="208">
        <f t="shared" si="51"/>
        <v>170</v>
      </c>
    </row>
    <row r="30" spans="1:75" s="21" customFormat="1" ht="97.5" customHeight="1">
      <c r="A30" s="8">
        <v>133</v>
      </c>
      <c r="B30" s="4" t="s">
        <v>50</v>
      </c>
      <c r="C30" s="4" t="s">
        <v>19</v>
      </c>
      <c r="D30" s="4">
        <v>2</v>
      </c>
      <c r="E30" s="74" t="s">
        <v>610</v>
      </c>
      <c r="F30" s="74" t="s">
        <v>611</v>
      </c>
      <c r="G30" s="65" t="s">
        <v>21</v>
      </c>
      <c r="H30" s="75" t="s">
        <v>11</v>
      </c>
      <c r="I30" s="62"/>
      <c r="J30" s="57"/>
      <c r="K30" s="25"/>
      <c r="L30" s="25"/>
      <c r="M30" s="9"/>
      <c r="N30" s="25"/>
      <c r="O30" s="8" t="s">
        <v>51</v>
      </c>
      <c r="P30" s="8" t="s">
        <v>55</v>
      </c>
      <c r="Q30" s="8" t="s">
        <v>794</v>
      </c>
      <c r="R30" s="8" t="s">
        <v>940</v>
      </c>
      <c r="S30" s="4"/>
      <c r="T30" s="158">
        <f>EstandarizaciónParam_InstiEduca!$F$25</f>
        <v>36.30770101925255</v>
      </c>
      <c r="U30" s="158">
        <f>EstandarizaciónParam_InstiEduca!$F$44</f>
        <v>31.716874292185732</v>
      </c>
      <c r="V30" s="112">
        <f>EstandarizaciónParam_InstiEduca!$F$4</f>
        <v>0.28796969696969693</v>
      </c>
      <c r="W30" s="44">
        <v>8</v>
      </c>
      <c r="X30" s="7"/>
      <c r="Y30" s="7"/>
      <c r="Z30" s="71"/>
      <c r="AA30" s="71"/>
      <c r="AB30" s="51"/>
      <c r="AC30" s="51"/>
      <c r="AD30" s="4" t="s">
        <v>668</v>
      </c>
      <c r="AE30" s="158">
        <f>EstandarizaciónParam_InstiEduca!$I$25</f>
        <v>23</v>
      </c>
      <c r="AF30" s="158">
        <f>EstandarizaciónParam_InstiEduca!$I$44</f>
        <v>23.165</v>
      </c>
      <c r="AG30" s="186">
        <f>EstandarizaciónParam_InstiEduca!$I$4</f>
        <v>0.1305</v>
      </c>
      <c r="AH30" s="44">
        <v>8</v>
      </c>
      <c r="AI30" s="7">
        <f>50*147*1/1000</f>
        <v>7.35</v>
      </c>
      <c r="AJ30" s="7">
        <f>50*147*1/1000</f>
        <v>7.35</v>
      </c>
      <c r="AK30" s="71">
        <v>22</v>
      </c>
      <c r="AL30" s="71">
        <v>10</v>
      </c>
      <c r="AM30" s="51">
        <f t="shared" si="39"/>
        <v>1617</v>
      </c>
      <c r="AN30" s="86">
        <f t="shared" si="40"/>
        <v>1617</v>
      </c>
      <c r="AO30" s="19"/>
      <c r="AP30" s="19"/>
      <c r="AQ30" s="19"/>
      <c r="AR30" s="31">
        <f t="shared" si="41"/>
        <v>32.15768730120258</v>
      </c>
      <c r="AS30" s="31">
        <f t="shared" si="42"/>
        <v>29.049967696052786</v>
      </c>
      <c r="AT30" s="111">
        <f t="shared" si="43"/>
        <v>0.20923484848484847</v>
      </c>
      <c r="AU30" s="44">
        <v>8</v>
      </c>
      <c r="AV30" s="111">
        <f t="shared" si="44"/>
        <v>0.19378105430659942</v>
      </c>
      <c r="AW30" s="111">
        <f t="shared" si="45"/>
        <v>0.1750540489739524</v>
      </c>
      <c r="AX30" s="187">
        <v>30</v>
      </c>
      <c r="AY30" s="187">
        <v>10</v>
      </c>
      <c r="AZ30" s="7">
        <f t="shared" si="46"/>
        <v>58.13431629197982</v>
      </c>
      <c r="BA30" s="7">
        <f t="shared" si="47"/>
        <v>52.51621469218573</v>
      </c>
      <c r="BB30" s="5">
        <v>90</v>
      </c>
      <c r="BC30" s="5">
        <v>90</v>
      </c>
      <c r="BD30" s="111">
        <f t="shared" si="8"/>
        <v>0.20923484848484847</v>
      </c>
      <c r="BE30" s="8">
        <f t="shared" si="9"/>
        <v>8</v>
      </c>
      <c r="BF30" s="111">
        <f t="shared" si="10"/>
        <v>0.5423367272727272</v>
      </c>
      <c r="BG30" s="111">
        <f t="shared" si="11"/>
        <v>0.5423367272727272</v>
      </c>
      <c r="BH30" s="8">
        <f t="shared" si="12"/>
        <v>30</v>
      </c>
      <c r="BI30" s="8">
        <f t="shared" si="13"/>
        <v>10</v>
      </c>
      <c r="BJ30" s="111">
        <f t="shared" si="14"/>
        <v>162.70101818181814</v>
      </c>
      <c r="BK30" s="111">
        <f t="shared" si="15"/>
        <v>162.70101818181814</v>
      </c>
      <c r="BL30" s="41">
        <f t="shared" si="16"/>
        <v>110.41766723689898</v>
      </c>
      <c r="BM30" s="41">
        <f t="shared" si="17"/>
        <v>107.60861643700193</v>
      </c>
      <c r="BN30" s="208">
        <f t="shared" si="52"/>
        <v>170</v>
      </c>
      <c r="BO30" s="208">
        <f t="shared" si="53"/>
        <v>170</v>
      </c>
      <c r="BP30" s="208">
        <f t="shared" si="54"/>
        <v>120</v>
      </c>
      <c r="BQ30" s="208">
        <f t="shared" si="55"/>
        <v>110</v>
      </c>
      <c r="BR30" s="208">
        <f t="shared" si="56"/>
        <v>120</v>
      </c>
      <c r="BS30" s="208">
        <f t="shared" si="57"/>
        <v>110</v>
      </c>
      <c r="BT30" s="208">
        <f t="shared" si="48"/>
        <v>120</v>
      </c>
      <c r="BU30" s="208">
        <f t="shared" si="49"/>
        <v>110</v>
      </c>
      <c r="BV30" s="208">
        <f t="shared" si="50"/>
        <v>120</v>
      </c>
      <c r="BW30" s="208">
        <f t="shared" si="51"/>
        <v>110</v>
      </c>
    </row>
    <row r="31" spans="1:75" ht="49.5" customHeight="1">
      <c r="A31" s="244">
        <v>134</v>
      </c>
      <c r="B31" s="246" t="s">
        <v>20</v>
      </c>
      <c r="C31" s="246" t="s">
        <v>19</v>
      </c>
      <c r="D31" s="246">
        <v>2</v>
      </c>
      <c r="E31" s="246" t="s">
        <v>22</v>
      </c>
      <c r="F31" s="244" t="s">
        <v>73</v>
      </c>
      <c r="G31" s="244" t="s">
        <v>15</v>
      </c>
      <c r="H31" s="244" t="s">
        <v>486</v>
      </c>
      <c r="I31" s="331" t="s">
        <v>577</v>
      </c>
      <c r="J31" s="334">
        <v>42674</v>
      </c>
      <c r="K31" s="334">
        <v>42955</v>
      </c>
      <c r="L31" s="334">
        <v>42971</v>
      </c>
      <c r="M31" s="317" t="s">
        <v>74</v>
      </c>
      <c r="N31" s="334">
        <v>44431</v>
      </c>
      <c r="O31" s="244" t="s">
        <v>51</v>
      </c>
      <c r="P31" s="244" t="s">
        <v>55</v>
      </c>
      <c r="Q31" s="8" t="s">
        <v>795</v>
      </c>
      <c r="R31" s="4" t="s">
        <v>941</v>
      </c>
      <c r="S31" s="4" t="s">
        <v>1249</v>
      </c>
      <c r="T31" s="5">
        <v>88</v>
      </c>
      <c r="U31" s="5">
        <v>82</v>
      </c>
      <c r="V31" s="34">
        <f>((0+0.925+0+0+1.142+0+0+1.024+0)/9)</f>
        <v>0.34344444444444444</v>
      </c>
      <c r="W31" s="5">
        <v>8</v>
      </c>
      <c r="X31" s="34">
        <f>V31*T31*W31*0.0036</f>
        <v>0.8704255999999999</v>
      </c>
      <c r="Y31" s="34">
        <f>V31*U31*W31*0.0036</f>
        <v>0.8110784</v>
      </c>
      <c r="Z31" s="5">
        <v>24</v>
      </c>
      <c r="AA31" s="5">
        <v>10</v>
      </c>
      <c r="AB31" s="13">
        <f t="shared" si="58"/>
        <v>208.90214399999996</v>
      </c>
      <c r="AC31" s="13">
        <f t="shared" si="59"/>
        <v>194.658816</v>
      </c>
      <c r="AD31" s="4" t="s">
        <v>1004</v>
      </c>
      <c r="AE31" s="8">
        <v>77</v>
      </c>
      <c r="AF31" s="8">
        <v>56</v>
      </c>
      <c r="AG31" s="7">
        <v>0.197</v>
      </c>
      <c r="AH31" s="8">
        <v>8</v>
      </c>
      <c r="AI31" s="7">
        <f aca="true" t="shared" si="60" ref="AI31:AI38">AG31*AE31*AH31*0.0036</f>
        <v>0.4368672</v>
      </c>
      <c r="AJ31" s="7">
        <f aca="true" t="shared" si="61" ref="AJ31:AJ38">AG31*AF31*AH31*0.0036</f>
        <v>0.3177216</v>
      </c>
      <c r="AK31" s="8">
        <v>22</v>
      </c>
      <c r="AL31" s="8">
        <v>10</v>
      </c>
      <c r="AM31" s="13">
        <f t="shared" si="39"/>
        <v>96.110784</v>
      </c>
      <c r="AN31" s="80">
        <f t="shared" si="40"/>
        <v>69.898752</v>
      </c>
      <c r="AO31" s="191" t="s">
        <v>1276</v>
      </c>
      <c r="AP31" s="191">
        <v>90</v>
      </c>
      <c r="AQ31" s="191">
        <v>90</v>
      </c>
      <c r="AR31" s="31">
        <f t="shared" si="41"/>
        <v>83.99033717105262</v>
      </c>
      <c r="AS31" s="31">
        <f t="shared" si="42"/>
        <v>72.52261513157893</v>
      </c>
      <c r="AT31" s="111">
        <f t="shared" si="43"/>
        <v>0.27022222222222225</v>
      </c>
      <c r="AU31" s="8">
        <v>8</v>
      </c>
      <c r="AV31" s="111">
        <f t="shared" si="44"/>
        <v>0.6536464</v>
      </c>
      <c r="AW31" s="111">
        <f t="shared" si="45"/>
        <v>0.5644</v>
      </c>
      <c r="AX31" s="8">
        <v>22</v>
      </c>
      <c r="AY31" s="8">
        <v>10</v>
      </c>
      <c r="AZ31" s="7">
        <f t="shared" si="46"/>
        <v>143.802208</v>
      </c>
      <c r="BA31" s="7">
        <f t="shared" si="47"/>
        <v>124.168</v>
      </c>
      <c r="BB31" s="5">
        <v>90</v>
      </c>
      <c r="BC31" s="5">
        <v>90</v>
      </c>
      <c r="BD31" s="111">
        <f t="shared" si="8"/>
        <v>0.27022222222222225</v>
      </c>
      <c r="BE31" s="8">
        <f t="shared" si="9"/>
        <v>8</v>
      </c>
      <c r="BF31" s="111">
        <f t="shared" si="10"/>
        <v>0.700416</v>
      </c>
      <c r="BG31" s="111">
        <f t="shared" si="11"/>
        <v>0.700416</v>
      </c>
      <c r="BH31" s="8">
        <f t="shared" si="12"/>
        <v>22</v>
      </c>
      <c r="BI31" s="8">
        <f t="shared" si="13"/>
        <v>10</v>
      </c>
      <c r="BJ31" s="111">
        <f t="shared" si="14"/>
        <v>154.09152</v>
      </c>
      <c r="BK31" s="111">
        <f t="shared" si="15"/>
        <v>154.09152</v>
      </c>
      <c r="BL31" s="41">
        <f t="shared" si="16"/>
        <v>148.946864</v>
      </c>
      <c r="BM31" s="41">
        <f t="shared" si="17"/>
        <v>139.12976</v>
      </c>
      <c r="BN31" s="208">
        <f t="shared" si="52"/>
        <v>160</v>
      </c>
      <c r="BO31" s="208">
        <f t="shared" si="53"/>
        <v>160</v>
      </c>
      <c r="BP31" s="208">
        <f t="shared" si="54"/>
        <v>150</v>
      </c>
      <c r="BQ31" s="208">
        <f t="shared" si="55"/>
        <v>140</v>
      </c>
      <c r="BR31" s="208">
        <f t="shared" si="56"/>
        <v>150</v>
      </c>
      <c r="BS31" s="208">
        <f t="shared" si="57"/>
        <v>140</v>
      </c>
      <c r="BT31" s="208">
        <f t="shared" si="48"/>
        <v>150</v>
      </c>
      <c r="BU31" s="208">
        <f t="shared" si="49"/>
        <v>140</v>
      </c>
      <c r="BV31" s="208">
        <f t="shared" si="50"/>
        <v>150</v>
      </c>
      <c r="BW31" s="208">
        <f t="shared" si="51"/>
        <v>140</v>
      </c>
    </row>
    <row r="32" spans="1:75" ht="49.5" customHeight="1">
      <c r="A32" s="244"/>
      <c r="B32" s="246"/>
      <c r="C32" s="246"/>
      <c r="D32" s="246"/>
      <c r="E32" s="246"/>
      <c r="F32" s="244"/>
      <c r="G32" s="244"/>
      <c r="H32" s="244"/>
      <c r="I32" s="317"/>
      <c r="J32" s="244"/>
      <c r="K32" s="244"/>
      <c r="L32" s="244"/>
      <c r="M32" s="244"/>
      <c r="N32" s="244"/>
      <c r="O32" s="244"/>
      <c r="P32" s="244"/>
      <c r="Q32" s="8" t="s">
        <v>118</v>
      </c>
      <c r="R32" s="4" t="s">
        <v>942</v>
      </c>
      <c r="S32" s="4" t="s">
        <v>1250</v>
      </c>
      <c r="T32" s="5">
        <v>75</v>
      </c>
      <c r="U32" s="5">
        <v>74</v>
      </c>
      <c r="V32" s="34">
        <f>((0+0+0+0.71+0+0+0+0+0)/9)</f>
        <v>0.07888888888888888</v>
      </c>
      <c r="W32" s="5">
        <v>8</v>
      </c>
      <c r="X32" s="34">
        <f>V32*T32*W32*0.0036</f>
        <v>0.17039999999999997</v>
      </c>
      <c r="Y32" s="34">
        <f>V32*U32*W32*0.0036</f>
        <v>0.16812799999999997</v>
      </c>
      <c r="Z32" s="5">
        <v>24</v>
      </c>
      <c r="AA32" s="5">
        <v>10</v>
      </c>
      <c r="AB32" s="13">
        <f t="shared" si="58"/>
        <v>40.89599999999999</v>
      </c>
      <c r="AC32" s="13">
        <f t="shared" si="59"/>
        <v>40.350719999999995</v>
      </c>
      <c r="AD32" s="4" t="s">
        <v>1005</v>
      </c>
      <c r="AE32" s="8">
        <v>83</v>
      </c>
      <c r="AF32" s="8">
        <v>68</v>
      </c>
      <c r="AG32" s="7">
        <v>0.436</v>
      </c>
      <c r="AH32" s="8">
        <v>8</v>
      </c>
      <c r="AI32" s="7">
        <f t="shared" si="60"/>
        <v>1.0422144</v>
      </c>
      <c r="AJ32" s="7">
        <f t="shared" si="61"/>
        <v>0.8538624</v>
      </c>
      <c r="AK32" s="8">
        <v>22</v>
      </c>
      <c r="AL32" s="8">
        <v>10</v>
      </c>
      <c r="AM32" s="13">
        <f t="shared" si="39"/>
        <v>229.287168</v>
      </c>
      <c r="AN32" s="80">
        <f t="shared" si="40"/>
        <v>187.84972800000003</v>
      </c>
      <c r="AO32" s="191" t="s">
        <v>1276</v>
      </c>
      <c r="AP32" s="191">
        <v>90</v>
      </c>
      <c r="AQ32" s="191">
        <v>90</v>
      </c>
      <c r="AR32" s="31">
        <f aca="true" t="shared" si="62" ref="AR32:AR38">(T32*V32+AE32*AG32)/(V32+AG32)</f>
        <v>81.7742770824342</v>
      </c>
      <c r="AS32" s="31">
        <f aca="true" t="shared" si="63" ref="AS32:AS38">(U32*V32+AF32*AG32)/(V32+AG32)</f>
        <v>68.91929218817437</v>
      </c>
      <c r="AT32" s="111">
        <f aca="true" t="shared" si="64" ref="AT32:AT38">AVERAGE(V32,AG32)</f>
        <v>0.2574444444444444</v>
      </c>
      <c r="AU32" s="8">
        <v>8</v>
      </c>
      <c r="AV32" s="111">
        <f aca="true" t="shared" si="65" ref="AV32:AV38">AT32*AR32*AU32*0.0036</f>
        <v>0.6063071999999999</v>
      </c>
      <c r="AW32" s="111">
        <f aca="true" t="shared" si="66" ref="AW32:AW38">AT32*AS32*AU32*0.0036</f>
        <v>0.5109952</v>
      </c>
      <c r="AX32" s="8">
        <v>22</v>
      </c>
      <c r="AY32" s="8">
        <v>10</v>
      </c>
      <c r="AZ32" s="7">
        <f aca="true" t="shared" si="67" ref="AZ32:AZ38">AV32*AX32*AY32</f>
        <v>133.38758399999998</v>
      </c>
      <c r="BA32" s="7">
        <f aca="true" t="shared" si="68" ref="BA32:BA38">AW32*AX32*AY32</f>
        <v>112.418944</v>
      </c>
      <c r="BB32" s="5">
        <v>90</v>
      </c>
      <c r="BC32" s="5">
        <v>90</v>
      </c>
      <c r="BD32" s="111">
        <f t="shared" si="8"/>
        <v>0.2574444444444444</v>
      </c>
      <c r="BE32" s="8">
        <f t="shared" si="9"/>
        <v>8</v>
      </c>
      <c r="BF32" s="111">
        <f t="shared" si="10"/>
        <v>0.6672959999999999</v>
      </c>
      <c r="BG32" s="111">
        <f t="shared" si="11"/>
        <v>0.6672959999999999</v>
      </c>
      <c r="BH32" s="8">
        <f t="shared" si="12"/>
        <v>22</v>
      </c>
      <c r="BI32" s="8">
        <f t="shared" si="13"/>
        <v>10</v>
      </c>
      <c r="BJ32" s="111">
        <f t="shared" si="14"/>
        <v>146.80511999999996</v>
      </c>
      <c r="BK32" s="111">
        <f t="shared" si="15"/>
        <v>146.80511999999996</v>
      </c>
      <c r="BL32" s="41">
        <f t="shared" si="16"/>
        <v>140.09635199999997</v>
      </c>
      <c r="BM32" s="41">
        <f t="shared" si="17"/>
        <v>129.61203199999997</v>
      </c>
      <c r="BN32" s="208">
        <f t="shared" si="52"/>
        <v>150</v>
      </c>
      <c r="BO32" s="208">
        <f t="shared" si="53"/>
        <v>150</v>
      </c>
      <c r="BP32" s="208">
        <f t="shared" si="54"/>
        <v>150</v>
      </c>
      <c r="BQ32" s="208">
        <f t="shared" si="55"/>
        <v>130</v>
      </c>
      <c r="BR32" s="208">
        <f t="shared" si="56"/>
        <v>150</v>
      </c>
      <c r="BS32" s="208">
        <f t="shared" si="57"/>
        <v>130</v>
      </c>
      <c r="BT32" s="208">
        <f t="shared" si="48"/>
        <v>150</v>
      </c>
      <c r="BU32" s="208">
        <f t="shared" si="49"/>
        <v>130</v>
      </c>
      <c r="BV32" s="208">
        <f t="shared" si="50"/>
        <v>150</v>
      </c>
      <c r="BW32" s="208">
        <f t="shared" si="51"/>
        <v>130</v>
      </c>
    </row>
    <row r="33" spans="1:75" ht="49.5" customHeight="1">
      <c r="A33" s="8">
        <v>135</v>
      </c>
      <c r="B33" s="4" t="s">
        <v>20</v>
      </c>
      <c r="C33" s="4" t="s">
        <v>19</v>
      </c>
      <c r="D33" s="4">
        <v>2</v>
      </c>
      <c r="E33" s="4" t="s">
        <v>440</v>
      </c>
      <c r="F33" s="8" t="s">
        <v>75</v>
      </c>
      <c r="G33" s="8" t="s">
        <v>16</v>
      </c>
      <c r="H33" s="8" t="s">
        <v>486</v>
      </c>
      <c r="I33" s="17" t="s">
        <v>576</v>
      </c>
      <c r="J33" s="25">
        <v>43175</v>
      </c>
      <c r="K33" s="25">
        <v>43195</v>
      </c>
      <c r="L33" s="25">
        <v>43210</v>
      </c>
      <c r="M33" s="9" t="s">
        <v>74</v>
      </c>
      <c r="N33" s="25">
        <v>45035</v>
      </c>
      <c r="O33" s="4" t="s">
        <v>51</v>
      </c>
      <c r="P33" s="8" t="s">
        <v>55</v>
      </c>
      <c r="Q33" s="4" t="s">
        <v>796</v>
      </c>
      <c r="R33" s="4" t="s">
        <v>943</v>
      </c>
      <c r="S33" s="4" t="s">
        <v>1251</v>
      </c>
      <c r="T33" s="158">
        <f>EstandarizaciónParam_InstiEduca!$F$25</f>
        <v>36.30770101925255</v>
      </c>
      <c r="U33" s="158">
        <f>EstandarizaciónParam_InstiEduca!$F$44</f>
        <v>31.716874292185732</v>
      </c>
      <c r="V33" s="112">
        <f>EstandarizaciónParam_InstiEduca!$F$4</f>
        <v>0.28796969696969693</v>
      </c>
      <c r="W33" s="5">
        <v>8</v>
      </c>
      <c r="X33" s="6">
        <f>((50*149*1)/1000)/3</f>
        <v>2.4833333333333334</v>
      </c>
      <c r="Y33" s="6">
        <f>((50*149*1)/1000)/3</f>
        <v>2.4833333333333334</v>
      </c>
      <c r="Z33" s="8">
        <v>22</v>
      </c>
      <c r="AA33" s="8">
        <v>10</v>
      </c>
      <c r="AB33" s="29">
        <f t="shared" si="58"/>
        <v>546.3333333333334</v>
      </c>
      <c r="AC33" s="29">
        <f t="shared" si="59"/>
        <v>546.3333333333334</v>
      </c>
      <c r="AD33" s="4" t="s">
        <v>1006</v>
      </c>
      <c r="AE33" s="8">
        <v>9</v>
      </c>
      <c r="AF33" s="8">
        <v>7</v>
      </c>
      <c r="AG33" s="8">
        <v>0.24</v>
      </c>
      <c r="AH33" s="5">
        <v>8</v>
      </c>
      <c r="AI33" s="34">
        <f t="shared" si="60"/>
        <v>0.062208</v>
      </c>
      <c r="AJ33" s="34">
        <f t="shared" si="61"/>
        <v>0.048383999999999996</v>
      </c>
      <c r="AK33" s="5">
        <v>22</v>
      </c>
      <c r="AL33" s="5">
        <v>10</v>
      </c>
      <c r="AM33" s="29">
        <f t="shared" si="39"/>
        <v>13.68576</v>
      </c>
      <c r="AN33" s="81">
        <f t="shared" si="40"/>
        <v>10.644479999999998</v>
      </c>
      <c r="AO33" s="191" t="s">
        <v>1276</v>
      </c>
      <c r="AP33" s="191">
        <v>90</v>
      </c>
      <c r="AQ33" s="191">
        <v>90</v>
      </c>
      <c r="AR33" s="31">
        <f t="shared" si="62"/>
        <v>23.894397221256785</v>
      </c>
      <c r="AS33" s="31">
        <f t="shared" si="63"/>
        <v>20.481286598096823</v>
      </c>
      <c r="AT33" s="111">
        <f t="shared" si="64"/>
        <v>0.2639848484848485</v>
      </c>
      <c r="AU33" s="5">
        <v>8</v>
      </c>
      <c r="AV33" s="111">
        <f t="shared" si="65"/>
        <v>0.1816634543065994</v>
      </c>
      <c r="AW33" s="111">
        <f t="shared" si="66"/>
        <v>0.1557143809739524</v>
      </c>
      <c r="AX33" s="5">
        <v>22</v>
      </c>
      <c r="AY33" s="5">
        <v>10</v>
      </c>
      <c r="AZ33" s="7">
        <f t="shared" si="67"/>
        <v>39.965959947451864</v>
      </c>
      <c r="BA33" s="7">
        <f t="shared" si="68"/>
        <v>34.257163814269525</v>
      </c>
      <c r="BB33" s="5">
        <v>90</v>
      </c>
      <c r="BC33" s="5">
        <v>90</v>
      </c>
      <c r="BD33" s="111">
        <f t="shared" si="8"/>
        <v>0.2639848484848485</v>
      </c>
      <c r="BE33" s="8">
        <f t="shared" si="9"/>
        <v>8</v>
      </c>
      <c r="BF33" s="111">
        <f t="shared" si="10"/>
        <v>0.6842487272727272</v>
      </c>
      <c r="BG33" s="111">
        <f t="shared" si="11"/>
        <v>0.6842487272727272</v>
      </c>
      <c r="BH33" s="8">
        <f t="shared" si="12"/>
        <v>22</v>
      </c>
      <c r="BI33" s="8">
        <f t="shared" si="13"/>
        <v>10</v>
      </c>
      <c r="BJ33" s="111">
        <f t="shared" si="14"/>
        <v>150.53472</v>
      </c>
      <c r="BK33" s="111">
        <f t="shared" si="15"/>
        <v>150.53472</v>
      </c>
      <c r="BL33" s="41">
        <f t="shared" si="16"/>
        <v>95.25033997372593</v>
      </c>
      <c r="BM33" s="41">
        <f t="shared" si="17"/>
        <v>92.39594190713476</v>
      </c>
      <c r="BN33" s="208">
        <f t="shared" si="52"/>
        <v>160</v>
      </c>
      <c r="BO33" s="208">
        <f t="shared" si="53"/>
        <v>160</v>
      </c>
      <c r="BP33" s="208">
        <f t="shared" si="54"/>
        <v>100</v>
      </c>
      <c r="BQ33" s="208">
        <f t="shared" si="55"/>
        <v>100</v>
      </c>
      <c r="BR33" s="208">
        <f t="shared" si="56"/>
        <v>100</v>
      </c>
      <c r="BS33" s="208">
        <f t="shared" si="57"/>
        <v>100</v>
      </c>
      <c r="BT33" s="208">
        <f t="shared" si="48"/>
        <v>100</v>
      </c>
      <c r="BU33" s="208">
        <f t="shared" si="49"/>
        <v>100</v>
      </c>
      <c r="BV33" s="208">
        <f t="shared" si="50"/>
        <v>100</v>
      </c>
      <c r="BW33" s="208">
        <f t="shared" si="51"/>
        <v>100</v>
      </c>
    </row>
    <row r="34" spans="1:75" ht="25.5">
      <c r="A34" s="246">
        <v>136</v>
      </c>
      <c r="B34" s="246" t="s">
        <v>119</v>
      </c>
      <c r="C34" s="246" t="s">
        <v>19</v>
      </c>
      <c r="D34" s="246">
        <v>2</v>
      </c>
      <c r="E34" s="246" t="s">
        <v>412</v>
      </c>
      <c r="F34" s="246" t="s">
        <v>174</v>
      </c>
      <c r="G34" s="246" t="s">
        <v>450</v>
      </c>
      <c r="H34" s="332" t="s">
        <v>227</v>
      </c>
      <c r="I34" s="332" t="s">
        <v>564</v>
      </c>
      <c r="J34" s="333">
        <v>43871</v>
      </c>
      <c r="K34" s="331" t="s">
        <v>561</v>
      </c>
      <c r="L34" s="332" t="s">
        <v>10</v>
      </c>
      <c r="M34" s="332" t="s">
        <v>74</v>
      </c>
      <c r="N34" s="331">
        <v>2025</v>
      </c>
      <c r="O34" s="244" t="s">
        <v>51</v>
      </c>
      <c r="P34" s="4" t="s">
        <v>292</v>
      </c>
      <c r="Q34" s="4" t="s">
        <v>175</v>
      </c>
      <c r="R34" s="4" t="s">
        <v>944</v>
      </c>
      <c r="S34" s="268" t="s">
        <v>1252</v>
      </c>
      <c r="T34" s="8">
        <v>82</v>
      </c>
      <c r="U34" s="8">
        <v>79</v>
      </c>
      <c r="V34" s="8">
        <v>0.028</v>
      </c>
      <c r="W34" s="8">
        <v>8</v>
      </c>
      <c r="X34" s="7">
        <f>V34*T34*W34*0.0036</f>
        <v>0.06612480000000001</v>
      </c>
      <c r="Y34" s="7">
        <f>V34*U34*W34*0.0036</f>
        <v>0.0637056</v>
      </c>
      <c r="Z34" s="8">
        <v>21</v>
      </c>
      <c r="AA34" s="8">
        <v>10</v>
      </c>
      <c r="AB34" s="13">
        <f t="shared" si="58"/>
        <v>13.886208000000002</v>
      </c>
      <c r="AC34" s="13">
        <f t="shared" si="59"/>
        <v>13.378176</v>
      </c>
      <c r="AD34" s="246" t="s">
        <v>1007</v>
      </c>
      <c r="AE34" s="8">
        <v>82</v>
      </c>
      <c r="AF34" s="8">
        <v>73</v>
      </c>
      <c r="AG34" s="8">
        <v>1.76</v>
      </c>
      <c r="AH34" s="8">
        <v>8</v>
      </c>
      <c r="AI34" s="31">
        <f t="shared" si="60"/>
        <v>4.156416</v>
      </c>
      <c r="AJ34" s="31">
        <f t="shared" si="61"/>
        <v>3.7002239999999995</v>
      </c>
      <c r="AK34" s="8">
        <v>22</v>
      </c>
      <c r="AL34" s="8">
        <v>10</v>
      </c>
      <c r="AM34" s="13">
        <f t="shared" si="39"/>
        <v>914.41152</v>
      </c>
      <c r="AN34" s="80">
        <f t="shared" si="40"/>
        <v>814.0492799999998</v>
      </c>
      <c r="AO34" s="191" t="s">
        <v>1276</v>
      </c>
      <c r="AP34" s="191">
        <v>90</v>
      </c>
      <c r="AQ34" s="191">
        <v>90</v>
      </c>
      <c r="AR34" s="31">
        <f t="shared" si="62"/>
        <v>81.99999999999999</v>
      </c>
      <c r="AS34" s="31">
        <f t="shared" si="63"/>
        <v>73.0939597315436</v>
      </c>
      <c r="AT34" s="111">
        <f t="shared" si="64"/>
        <v>0.894</v>
      </c>
      <c r="AU34" s="8">
        <v>8</v>
      </c>
      <c r="AV34" s="111">
        <f t="shared" si="65"/>
        <v>2.1112703999999995</v>
      </c>
      <c r="AW34" s="111">
        <f t="shared" si="66"/>
        <v>1.8819647999999995</v>
      </c>
      <c r="AX34" s="8">
        <v>22</v>
      </c>
      <c r="AY34" s="8">
        <v>10</v>
      </c>
      <c r="AZ34" s="7">
        <f t="shared" si="67"/>
        <v>464.47948799999995</v>
      </c>
      <c r="BA34" s="7">
        <f t="shared" si="68"/>
        <v>414.0322559999999</v>
      </c>
      <c r="BB34" s="5">
        <v>90</v>
      </c>
      <c r="BC34" s="5">
        <v>90</v>
      </c>
      <c r="BD34" s="111">
        <f t="shared" si="8"/>
        <v>0.894</v>
      </c>
      <c r="BE34" s="8">
        <f t="shared" si="9"/>
        <v>8</v>
      </c>
      <c r="BF34" s="111">
        <f t="shared" si="10"/>
        <v>2.317248</v>
      </c>
      <c r="BG34" s="111">
        <f t="shared" si="11"/>
        <v>2.317248</v>
      </c>
      <c r="BH34" s="8">
        <f t="shared" si="12"/>
        <v>22</v>
      </c>
      <c r="BI34" s="8">
        <f t="shared" si="13"/>
        <v>10</v>
      </c>
      <c r="BJ34" s="111">
        <f t="shared" si="14"/>
        <v>509.79456000000005</v>
      </c>
      <c r="BK34" s="111">
        <f t="shared" si="15"/>
        <v>509.79456000000005</v>
      </c>
      <c r="BL34" s="41">
        <f t="shared" si="16"/>
        <v>487.137024</v>
      </c>
      <c r="BM34" s="41">
        <f t="shared" si="17"/>
        <v>461.913408</v>
      </c>
      <c r="BN34" s="208">
        <f t="shared" si="52"/>
        <v>510</v>
      </c>
      <c r="BO34" s="208">
        <f t="shared" si="53"/>
        <v>510</v>
      </c>
      <c r="BP34" s="208">
        <f t="shared" si="54"/>
        <v>490</v>
      </c>
      <c r="BQ34" s="208">
        <f t="shared" si="55"/>
        <v>470</v>
      </c>
      <c r="BR34" s="208">
        <f t="shared" si="56"/>
        <v>490</v>
      </c>
      <c r="BS34" s="208">
        <f t="shared" si="57"/>
        <v>470</v>
      </c>
      <c r="BT34" s="208">
        <f t="shared" si="48"/>
        <v>490</v>
      </c>
      <c r="BU34" s="208">
        <f t="shared" si="49"/>
        <v>470</v>
      </c>
      <c r="BV34" s="208">
        <f t="shared" si="50"/>
        <v>490</v>
      </c>
      <c r="BW34" s="208">
        <f t="shared" si="51"/>
        <v>470</v>
      </c>
    </row>
    <row r="35" spans="1:75" ht="49.5" customHeight="1">
      <c r="A35" s="246"/>
      <c r="B35" s="246"/>
      <c r="C35" s="246"/>
      <c r="D35" s="246"/>
      <c r="E35" s="246"/>
      <c r="F35" s="246"/>
      <c r="G35" s="246"/>
      <c r="H35" s="258"/>
      <c r="I35" s="258"/>
      <c r="J35" s="333"/>
      <c r="K35" s="246"/>
      <c r="L35" s="258"/>
      <c r="M35" s="258"/>
      <c r="N35" s="246"/>
      <c r="O35" s="244"/>
      <c r="P35" s="4" t="s">
        <v>507</v>
      </c>
      <c r="Q35" s="4" t="s">
        <v>177</v>
      </c>
      <c r="R35" s="4" t="s">
        <v>945</v>
      </c>
      <c r="S35" s="270"/>
      <c r="T35" s="8">
        <v>89</v>
      </c>
      <c r="U35" s="8">
        <v>85</v>
      </c>
      <c r="V35" s="8">
        <v>0.052</v>
      </c>
      <c r="W35" s="8">
        <v>8</v>
      </c>
      <c r="X35" s="7">
        <f>V35*T35*W35*0.0036</f>
        <v>0.1332864</v>
      </c>
      <c r="Y35" s="7">
        <f>V35*U35*W35*0.0036</f>
        <v>0.127296</v>
      </c>
      <c r="Z35" s="8">
        <v>21</v>
      </c>
      <c r="AA35" s="8">
        <v>10</v>
      </c>
      <c r="AB35" s="13">
        <f t="shared" si="58"/>
        <v>27.990144</v>
      </c>
      <c r="AC35" s="13">
        <f t="shared" si="59"/>
        <v>26.73216</v>
      </c>
      <c r="AD35" s="246"/>
      <c r="AE35" s="158">
        <f>EstandarizaciónParam_InstiEduca!$I$25</f>
        <v>23</v>
      </c>
      <c r="AF35" s="158">
        <f>EstandarizaciónParam_InstiEduca!$I$44</f>
        <v>23.165</v>
      </c>
      <c r="AG35" s="8">
        <v>0.205</v>
      </c>
      <c r="AH35" s="8">
        <v>8</v>
      </c>
      <c r="AI35" s="7">
        <f t="shared" si="60"/>
        <v>0.135792</v>
      </c>
      <c r="AJ35" s="7">
        <f t="shared" si="61"/>
        <v>0.13676615999999997</v>
      </c>
      <c r="AK35" s="8">
        <v>22</v>
      </c>
      <c r="AL35" s="8">
        <v>10</v>
      </c>
      <c r="AM35" s="13">
        <f t="shared" si="39"/>
        <v>29.87424</v>
      </c>
      <c r="AN35" s="80">
        <f t="shared" si="40"/>
        <v>30.08855519999999</v>
      </c>
      <c r="AO35" s="191" t="s">
        <v>1276</v>
      </c>
      <c r="AP35" s="191">
        <v>90</v>
      </c>
      <c r="AQ35" s="191">
        <v>90</v>
      </c>
      <c r="AR35" s="31">
        <f t="shared" si="62"/>
        <v>36.35408560311284</v>
      </c>
      <c r="AS35" s="31">
        <f t="shared" si="63"/>
        <v>35.67636186770427</v>
      </c>
      <c r="AT35" s="111">
        <f t="shared" si="64"/>
        <v>0.1285</v>
      </c>
      <c r="AU35" s="8">
        <v>8</v>
      </c>
      <c r="AV35" s="111">
        <f t="shared" si="65"/>
        <v>0.1345392</v>
      </c>
      <c r="AW35" s="111">
        <f t="shared" si="66"/>
        <v>0.13203107999999997</v>
      </c>
      <c r="AX35" s="8">
        <v>22</v>
      </c>
      <c r="AY35" s="8">
        <v>10</v>
      </c>
      <c r="AZ35" s="7">
        <f t="shared" si="67"/>
        <v>29.598624</v>
      </c>
      <c r="BA35" s="7">
        <f t="shared" si="68"/>
        <v>29.046837599999993</v>
      </c>
      <c r="BB35" s="5">
        <v>90</v>
      </c>
      <c r="BC35" s="5">
        <v>90</v>
      </c>
      <c r="BD35" s="111">
        <f t="shared" si="8"/>
        <v>0.1285</v>
      </c>
      <c r="BE35" s="8">
        <f t="shared" si="9"/>
        <v>8</v>
      </c>
      <c r="BF35" s="111">
        <f t="shared" si="10"/>
        <v>0.333072</v>
      </c>
      <c r="BG35" s="111">
        <f t="shared" si="11"/>
        <v>0.333072</v>
      </c>
      <c r="BH35" s="8">
        <f t="shared" si="12"/>
        <v>22</v>
      </c>
      <c r="BI35" s="8">
        <f t="shared" si="13"/>
        <v>10</v>
      </c>
      <c r="BJ35" s="111">
        <f t="shared" si="14"/>
        <v>73.27584</v>
      </c>
      <c r="BK35" s="111">
        <f t="shared" si="15"/>
        <v>73.27584</v>
      </c>
      <c r="BL35" s="41">
        <f t="shared" si="16"/>
        <v>51.437232</v>
      </c>
      <c r="BM35" s="41">
        <f t="shared" si="17"/>
        <v>51.161338799999996</v>
      </c>
      <c r="BN35" s="208">
        <f t="shared" si="52"/>
        <v>80</v>
      </c>
      <c r="BO35" s="208">
        <f t="shared" si="53"/>
        <v>80</v>
      </c>
      <c r="BP35" s="208">
        <f t="shared" si="54"/>
        <v>60</v>
      </c>
      <c r="BQ35" s="208">
        <f t="shared" si="55"/>
        <v>60</v>
      </c>
      <c r="BR35" s="208">
        <f t="shared" si="56"/>
        <v>60</v>
      </c>
      <c r="BS35" s="208">
        <f t="shared" si="57"/>
        <v>60</v>
      </c>
      <c r="BT35" s="208">
        <f t="shared" si="48"/>
        <v>60</v>
      </c>
      <c r="BU35" s="208">
        <f t="shared" si="49"/>
        <v>60</v>
      </c>
      <c r="BV35" s="208">
        <f t="shared" si="50"/>
        <v>60</v>
      </c>
      <c r="BW35" s="208">
        <f t="shared" si="51"/>
        <v>60</v>
      </c>
    </row>
    <row r="36" spans="1:75" ht="49.5" customHeight="1">
      <c r="A36" s="246"/>
      <c r="B36" s="246"/>
      <c r="C36" s="246"/>
      <c r="D36" s="246"/>
      <c r="E36" s="246"/>
      <c r="F36" s="246"/>
      <c r="G36" s="246"/>
      <c r="H36" s="258"/>
      <c r="I36" s="258"/>
      <c r="J36" s="333"/>
      <c r="K36" s="246"/>
      <c r="L36" s="258"/>
      <c r="M36" s="258"/>
      <c r="N36" s="246"/>
      <c r="O36" s="244"/>
      <c r="P36" s="4" t="s">
        <v>293</v>
      </c>
      <c r="Q36" s="4" t="s">
        <v>176</v>
      </c>
      <c r="R36" s="4" t="s">
        <v>946</v>
      </c>
      <c r="S36" s="4" t="s">
        <v>1253</v>
      </c>
      <c r="T36" s="8">
        <v>13</v>
      </c>
      <c r="U36" s="8">
        <v>38</v>
      </c>
      <c r="V36" s="8">
        <f>(0.77+0.2+0.22+0.21+0.34)/5</f>
        <v>0.348</v>
      </c>
      <c r="W36" s="8">
        <v>8</v>
      </c>
      <c r="X36" s="7">
        <f>V36*T36*W36*0.0036</f>
        <v>0.1302912</v>
      </c>
      <c r="Y36" s="7">
        <f>V36*U36*W36*0.0036</f>
        <v>0.38085119999999995</v>
      </c>
      <c r="Z36" s="8">
        <v>21</v>
      </c>
      <c r="AA36" s="8">
        <v>10</v>
      </c>
      <c r="AB36" s="13">
        <f t="shared" si="58"/>
        <v>27.361152</v>
      </c>
      <c r="AC36" s="30">
        <f t="shared" si="59"/>
        <v>79.97875199999999</v>
      </c>
      <c r="AD36" s="246"/>
      <c r="AE36" s="158">
        <f>EstandarizaciónParam_InstiEduca!$I$25</f>
        <v>23</v>
      </c>
      <c r="AF36" s="158">
        <f>EstandarizaciónParam_InstiEduca!$I$44</f>
        <v>23.165</v>
      </c>
      <c r="AG36" s="8">
        <v>3.51</v>
      </c>
      <c r="AH36" s="8">
        <v>8</v>
      </c>
      <c r="AI36" s="7">
        <f t="shared" si="60"/>
        <v>2.3250239999999995</v>
      </c>
      <c r="AJ36" s="7">
        <f t="shared" si="61"/>
        <v>2.34170352</v>
      </c>
      <c r="AK36" s="8">
        <v>22</v>
      </c>
      <c r="AL36" s="8">
        <v>10</v>
      </c>
      <c r="AM36" s="13">
        <f t="shared" si="39"/>
        <v>511.50527999999986</v>
      </c>
      <c r="AN36" s="82">
        <f t="shared" si="40"/>
        <v>515.1747743999999</v>
      </c>
      <c r="AO36" s="191" t="s">
        <v>1276</v>
      </c>
      <c r="AP36" s="191">
        <v>90</v>
      </c>
      <c r="AQ36" s="191">
        <v>90</v>
      </c>
      <c r="AR36" s="31">
        <f t="shared" si="62"/>
        <v>22.097978227060654</v>
      </c>
      <c r="AS36" s="31">
        <f t="shared" si="63"/>
        <v>24.50314930015552</v>
      </c>
      <c r="AT36" s="111">
        <f t="shared" si="64"/>
        <v>1.9289999999999998</v>
      </c>
      <c r="AU36" s="8">
        <v>8</v>
      </c>
      <c r="AV36" s="111">
        <f t="shared" si="65"/>
        <v>1.2276576</v>
      </c>
      <c r="AW36" s="111">
        <f t="shared" si="66"/>
        <v>1.3612773599999999</v>
      </c>
      <c r="AX36" s="8">
        <v>22</v>
      </c>
      <c r="AY36" s="8">
        <v>10</v>
      </c>
      <c r="AZ36" s="7">
        <f t="shared" si="67"/>
        <v>270.08467199999996</v>
      </c>
      <c r="BA36" s="7">
        <f t="shared" si="68"/>
        <v>299.4810192</v>
      </c>
      <c r="BB36" s="5">
        <v>90</v>
      </c>
      <c r="BC36" s="5">
        <v>90</v>
      </c>
      <c r="BD36" s="111">
        <f t="shared" si="8"/>
        <v>1.9289999999999998</v>
      </c>
      <c r="BE36" s="8">
        <f t="shared" si="9"/>
        <v>8</v>
      </c>
      <c r="BF36" s="111">
        <f t="shared" si="10"/>
        <v>4.999967999999999</v>
      </c>
      <c r="BG36" s="111">
        <f t="shared" si="11"/>
        <v>4.999967999999999</v>
      </c>
      <c r="BH36" s="8">
        <f t="shared" si="12"/>
        <v>22</v>
      </c>
      <c r="BI36" s="8">
        <f t="shared" si="13"/>
        <v>10</v>
      </c>
      <c r="BJ36" s="111">
        <f t="shared" si="14"/>
        <v>1099.9929599999998</v>
      </c>
      <c r="BK36" s="111">
        <f t="shared" si="15"/>
        <v>1099.9929599999998</v>
      </c>
      <c r="BL36" s="41">
        <f t="shared" si="16"/>
        <v>685.0388159999999</v>
      </c>
      <c r="BM36" s="41">
        <f t="shared" si="17"/>
        <v>699.7369895999999</v>
      </c>
      <c r="BN36" s="208">
        <f t="shared" si="52"/>
        <v>1100</v>
      </c>
      <c r="BO36" s="208">
        <f t="shared" si="53"/>
        <v>1100</v>
      </c>
      <c r="BP36" s="208">
        <f t="shared" si="54"/>
        <v>690</v>
      </c>
      <c r="BQ36" s="208">
        <f t="shared" si="55"/>
        <v>700</v>
      </c>
      <c r="BR36" s="208">
        <f t="shared" si="56"/>
        <v>690</v>
      </c>
      <c r="BS36" s="208">
        <f t="shared" si="57"/>
        <v>700</v>
      </c>
      <c r="BT36" s="208">
        <f t="shared" si="48"/>
        <v>690</v>
      </c>
      <c r="BU36" s="208">
        <f t="shared" si="49"/>
        <v>700</v>
      </c>
      <c r="BV36" s="208">
        <f t="shared" si="50"/>
        <v>690</v>
      </c>
      <c r="BW36" s="208">
        <f t="shared" si="51"/>
        <v>700</v>
      </c>
    </row>
    <row r="37" spans="1:75" ht="49.5" customHeight="1">
      <c r="A37" s="4">
        <v>137</v>
      </c>
      <c r="B37" s="4" t="s">
        <v>20</v>
      </c>
      <c r="C37" s="4" t="s">
        <v>19</v>
      </c>
      <c r="D37" s="4">
        <v>2</v>
      </c>
      <c r="E37" s="4" t="s">
        <v>144</v>
      </c>
      <c r="F37" s="4" t="s">
        <v>189</v>
      </c>
      <c r="G37" s="4" t="s">
        <v>468</v>
      </c>
      <c r="H37" s="4" t="s">
        <v>227</v>
      </c>
      <c r="I37" s="11" t="s">
        <v>566</v>
      </c>
      <c r="J37" s="27">
        <v>43872</v>
      </c>
      <c r="K37" s="17" t="s">
        <v>565</v>
      </c>
      <c r="L37" s="27" t="s">
        <v>10</v>
      </c>
      <c r="M37" s="5" t="s">
        <v>74</v>
      </c>
      <c r="N37" s="192">
        <v>2025</v>
      </c>
      <c r="O37" s="8" t="s">
        <v>51</v>
      </c>
      <c r="P37" s="8" t="s">
        <v>55</v>
      </c>
      <c r="Q37" s="4" t="s">
        <v>797</v>
      </c>
      <c r="R37" s="4" t="s">
        <v>947</v>
      </c>
      <c r="S37" s="4" t="s">
        <v>1254</v>
      </c>
      <c r="T37" s="8">
        <v>36</v>
      </c>
      <c r="U37" s="8">
        <v>6</v>
      </c>
      <c r="V37" s="7">
        <f>(0.37+0.3+0.25+0.2+0.17)/5</f>
        <v>0.25799999999999995</v>
      </c>
      <c r="W37" s="8">
        <v>8</v>
      </c>
      <c r="X37" s="7">
        <f>V37*T37*W37*0.0036</f>
        <v>0.26749439999999997</v>
      </c>
      <c r="Y37" s="7">
        <f>V37*U37*W37*0.0036</f>
        <v>0.04458239999999999</v>
      </c>
      <c r="Z37" s="8">
        <v>22</v>
      </c>
      <c r="AA37" s="8">
        <v>10</v>
      </c>
      <c r="AB37" s="13">
        <f t="shared" si="58"/>
        <v>58.84876799999999</v>
      </c>
      <c r="AC37" s="13">
        <f t="shared" si="59"/>
        <v>9.808127999999996</v>
      </c>
      <c r="AD37" s="4" t="s">
        <v>1287</v>
      </c>
      <c r="AE37" s="158">
        <f>EstandarizaciónParam_InstiEduca!$I$25</f>
        <v>23</v>
      </c>
      <c r="AF37" s="158">
        <f>EstandarizaciónParam_InstiEduca!$I$44</f>
        <v>23.165</v>
      </c>
      <c r="AG37" s="7">
        <f>(0.37+0.3+0.25+0.2+0.17)/5</f>
        <v>0.25799999999999995</v>
      </c>
      <c r="AH37" s="8">
        <v>8</v>
      </c>
      <c r="AI37" s="7">
        <f t="shared" si="60"/>
        <v>0.17089919999999997</v>
      </c>
      <c r="AJ37" s="7">
        <f t="shared" si="61"/>
        <v>0.17212521599999997</v>
      </c>
      <c r="AK37" s="8">
        <v>22</v>
      </c>
      <c r="AL37" s="8">
        <v>10</v>
      </c>
      <c r="AM37" s="13">
        <f t="shared" si="39"/>
        <v>37.597823999999996</v>
      </c>
      <c r="AN37" s="80">
        <f t="shared" si="40"/>
        <v>37.867547519999995</v>
      </c>
      <c r="AO37" s="191" t="s">
        <v>1277</v>
      </c>
      <c r="AP37" s="191">
        <v>80</v>
      </c>
      <c r="AQ37" s="191">
        <v>50</v>
      </c>
      <c r="AR37" s="31">
        <f t="shared" si="62"/>
        <v>29.5</v>
      </c>
      <c r="AS37" s="31">
        <f t="shared" si="63"/>
        <v>14.582500000000001</v>
      </c>
      <c r="AT37" s="111">
        <f t="shared" si="64"/>
        <v>0.25799999999999995</v>
      </c>
      <c r="AU37" s="8">
        <v>8</v>
      </c>
      <c r="AV37" s="111">
        <f t="shared" si="65"/>
        <v>0.21919679999999997</v>
      </c>
      <c r="AW37" s="111">
        <f t="shared" si="66"/>
        <v>0.10835380799999998</v>
      </c>
      <c r="AX37" s="8">
        <v>22</v>
      </c>
      <c r="AY37" s="8">
        <v>10</v>
      </c>
      <c r="AZ37" s="7">
        <f t="shared" si="67"/>
        <v>48.223296</v>
      </c>
      <c r="BA37" s="7">
        <f t="shared" si="68"/>
        <v>23.837837759999996</v>
      </c>
      <c r="BB37" s="188">
        <v>80</v>
      </c>
      <c r="BC37" s="188">
        <v>50</v>
      </c>
      <c r="BD37" s="111">
        <f t="shared" si="8"/>
        <v>0.25799999999999995</v>
      </c>
      <c r="BE37" s="8">
        <f t="shared" si="9"/>
        <v>8</v>
      </c>
      <c r="BF37" s="111">
        <f t="shared" si="10"/>
        <v>0.5944319999999998</v>
      </c>
      <c r="BG37" s="111">
        <f t="shared" si="11"/>
        <v>0.3715199999999999</v>
      </c>
      <c r="BH37" s="8">
        <f t="shared" si="12"/>
        <v>22</v>
      </c>
      <c r="BI37" s="8">
        <f t="shared" si="13"/>
        <v>10</v>
      </c>
      <c r="BJ37" s="111">
        <f t="shared" si="14"/>
        <v>130.77504</v>
      </c>
      <c r="BK37" s="111">
        <f t="shared" si="15"/>
        <v>81.73439999999998</v>
      </c>
      <c r="BL37" s="41">
        <f t="shared" si="16"/>
        <v>89.499168</v>
      </c>
      <c r="BM37" s="41">
        <f t="shared" si="17"/>
        <v>52.78611887999999</v>
      </c>
      <c r="BN37" s="208">
        <f t="shared" si="52"/>
        <v>140</v>
      </c>
      <c r="BO37" s="208">
        <f t="shared" si="53"/>
        <v>90</v>
      </c>
      <c r="BP37" s="208">
        <f>BN37</f>
        <v>140</v>
      </c>
      <c r="BQ37" s="208">
        <f>BO37</f>
        <v>90</v>
      </c>
      <c r="BR37" s="208">
        <f t="shared" si="56"/>
        <v>140</v>
      </c>
      <c r="BS37" s="208">
        <f t="shared" si="57"/>
        <v>90</v>
      </c>
      <c r="BT37" s="208">
        <f t="shared" si="48"/>
        <v>140</v>
      </c>
      <c r="BU37" s="208">
        <f t="shared" si="49"/>
        <v>90</v>
      </c>
      <c r="BV37" s="208">
        <f t="shared" si="50"/>
        <v>140</v>
      </c>
      <c r="BW37" s="208">
        <f t="shared" si="51"/>
        <v>90</v>
      </c>
    </row>
    <row r="38" spans="1:75" ht="49.5" customHeight="1">
      <c r="A38" s="4">
        <v>138</v>
      </c>
      <c r="B38" s="4" t="s">
        <v>105</v>
      </c>
      <c r="C38" s="4" t="s">
        <v>19</v>
      </c>
      <c r="D38" s="4">
        <v>2</v>
      </c>
      <c r="E38" s="4" t="s">
        <v>147</v>
      </c>
      <c r="F38" s="4" t="s">
        <v>193</v>
      </c>
      <c r="G38" s="4" t="s">
        <v>470</v>
      </c>
      <c r="H38" s="4" t="s">
        <v>11</v>
      </c>
      <c r="I38" s="9" t="s">
        <v>67</v>
      </c>
      <c r="J38" s="9" t="s">
        <v>67</v>
      </c>
      <c r="K38" s="9" t="s">
        <v>67</v>
      </c>
      <c r="L38" s="9" t="s">
        <v>67</v>
      </c>
      <c r="M38" s="9" t="s">
        <v>67</v>
      </c>
      <c r="N38" s="9" t="s">
        <v>67</v>
      </c>
      <c r="O38" s="8" t="s">
        <v>51</v>
      </c>
      <c r="P38" s="4" t="s">
        <v>55</v>
      </c>
      <c r="Q38" s="8" t="s">
        <v>194</v>
      </c>
      <c r="R38" s="8" t="s">
        <v>948</v>
      </c>
      <c r="S38" s="4" t="s">
        <v>1255</v>
      </c>
      <c r="T38" s="158">
        <f>EstandarizaciónParam_InstiEduca!$F$25</f>
        <v>36.30770101925255</v>
      </c>
      <c r="U38" s="158">
        <f>EstandarizaciónParam_InstiEduca!$F$44</f>
        <v>31.716874292185732</v>
      </c>
      <c r="V38" s="8">
        <f>(0.042+0.115+0.022+0.034+0.018)/5</f>
        <v>0.0462</v>
      </c>
      <c r="W38" s="8">
        <v>8</v>
      </c>
      <c r="X38" s="7">
        <f>V38*T38*W38*0.0036</f>
        <v>0.04830957466817667</v>
      </c>
      <c r="Y38" s="7">
        <f>V38*U38*W38*0.0036</f>
        <v>0.042201204258210646</v>
      </c>
      <c r="Z38" s="8">
        <v>22</v>
      </c>
      <c r="AA38" s="8">
        <v>10</v>
      </c>
      <c r="AB38" s="13">
        <f t="shared" si="58"/>
        <v>10.628106426998867</v>
      </c>
      <c r="AC38" s="13">
        <f t="shared" si="59"/>
        <v>9.284264936806343</v>
      </c>
      <c r="AD38" s="4" t="s">
        <v>1008</v>
      </c>
      <c r="AE38" s="158">
        <f>EstandarizaciónParam_InstiEduca!$I$25</f>
        <v>23</v>
      </c>
      <c r="AF38" s="158">
        <f>EstandarizaciónParam_InstiEduca!$I$44</f>
        <v>23.165</v>
      </c>
      <c r="AG38" s="8">
        <f>(0.042+0.115+0.022+0.034+0.018)/5</f>
        <v>0.0462</v>
      </c>
      <c r="AH38" s="8">
        <v>8</v>
      </c>
      <c r="AI38" s="7">
        <f t="shared" si="60"/>
        <v>0.03060288</v>
      </c>
      <c r="AJ38" s="7">
        <f t="shared" si="61"/>
        <v>0.030822422399999997</v>
      </c>
      <c r="AK38" s="8">
        <v>22</v>
      </c>
      <c r="AL38" s="8">
        <v>10</v>
      </c>
      <c r="AM38" s="13">
        <f t="shared" si="39"/>
        <v>6.7326336</v>
      </c>
      <c r="AN38" s="80">
        <f t="shared" si="40"/>
        <v>6.7809329279999995</v>
      </c>
      <c r="AO38" s="89"/>
      <c r="AP38" s="89"/>
      <c r="AQ38" s="89"/>
      <c r="AR38" s="31">
        <f t="shared" si="62"/>
        <v>29.653850509626277</v>
      </c>
      <c r="AS38" s="31">
        <f t="shared" si="63"/>
        <v>27.440937146092867</v>
      </c>
      <c r="AT38" s="111">
        <f t="shared" si="64"/>
        <v>0.0462</v>
      </c>
      <c r="AU38" s="8">
        <v>8</v>
      </c>
      <c r="AV38" s="111">
        <f t="shared" si="65"/>
        <v>0.03945622733408834</v>
      </c>
      <c r="AW38" s="111">
        <f t="shared" si="66"/>
        <v>0.03651181332910532</v>
      </c>
      <c r="AX38" s="8">
        <v>22</v>
      </c>
      <c r="AY38" s="8">
        <v>10</v>
      </c>
      <c r="AZ38" s="7">
        <f t="shared" si="67"/>
        <v>8.680370013499434</v>
      </c>
      <c r="BA38" s="7">
        <f t="shared" si="68"/>
        <v>8.032598932403172</v>
      </c>
      <c r="BB38" s="5">
        <v>90</v>
      </c>
      <c r="BC38" s="5">
        <v>90</v>
      </c>
      <c r="BD38" s="111">
        <f t="shared" si="8"/>
        <v>0.0462</v>
      </c>
      <c r="BE38" s="8">
        <f t="shared" si="9"/>
        <v>8</v>
      </c>
      <c r="BF38" s="111">
        <f t="shared" si="10"/>
        <v>0.11975039999999998</v>
      </c>
      <c r="BG38" s="111">
        <f t="shared" si="11"/>
        <v>0.11975039999999998</v>
      </c>
      <c r="BH38" s="8">
        <f t="shared" si="12"/>
        <v>22</v>
      </c>
      <c r="BI38" s="8">
        <f t="shared" si="13"/>
        <v>10</v>
      </c>
      <c r="BJ38" s="111">
        <f t="shared" si="14"/>
        <v>26.345087999999993</v>
      </c>
      <c r="BK38" s="111">
        <f t="shared" si="15"/>
        <v>26.345087999999993</v>
      </c>
      <c r="BL38" s="41">
        <f t="shared" si="16"/>
        <v>17.512729006749716</v>
      </c>
      <c r="BM38" s="41">
        <f t="shared" si="17"/>
        <v>17.188843466201583</v>
      </c>
      <c r="BN38" s="208">
        <f t="shared" si="52"/>
        <v>30</v>
      </c>
      <c r="BO38" s="208">
        <f t="shared" si="53"/>
        <v>30</v>
      </c>
      <c r="BP38" s="208">
        <f t="shared" si="54"/>
        <v>20</v>
      </c>
      <c r="BQ38" s="208">
        <f t="shared" si="55"/>
        <v>20</v>
      </c>
      <c r="BR38" s="208">
        <f t="shared" si="56"/>
        <v>20</v>
      </c>
      <c r="BS38" s="208">
        <f t="shared" si="57"/>
        <v>20</v>
      </c>
      <c r="BT38" s="208">
        <f t="shared" si="48"/>
        <v>20</v>
      </c>
      <c r="BU38" s="208">
        <f t="shared" si="49"/>
        <v>20</v>
      </c>
      <c r="BV38" s="208">
        <f t="shared" si="50"/>
        <v>20</v>
      </c>
      <c r="BW38" s="208">
        <f t="shared" si="51"/>
        <v>20</v>
      </c>
    </row>
    <row r="42" spans="74:75" ht="12.75">
      <c r="BV42" s="228"/>
      <c r="BW42" s="228"/>
    </row>
    <row r="47" spans="74:75" ht="12.75">
      <c r="BV47" s="228"/>
      <c r="BW47" s="228"/>
    </row>
  </sheetData>
  <sheetProtection/>
  <mergeCells count="103">
    <mergeCell ref="BL1:BM1"/>
    <mergeCell ref="BN1:BW1"/>
    <mergeCell ref="BL2:BL3"/>
    <mergeCell ref="BM2:BM3"/>
    <mergeCell ref="BN2:BO2"/>
    <mergeCell ref="BP2:BQ2"/>
    <mergeCell ref="BR2:BS2"/>
    <mergeCell ref="BT2:BU2"/>
    <mergeCell ref="BV2:BW2"/>
    <mergeCell ref="AD1:AN1"/>
    <mergeCell ref="AO1:AQ1"/>
    <mergeCell ref="AR1:BA1"/>
    <mergeCell ref="A2:A3"/>
    <mergeCell ref="B2:B3"/>
    <mergeCell ref="C2:C3"/>
    <mergeCell ref="D2:D3"/>
    <mergeCell ref="F2:F3"/>
    <mergeCell ref="G2:G3"/>
    <mergeCell ref="H2:N2"/>
    <mergeCell ref="O2:O3"/>
    <mergeCell ref="P2:P3"/>
    <mergeCell ref="Q2:R2"/>
    <mergeCell ref="S1:AC1"/>
    <mergeCell ref="S2:S3"/>
    <mergeCell ref="T2:T3"/>
    <mergeCell ref="U2:U3"/>
    <mergeCell ref="V2:V3"/>
    <mergeCell ref="W2:W3"/>
    <mergeCell ref="X2:X3"/>
    <mergeCell ref="AJ2:AJ3"/>
    <mergeCell ref="Y2:Y3"/>
    <mergeCell ref="Z2:Z3"/>
    <mergeCell ref="AA2:AA3"/>
    <mergeCell ref="AB2:AB3"/>
    <mergeCell ref="AC2:AC3"/>
    <mergeCell ref="AD2:AD3"/>
    <mergeCell ref="AL2:AL3"/>
    <mergeCell ref="AM2:AM3"/>
    <mergeCell ref="AN2:AN3"/>
    <mergeCell ref="AO2:AO3"/>
    <mergeCell ref="AP2:AP3"/>
    <mergeCell ref="AE2:AE3"/>
    <mergeCell ref="AF2:AF3"/>
    <mergeCell ref="AG2:AG3"/>
    <mergeCell ref="AH2:AH3"/>
    <mergeCell ref="AI2:AI3"/>
    <mergeCell ref="E31:E32"/>
    <mergeCell ref="F31:F32"/>
    <mergeCell ref="BA2:BA3"/>
    <mergeCell ref="AQ2:AQ3"/>
    <mergeCell ref="AR2:AR3"/>
    <mergeCell ref="AS2:AS3"/>
    <mergeCell ref="AT2:AT3"/>
    <mergeCell ref="AU2:AU3"/>
    <mergeCell ref="AV2:AV3"/>
    <mergeCell ref="AX2:AX3"/>
    <mergeCell ref="A34:A36"/>
    <mergeCell ref="B34:B36"/>
    <mergeCell ref="C34:C36"/>
    <mergeCell ref="D34:D36"/>
    <mergeCell ref="E34:E36"/>
    <mergeCell ref="G31:G32"/>
    <mergeCell ref="A31:A32"/>
    <mergeCell ref="B31:B32"/>
    <mergeCell ref="C31:C32"/>
    <mergeCell ref="D31:D32"/>
    <mergeCell ref="F34:F36"/>
    <mergeCell ref="L31:L32"/>
    <mergeCell ref="M31:M32"/>
    <mergeCell ref="N31:N32"/>
    <mergeCell ref="O31:O32"/>
    <mergeCell ref="P31:P32"/>
    <mergeCell ref="H31:H32"/>
    <mergeCell ref="I31:I32"/>
    <mergeCell ref="J31:J32"/>
    <mergeCell ref="K31:K32"/>
    <mergeCell ref="K34:K36"/>
    <mergeCell ref="L34:L36"/>
    <mergeCell ref="M34:M36"/>
    <mergeCell ref="G34:G36"/>
    <mergeCell ref="H34:H36"/>
    <mergeCell ref="I34:I36"/>
    <mergeCell ref="J34:J36"/>
    <mergeCell ref="BJ2:BJ3"/>
    <mergeCell ref="BK2:BK3"/>
    <mergeCell ref="AD34:AD36"/>
    <mergeCell ref="AW2:AW3"/>
    <mergeCell ref="S34:S35"/>
    <mergeCell ref="N34:N36"/>
    <mergeCell ref="O34:O36"/>
    <mergeCell ref="AZ2:AZ3"/>
    <mergeCell ref="AY2:AY3"/>
    <mergeCell ref="AK2:AK3"/>
    <mergeCell ref="E2:E3"/>
    <mergeCell ref="BB1:BK1"/>
    <mergeCell ref="BB2:BB3"/>
    <mergeCell ref="BC2:BC3"/>
    <mergeCell ref="BD2:BD3"/>
    <mergeCell ref="BE2:BE3"/>
    <mergeCell ref="BF2:BF3"/>
    <mergeCell ref="BG2:BG3"/>
    <mergeCell ref="BH2:BH3"/>
    <mergeCell ref="BI2:BI3"/>
  </mergeCells>
  <printOptions/>
  <pageMargins left="0.7" right="0.7" top="0.75" bottom="0.75" header="0.3" footer="0.3"/>
  <pageSetup orientation="portrait" r:id="rId1"/>
  <ignoredErrors>
    <ignoredError sqref="V11" formulaRange="1"/>
    <ignoredError sqref="X20:Y20 AB20:AC20 AB17:AC17 X33:Y33 BP37:BQ37 BP7:BQ7" formula="1"/>
  </ignoredErrors>
</worksheet>
</file>

<file path=xl/worksheets/sheet7.xml><?xml version="1.0" encoding="utf-8"?>
<worksheet xmlns="http://schemas.openxmlformats.org/spreadsheetml/2006/main" xmlns:r="http://schemas.openxmlformats.org/officeDocument/2006/relationships">
  <dimension ref="D1:L61"/>
  <sheetViews>
    <sheetView zoomScale="90" zoomScaleNormal="90" zoomScalePageLayoutView="0" workbookViewId="0" topLeftCell="A1">
      <selection activeCell="E4" sqref="E4"/>
    </sheetView>
  </sheetViews>
  <sheetFormatPr defaultColWidth="11.421875" defaultRowHeight="15"/>
  <cols>
    <col min="9" max="9" width="15.7109375" style="0" customWidth="1"/>
  </cols>
  <sheetData>
    <row r="1" spans="4:9" s="183" customFormat="1" ht="15.75" thickBot="1">
      <c r="D1" s="342" t="s">
        <v>1275</v>
      </c>
      <c r="E1" s="342"/>
      <c r="F1" s="342"/>
      <c r="G1" s="342"/>
      <c r="H1" s="342"/>
      <c r="I1" s="342"/>
    </row>
    <row r="2" spans="4:9" ht="15.75" thickBot="1">
      <c r="D2" s="297">
        <v>2019</v>
      </c>
      <c r="E2" s="298"/>
      <c r="F2" s="299"/>
      <c r="G2" s="297">
        <v>2020</v>
      </c>
      <c r="H2" s="298"/>
      <c r="I2" s="299"/>
    </row>
    <row r="3" spans="4:9" ht="15">
      <c r="D3" s="145" t="s">
        <v>1144</v>
      </c>
      <c r="E3" s="146" t="s">
        <v>1274</v>
      </c>
      <c r="F3" s="147" t="s">
        <v>1221</v>
      </c>
      <c r="G3" s="145" t="s">
        <v>1144</v>
      </c>
      <c r="H3" s="146" t="s">
        <v>1274</v>
      </c>
      <c r="I3" s="147" t="s">
        <v>1221</v>
      </c>
    </row>
    <row r="4" spans="4:9" ht="15">
      <c r="D4" s="168"/>
      <c r="E4" s="182">
        <v>0.43200000000000005</v>
      </c>
      <c r="F4" s="189">
        <f>MEDIAN(E4:E17)</f>
        <v>0.28796969696969693</v>
      </c>
      <c r="G4" s="168"/>
      <c r="H4" s="117">
        <v>0.076</v>
      </c>
      <c r="I4" s="150">
        <f>MEDIAN(H4:H23)</f>
        <v>0.1305</v>
      </c>
    </row>
    <row r="5" spans="4:9" ht="15">
      <c r="D5" s="168"/>
      <c r="E5" s="182">
        <v>0.3179393939393939</v>
      </c>
      <c r="F5" s="174"/>
      <c r="G5" s="168"/>
      <c r="H5" s="117">
        <v>0.43200000000000005</v>
      </c>
      <c r="I5" s="174"/>
    </row>
    <row r="6" spans="4:9" ht="15">
      <c r="D6" s="168"/>
      <c r="E6" s="182">
        <v>0.797735294117647</v>
      </c>
      <c r="F6" s="174"/>
      <c r="G6" s="168"/>
      <c r="H6" s="117">
        <v>0.3179393939393939</v>
      </c>
      <c r="I6" s="174"/>
    </row>
    <row r="7" spans="4:9" ht="15">
      <c r="D7" s="168"/>
      <c r="E7" s="182">
        <v>0.09458823529411764</v>
      </c>
      <c r="F7" s="174"/>
      <c r="G7" s="168"/>
      <c r="H7" s="117">
        <v>0.174</v>
      </c>
      <c r="I7" s="174"/>
    </row>
    <row r="8" spans="4:9" ht="15">
      <c r="D8" s="168"/>
      <c r="E8" s="182">
        <v>1.08</v>
      </c>
      <c r="F8" s="174"/>
      <c r="G8" s="168"/>
      <c r="H8" s="117">
        <v>0.003</v>
      </c>
      <c r="I8" s="174"/>
    </row>
    <row r="9" spans="4:9" ht="15">
      <c r="D9" s="168"/>
      <c r="E9" s="182">
        <v>0.009454545454545459</v>
      </c>
      <c r="F9" s="174"/>
      <c r="G9" s="168"/>
      <c r="H9" s="117">
        <v>0.1</v>
      </c>
      <c r="I9" s="174"/>
    </row>
    <row r="10" spans="4:9" ht="15">
      <c r="D10" s="168"/>
      <c r="E10" s="182">
        <v>0.5297999999999999</v>
      </c>
      <c r="F10" s="174"/>
      <c r="G10" s="168"/>
      <c r="H10" s="117">
        <v>1.08</v>
      </c>
      <c r="I10" s="174"/>
    </row>
    <row r="11" spans="4:9" ht="15">
      <c r="D11" s="168"/>
      <c r="E11" s="182">
        <v>1.5702</v>
      </c>
      <c r="F11" s="174"/>
      <c r="G11" s="168"/>
      <c r="H11" s="117">
        <v>0.009454545454545459</v>
      </c>
      <c r="I11" s="174"/>
    </row>
    <row r="12" spans="4:9" ht="15">
      <c r="D12" s="168"/>
      <c r="E12" s="182">
        <v>0.20800000000000002</v>
      </c>
      <c r="F12" s="174"/>
      <c r="G12" s="168"/>
      <c r="H12" s="117">
        <v>0.025</v>
      </c>
      <c r="I12" s="174"/>
    </row>
    <row r="13" spans="4:9" ht="15">
      <c r="D13" s="168"/>
      <c r="E13" s="182">
        <v>0.114</v>
      </c>
      <c r="F13" s="174"/>
      <c r="G13" s="168"/>
      <c r="H13" s="117">
        <v>1.5702</v>
      </c>
      <c r="I13" s="174"/>
    </row>
    <row r="14" spans="4:9" ht="15">
      <c r="D14" s="168"/>
      <c r="E14" s="182">
        <v>0.03935294117647059</v>
      </c>
      <c r="F14" s="174"/>
      <c r="G14" s="168"/>
      <c r="H14" s="117">
        <v>0.004</v>
      </c>
      <c r="I14" s="174"/>
    </row>
    <row r="15" spans="4:9" ht="15">
      <c r="D15" s="168"/>
      <c r="E15" s="182">
        <v>0.34344444444444444</v>
      </c>
      <c r="F15" s="174"/>
      <c r="G15" s="168"/>
      <c r="H15" s="117">
        <v>0.021</v>
      </c>
      <c r="I15" s="174"/>
    </row>
    <row r="16" spans="4:9" ht="15">
      <c r="D16" s="168"/>
      <c r="E16" s="182">
        <v>0.028</v>
      </c>
      <c r="F16" s="174"/>
      <c r="G16" s="168"/>
      <c r="H16" s="117">
        <v>0.047</v>
      </c>
      <c r="I16" s="174"/>
    </row>
    <row r="17" spans="4:9" ht="15">
      <c r="D17" s="168"/>
      <c r="E17" s="182">
        <v>0.25799999999999995</v>
      </c>
      <c r="F17" s="174"/>
      <c r="G17" s="168"/>
      <c r="H17" s="117">
        <v>0.20800000000000002</v>
      </c>
      <c r="I17" s="174"/>
    </row>
    <row r="18" spans="4:9" ht="15">
      <c r="D18" s="168"/>
      <c r="E18" s="182"/>
      <c r="F18" s="174"/>
      <c r="G18" s="168"/>
      <c r="H18" s="117">
        <v>0.086</v>
      </c>
      <c r="I18" s="174"/>
    </row>
    <row r="19" spans="4:9" ht="15">
      <c r="D19" s="168"/>
      <c r="E19" s="182"/>
      <c r="F19" s="174"/>
      <c r="G19" s="168"/>
      <c r="H19" s="117">
        <v>0.197</v>
      </c>
      <c r="I19" s="174"/>
    </row>
    <row r="20" spans="4:9" ht="15">
      <c r="D20" s="168"/>
      <c r="E20" s="182"/>
      <c r="F20" s="174"/>
      <c r="G20" s="168"/>
      <c r="H20" s="117">
        <v>0.24</v>
      </c>
      <c r="I20" s="174"/>
    </row>
    <row r="21" spans="4:9" ht="15">
      <c r="D21" s="168"/>
      <c r="E21" s="182"/>
      <c r="F21" s="174"/>
      <c r="G21" s="168"/>
      <c r="H21" s="117">
        <v>1.76</v>
      </c>
      <c r="I21" s="174"/>
    </row>
    <row r="22" spans="4:9" ht="15">
      <c r="D22" s="168"/>
      <c r="E22" s="169"/>
      <c r="F22" s="174"/>
      <c r="G22" s="168"/>
      <c r="H22" s="117">
        <v>0.161</v>
      </c>
      <c r="I22" s="174"/>
    </row>
    <row r="23" spans="4:9" ht="15.75" thickBot="1">
      <c r="D23" s="168"/>
      <c r="E23" s="169"/>
      <c r="F23" s="174"/>
      <c r="G23" s="168"/>
      <c r="H23" s="117">
        <v>0.0462</v>
      </c>
      <c r="I23" s="174"/>
    </row>
    <row r="24" spans="4:9" ht="15">
      <c r="D24" s="145" t="s">
        <v>1145</v>
      </c>
      <c r="E24" s="146" t="s">
        <v>1146</v>
      </c>
      <c r="F24" s="147" t="s">
        <v>1279</v>
      </c>
      <c r="G24" s="145" t="s">
        <v>1145</v>
      </c>
      <c r="H24" s="146" t="s">
        <v>1146</v>
      </c>
      <c r="I24" s="147" t="s">
        <v>1279</v>
      </c>
    </row>
    <row r="25" spans="4:9" ht="15">
      <c r="D25" s="168"/>
      <c r="E25" s="153">
        <v>15.2</v>
      </c>
      <c r="F25" s="155">
        <f>MEDIAN(E25:E36)</f>
        <v>36.30770101925255</v>
      </c>
      <c r="G25" s="168"/>
      <c r="H25" s="153">
        <v>23</v>
      </c>
      <c r="I25" s="155">
        <f>MEDIAN(H25:H41)</f>
        <v>23</v>
      </c>
    </row>
    <row r="26" spans="4:9" ht="15">
      <c r="D26" s="168"/>
      <c r="E26" s="153">
        <v>46</v>
      </c>
      <c r="F26" s="174"/>
      <c r="G26" s="168"/>
      <c r="H26" s="153">
        <v>15.2</v>
      </c>
      <c r="I26" s="174"/>
    </row>
    <row r="27" spans="4:9" ht="15">
      <c r="D27" s="168"/>
      <c r="E27" s="153">
        <v>40.373612800943846</v>
      </c>
      <c r="F27" s="174"/>
      <c r="G27" s="168"/>
      <c r="H27" s="153">
        <v>46</v>
      </c>
      <c r="I27" s="174"/>
    </row>
    <row r="28" spans="4:9" ht="15">
      <c r="D28" s="168"/>
      <c r="E28" s="153">
        <v>5</v>
      </c>
      <c r="F28" s="174"/>
      <c r="G28" s="168"/>
      <c r="H28" s="153">
        <v>21</v>
      </c>
      <c r="I28" s="174"/>
    </row>
    <row r="29" spans="4:9" ht="15">
      <c r="D29" s="168"/>
      <c r="E29" s="153">
        <v>33</v>
      </c>
      <c r="F29" s="174"/>
      <c r="G29" s="168"/>
      <c r="H29" s="153">
        <v>7.8</v>
      </c>
      <c r="I29" s="174"/>
    </row>
    <row r="30" spans="4:9" ht="15">
      <c r="D30" s="168"/>
      <c r="E30" s="153">
        <v>36.615402038505096</v>
      </c>
      <c r="F30" s="174"/>
      <c r="G30" s="168"/>
      <c r="H30" s="153">
        <v>13.97</v>
      </c>
      <c r="I30" s="174"/>
    </row>
    <row r="31" spans="4:9" ht="15">
      <c r="D31" s="168"/>
      <c r="E31" s="153">
        <v>23</v>
      </c>
      <c r="F31" s="174"/>
      <c r="G31" s="168"/>
      <c r="H31" s="153">
        <v>33</v>
      </c>
      <c r="I31" s="174"/>
    </row>
    <row r="32" spans="4:9" ht="15">
      <c r="D32" s="168"/>
      <c r="E32" s="213">
        <v>24.4</v>
      </c>
      <c r="F32" s="174"/>
      <c r="G32" s="168"/>
      <c r="H32" s="153">
        <v>88</v>
      </c>
      <c r="I32" s="174"/>
    </row>
    <row r="33" spans="4:9" ht="15">
      <c r="D33" s="168"/>
      <c r="E33" s="153">
        <v>39</v>
      </c>
      <c r="F33" s="174"/>
      <c r="G33" s="168"/>
      <c r="H33" s="153">
        <v>23</v>
      </c>
      <c r="I33" s="174"/>
    </row>
    <row r="34" spans="4:9" ht="15">
      <c r="D34" s="168"/>
      <c r="E34" s="153">
        <v>88</v>
      </c>
      <c r="F34" s="174"/>
      <c r="G34" s="168"/>
      <c r="H34" s="153">
        <v>7</v>
      </c>
      <c r="I34" s="174"/>
    </row>
    <row r="35" spans="4:9" ht="15">
      <c r="D35" s="168"/>
      <c r="E35" s="153">
        <v>82</v>
      </c>
      <c r="F35" s="174"/>
      <c r="G35" s="168"/>
      <c r="H35" s="153">
        <v>45</v>
      </c>
      <c r="I35" s="174"/>
    </row>
    <row r="36" spans="4:12" s="183" customFormat="1" ht="15">
      <c r="D36" s="168"/>
      <c r="E36" s="153">
        <v>36</v>
      </c>
      <c r="F36" s="174"/>
      <c r="G36" s="168"/>
      <c r="H36" s="153">
        <v>24.4</v>
      </c>
      <c r="I36" s="174"/>
      <c r="L36" s="153"/>
    </row>
    <row r="37" spans="4:12" s="183" customFormat="1" ht="15">
      <c r="D37" s="168"/>
      <c r="E37" s="153"/>
      <c r="F37" s="174"/>
      <c r="G37" s="168"/>
      <c r="H37" s="153">
        <v>2</v>
      </c>
      <c r="I37" s="174"/>
      <c r="L37" s="153"/>
    </row>
    <row r="38" spans="4:12" s="183" customFormat="1" ht="15">
      <c r="D38" s="168"/>
      <c r="E38" s="153"/>
      <c r="F38" s="174"/>
      <c r="G38" s="168"/>
      <c r="H38" s="153">
        <v>77</v>
      </c>
      <c r="I38" s="174"/>
      <c r="L38" s="153"/>
    </row>
    <row r="39" spans="4:12" s="183" customFormat="1" ht="15">
      <c r="D39" s="168"/>
      <c r="E39" s="153"/>
      <c r="F39" s="174"/>
      <c r="G39" s="168"/>
      <c r="H39" s="153">
        <v>9</v>
      </c>
      <c r="I39" s="174"/>
      <c r="L39" s="153"/>
    </row>
    <row r="40" spans="4:12" s="183" customFormat="1" ht="15">
      <c r="D40" s="168"/>
      <c r="E40" s="153"/>
      <c r="F40" s="174"/>
      <c r="G40" s="168"/>
      <c r="H40" s="153">
        <v>82</v>
      </c>
      <c r="I40" s="174"/>
      <c r="L40" s="153"/>
    </row>
    <row r="41" spans="4:12" s="183" customFormat="1" ht="15">
      <c r="D41" s="168"/>
      <c r="E41" s="153"/>
      <c r="F41" s="174"/>
      <c r="G41" s="168"/>
      <c r="H41" s="153">
        <v>2</v>
      </c>
      <c r="I41" s="174"/>
      <c r="L41" s="153"/>
    </row>
    <row r="42" spans="4:12" s="183" customFormat="1" ht="15.75" thickBot="1">
      <c r="D42" s="168"/>
      <c r="E42" s="153"/>
      <c r="F42" s="174"/>
      <c r="G42" s="168"/>
      <c r="I42" s="174"/>
      <c r="L42" s="153"/>
    </row>
    <row r="43" spans="4:9" ht="15">
      <c r="D43" s="145" t="s">
        <v>1147</v>
      </c>
      <c r="E43" s="152" t="s">
        <v>44</v>
      </c>
      <c r="F43" s="147" t="s">
        <v>1280</v>
      </c>
      <c r="G43" s="145" t="s">
        <v>1147</v>
      </c>
      <c r="H43" s="152" t="s">
        <v>44</v>
      </c>
      <c r="I43" s="147" t="s">
        <v>1280</v>
      </c>
    </row>
    <row r="44" spans="4:9" ht="15">
      <c r="D44" s="168"/>
      <c r="E44" s="153">
        <v>48</v>
      </c>
      <c r="F44" s="155">
        <f>MEDIAN(E44:E56)</f>
        <v>31.716874292185732</v>
      </c>
      <c r="G44" s="168"/>
      <c r="H44" s="153">
        <v>15</v>
      </c>
      <c r="I44" s="155">
        <f>MEDIAN(H44:H61)</f>
        <v>23.165</v>
      </c>
    </row>
    <row r="45" spans="4:9" ht="15">
      <c r="D45" s="168"/>
      <c r="E45" s="153">
        <v>20.579950595435612</v>
      </c>
      <c r="F45" s="174"/>
      <c r="G45" s="168"/>
      <c r="H45" s="153">
        <v>48</v>
      </c>
      <c r="I45" s="174"/>
    </row>
    <row r="46" spans="4:9" ht="15">
      <c r="D46" s="168"/>
      <c r="E46" s="153">
        <v>23</v>
      </c>
      <c r="F46" s="174"/>
      <c r="G46" s="168"/>
      <c r="H46" s="153">
        <v>13</v>
      </c>
      <c r="I46" s="174"/>
    </row>
    <row r="47" spans="4:9" ht="15">
      <c r="D47" s="168"/>
      <c r="E47" s="153">
        <v>78</v>
      </c>
      <c r="F47" s="174"/>
      <c r="G47" s="168"/>
      <c r="H47" s="153">
        <v>72</v>
      </c>
      <c r="I47" s="174"/>
    </row>
    <row r="48" spans="4:9" ht="15">
      <c r="D48" s="168"/>
      <c r="E48" s="153">
        <v>38</v>
      </c>
      <c r="F48" s="174"/>
      <c r="G48" s="168"/>
      <c r="H48" s="153">
        <v>12</v>
      </c>
      <c r="I48" s="174"/>
    </row>
    <row r="49" spans="4:9" ht="15">
      <c r="D49" s="168"/>
      <c r="E49" s="153">
        <v>31.716874292185732</v>
      </c>
      <c r="F49" s="174"/>
      <c r="G49" s="168"/>
      <c r="H49" s="153">
        <v>78</v>
      </c>
      <c r="I49" s="174"/>
    </row>
    <row r="50" spans="4:9" ht="15">
      <c r="D50" s="168"/>
      <c r="E50" s="153">
        <v>46.17825754680933</v>
      </c>
      <c r="F50" s="174"/>
      <c r="G50" s="168"/>
      <c r="H50" s="153">
        <v>38</v>
      </c>
      <c r="I50" s="174"/>
    </row>
    <row r="51" spans="4:9" ht="15">
      <c r="D51" s="168"/>
      <c r="E51" s="213">
        <v>17</v>
      </c>
      <c r="F51" s="174"/>
      <c r="G51" s="168"/>
      <c r="H51" s="153">
        <v>27</v>
      </c>
      <c r="I51" s="174"/>
    </row>
    <row r="52" spans="4:9" ht="15">
      <c r="D52" s="168"/>
      <c r="E52" s="153">
        <v>19.33</v>
      </c>
      <c r="F52" s="174"/>
      <c r="G52" s="168"/>
      <c r="H52" s="153">
        <v>46.17825754680933</v>
      </c>
      <c r="I52" s="174"/>
    </row>
    <row r="53" spans="4:9" ht="15">
      <c r="D53" s="168"/>
      <c r="E53" s="153">
        <v>7</v>
      </c>
      <c r="F53" s="174"/>
      <c r="G53" s="168"/>
      <c r="H53" s="153">
        <v>17</v>
      </c>
      <c r="I53" s="174"/>
    </row>
    <row r="54" spans="4:9" ht="15">
      <c r="D54" s="168"/>
      <c r="E54" s="153">
        <v>82</v>
      </c>
      <c r="F54" s="174"/>
      <c r="G54" s="168"/>
      <c r="H54" s="153">
        <v>5</v>
      </c>
      <c r="I54" s="174"/>
    </row>
    <row r="55" spans="4:9" ht="15">
      <c r="D55" s="168"/>
      <c r="E55" s="153">
        <v>79</v>
      </c>
      <c r="F55" s="174"/>
      <c r="G55" s="168"/>
      <c r="H55" s="153">
        <v>32</v>
      </c>
      <c r="I55" s="174"/>
    </row>
    <row r="56" spans="4:9" ht="15">
      <c r="D56" s="168"/>
      <c r="E56" s="153">
        <v>6</v>
      </c>
      <c r="F56" s="174"/>
      <c r="G56" s="168"/>
      <c r="H56" s="153">
        <v>19.33</v>
      </c>
      <c r="I56" s="174"/>
    </row>
    <row r="57" spans="4:9" ht="15">
      <c r="D57" s="168"/>
      <c r="E57" s="153"/>
      <c r="F57" s="174"/>
      <c r="G57" s="168"/>
      <c r="H57" s="153">
        <v>5</v>
      </c>
      <c r="I57" s="174"/>
    </row>
    <row r="58" spans="4:9" ht="15">
      <c r="D58" s="168"/>
      <c r="E58" s="153"/>
      <c r="F58" s="174"/>
      <c r="G58" s="168"/>
      <c r="H58" s="153">
        <v>56</v>
      </c>
      <c r="I58" s="174"/>
    </row>
    <row r="59" spans="4:9" ht="15">
      <c r="D59" s="168"/>
      <c r="E59" s="153"/>
      <c r="F59" s="174"/>
      <c r="G59" s="168"/>
      <c r="H59" s="153">
        <v>7</v>
      </c>
      <c r="I59" s="174"/>
    </row>
    <row r="60" spans="4:9" ht="15">
      <c r="D60" s="168"/>
      <c r="E60" s="153"/>
      <c r="F60" s="174"/>
      <c r="G60" s="168"/>
      <c r="H60" s="153">
        <v>73</v>
      </c>
      <c r="I60" s="174"/>
    </row>
    <row r="61" spans="4:9" ht="15.75" thickBot="1">
      <c r="D61" s="171"/>
      <c r="E61" s="154"/>
      <c r="F61" s="175"/>
      <c r="G61" s="171"/>
      <c r="H61" s="154">
        <v>5</v>
      </c>
      <c r="I61" s="175"/>
    </row>
  </sheetData>
  <sheetProtection/>
  <mergeCells count="3">
    <mergeCell ref="D2:F2"/>
    <mergeCell ref="G2:I2"/>
    <mergeCell ref="D1:I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W24"/>
  <sheetViews>
    <sheetView zoomScale="90" zoomScaleNormal="90" zoomScalePageLayoutView="0" workbookViewId="0" topLeftCell="A1">
      <pane xSplit="5" ySplit="3" topLeftCell="BN4" activePane="bottomRight" state="frozen"/>
      <selection pane="topLeft" activeCell="A1" sqref="A1"/>
      <selection pane="topRight" activeCell="F1" sqref="F1"/>
      <selection pane="bottomLeft" activeCell="A3" sqref="A3"/>
      <selection pane="bottomRight" activeCell="A1" sqref="A1"/>
    </sheetView>
  </sheetViews>
  <sheetFormatPr defaultColWidth="11.421875" defaultRowHeight="15"/>
  <cols>
    <col min="1" max="4" width="11.421875" style="2" customWidth="1"/>
    <col min="5" max="5" width="30.28125" style="2" customWidth="1"/>
    <col min="6" max="6" width="15.140625" style="2" hidden="1" customWidth="1"/>
    <col min="7" max="7" width="18.00390625" style="2" hidden="1" customWidth="1"/>
    <col min="8" max="8" width="11.421875" style="2" hidden="1" customWidth="1"/>
    <col min="9" max="9" width="15.7109375" style="2" hidden="1" customWidth="1"/>
    <col min="10" max="10" width="11.421875" style="2" hidden="1" customWidth="1"/>
    <col min="11" max="11" width="14.00390625" style="2" hidden="1" customWidth="1"/>
    <col min="12" max="12" width="14.140625" style="2" hidden="1" customWidth="1"/>
    <col min="13" max="13" width="11.421875" style="2" hidden="1" customWidth="1"/>
    <col min="14" max="14" width="14.28125" style="2" hidden="1" customWidth="1"/>
    <col min="15" max="15" width="15.421875" style="2" hidden="1" customWidth="1"/>
    <col min="16" max="16" width="11.421875" style="2" hidden="1" customWidth="1"/>
    <col min="17" max="18" width="15.7109375" style="2" hidden="1" customWidth="1"/>
    <col min="19" max="19" width="48.57421875" style="2" hidden="1" customWidth="1"/>
    <col min="20" max="25" width="11.421875" style="2" hidden="1" customWidth="1"/>
    <col min="26" max="26" width="15.421875" style="2" hidden="1" customWidth="1"/>
    <col min="27" max="27" width="15.140625" style="2" hidden="1" customWidth="1"/>
    <col min="28" max="29" width="11.421875" style="2" hidden="1" customWidth="1"/>
    <col min="30" max="30" width="48.57421875" style="2" hidden="1" customWidth="1"/>
    <col min="31" max="36" width="11.421875" style="2" hidden="1" customWidth="1"/>
    <col min="37" max="37" width="15.421875" style="2" hidden="1" customWidth="1"/>
    <col min="38" max="38" width="15.140625" style="2" hidden="1" customWidth="1"/>
    <col min="39" max="40" width="11.421875" style="2" hidden="1" customWidth="1"/>
    <col min="41" max="41" width="16.140625" style="2" hidden="1" customWidth="1"/>
    <col min="42" max="43" width="11.421875" style="2" hidden="1" customWidth="1"/>
    <col min="44" max="45" width="11.421875" style="12" customWidth="1"/>
    <col min="46" max="63" width="11.421875" style="2" customWidth="1"/>
    <col min="64" max="64" width="13.421875" style="2" customWidth="1"/>
    <col min="65" max="65" width="15.28125" style="2" customWidth="1"/>
    <col min="66" max="16384" width="11.421875" style="2" customWidth="1"/>
  </cols>
  <sheetData>
    <row r="1" spans="5:75" ht="31.5" customHeight="1" thickBot="1">
      <c r="E1" s="225"/>
      <c r="S1" s="349" t="s">
        <v>1138</v>
      </c>
      <c r="T1" s="350"/>
      <c r="U1" s="350"/>
      <c r="V1" s="350"/>
      <c r="W1" s="350"/>
      <c r="X1" s="350"/>
      <c r="Y1" s="350"/>
      <c r="Z1" s="350"/>
      <c r="AA1" s="350"/>
      <c r="AB1" s="350"/>
      <c r="AC1" s="351"/>
      <c r="AD1" s="349">
        <v>2020</v>
      </c>
      <c r="AE1" s="350"/>
      <c r="AF1" s="350"/>
      <c r="AG1" s="350"/>
      <c r="AH1" s="350"/>
      <c r="AI1" s="350"/>
      <c r="AJ1" s="350"/>
      <c r="AK1" s="350"/>
      <c r="AL1" s="350"/>
      <c r="AM1" s="350"/>
      <c r="AN1" s="351"/>
      <c r="AO1" s="355" t="s">
        <v>1134</v>
      </c>
      <c r="AP1" s="356"/>
      <c r="AQ1" s="357"/>
      <c r="AR1" s="352" t="s">
        <v>1304</v>
      </c>
      <c r="AS1" s="353"/>
      <c r="AT1" s="353"/>
      <c r="AU1" s="353"/>
      <c r="AV1" s="353"/>
      <c r="AW1" s="353"/>
      <c r="AX1" s="353"/>
      <c r="AY1" s="353"/>
      <c r="AZ1" s="353"/>
      <c r="BA1" s="354"/>
      <c r="BB1" s="343" t="s">
        <v>1141</v>
      </c>
      <c r="BC1" s="344"/>
      <c r="BD1" s="344"/>
      <c r="BE1" s="344"/>
      <c r="BF1" s="344"/>
      <c r="BG1" s="344"/>
      <c r="BH1" s="344"/>
      <c r="BI1" s="344"/>
      <c r="BJ1" s="344"/>
      <c r="BK1" s="345"/>
      <c r="BL1" s="360" t="s">
        <v>1285</v>
      </c>
      <c r="BM1" s="361"/>
      <c r="BN1" s="362" t="s">
        <v>1283</v>
      </c>
      <c r="BO1" s="363"/>
      <c r="BP1" s="363"/>
      <c r="BQ1" s="363"/>
      <c r="BR1" s="363"/>
      <c r="BS1" s="363"/>
      <c r="BT1" s="363"/>
      <c r="BU1" s="363"/>
      <c r="BV1" s="363"/>
      <c r="BW1" s="364"/>
    </row>
    <row r="2" spans="1:75" ht="15" customHeight="1">
      <c r="A2" s="281" t="s">
        <v>0</v>
      </c>
      <c r="B2" s="281" t="s">
        <v>18</v>
      </c>
      <c r="C2" s="281" t="s">
        <v>327</v>
      </c>
      <c r="D2" s="307" t="s">
        <v>40</v>
      </c>
      <c r="E2" s="302" t="s">
        <v>1</v>
      </c>
      <c r="F2" s="308" t="s">
        <v>2</v>
      </c>
      <c r="G2" s="281" t="s">
        <v>3</v>
      </c>
      <c r="H2" s="281" t="s">
        <v>4</v>
      </c>
      <c r="I2" s="281"/>
      <c r="J2" s="281"/>
      <c r="K2" s="281"/>
      <c r="L2" s="281"/>
      <c r="M2" s="281"/>
      <c r="N2" s="281"/>
      <c r="O2" s="281" t="s">
        <v>41</v>
      </c>
      <c r="P2" s="281" t="s">
        <v>42</v>
      </c>
      <c r="Q2" s="281" t="s">
        <v>43</v>
      </c>
      <c r="R2" s="281"/>
      <c r="S2" s="249" t="s">
        <v>1301</v>
      </c>
      <c r="T2" s="233" t="s">
        <v>111</v>
      </c>
      <c r="U2" s="233" t="s">
        <v>44</v>
      </c>
      <c r="V2" s="233" t="s">
        <v>45</v>
      </c>
      <c r="W2" s="233" t="s">
        <v>52</v>
      </c>
      <c r="X2" s="233" t="s">
        <v>112</v>
      </c>
      <c r="Y2" s="233" t="s">
        <v>46</v>
      </c>
      <c r="Z2" s="237" t="s">
        <v>47</v>
      </c>
      <c r="AA2" s="237" t="s">
        <v>48</v>
      </c>
      <c r="AB2" s="275" t="s">
        <v>113</v>
      </c>
      <c r="AC2" s="275" t="s">
        <v>49</v>
      </c>
      <c r="AD2" s="249" t="s">
        <v>1302</v>
      </c>
      <c r="AE2" s="233" t="s">
        <v>111</v>
      </c>
      <c r="AF2" s="233" t="s">
        <v>44</v>
      </c>
      <c r="AG2" s="233" t="s">
        <v>45</v>
      </c>
      <c r="AH2" s="233" t="s">
        <v>52</v>
      </c>
      <c r="AI2" s="233" t="s">
        <v>112</v>
      </c>
      <c r="AJ2" s="233" t="s">
        <v>46</v>
      </c>
      <c r="AK2" s="237" t="s">
        <v>47</v>
      </c>
      <c r="AL2" s="237" t="s">
        <v>48</v>
      </c>
      <c r="AM2" s="275" t="s">
        <v>113</v>
      </c>
      <c r="AN2" s="277" t="s">
        <v>49</v>
      </c>
      <c r="AO2" s="279" t="s">
        <v>1135</v>
      </c>
      <c r="AP2" s="233" t="s">
        <v>111</v>
      </c>
      <c r="AQ2" s="233" t="s">
        <v>1136</v>
      </c>
      <c r="AR2" s="275" t="s">
        <v>111</v>
      </c>
      <c r="AS2" s="275" t="s">
        <v>44</v>
      </c>
      <c r="AT2" s="233" t="s">
        <v>45</v>
      </c>
      <c r="AU2" s="233" t="s">
        <v>52</v>
      </c>
      <c r="AV2" s="233" t="s">
        <v>112</v>
      </c>
      <c r="AW2" s="233" t="s">
        <v>46</v>
      </c>
      <c r="AX2" s="237" t="s">
        <v>47</v>
      </c>
      <c r="AY2" s="237" t="s">
        <v>48</v>
      </c>
      <c r="AZ2" s="275" t="s">
        <v>113</v>
      </c>
      <c r="BA2" s="275" t="s">
        <v>49</v>
      </c>
      <c r="BB2" s="233" t="s">
        <v>111</v>
      </c>
      <c r="BC2" s="233" t="s">
        <v>44</v>
      </c>
      <c r="BD2" s="233" t="s">
        <v>45</v>
      </c>
      <c r="BE2" s="233" t="s">
        <v>52</v>
      </c>
      <c r="BF2" s="233" t="s">
        <v>112</v>
      </c>
      <c r="BG2" s="233" t="s">
        <v>46</v>
      </c>
      <c r="BH2" s="237" t="s">
        <v>47</v>
      </c>
      <c r="BI2" s="237" t="s">
        <v>48</v>
      </c>
      <c r="BJ2" s="275" t="s">
        <v>113</v>
      </c>
      <c r="BK2" s="275" t="s">
        <v>49</v>
      </c>
      <c r="BL2" s="293" t="s">
        <v>1284</v>
      </c>
      <c r="BM2" s="293" t="s">
        <v>49</v>
      </c>
      <c r="BN2" s="316">
        <v>2021</v>
      </c>
      <c r="BO2" s="316"/>
      <c r="BP2" s="316">
        <v>2022</v>
      </c>
      <c r="BQ2" s="316"/>
      <c r="BR2" s="316">
        <v>2023</v>
      </c>
      <c r="BS2" s="316"/>
      <c r="BT2" s="316">
        <v>2024</v>
      </c>
      <c r="BU2" s="316"/>
      <c r="BV2" s="316">
        <v>2025</v>
      </c>
      <c r="BW2" s="316"/>
    </row>
    <row r="3" spans="1:75" ht="49.5" customHeight="1">
      <c r="A3" s="281"/>
      <c r="B3" s="281"/>
      <c r="C3" s="281"/>
      <c r="D3" s="307"/>
      <c r="E3" s="249"/>
      <c r="F3" s="308"/>
      <c r="G3" s="281"/>
      <c r="H3" s="67" t="s">
        <v>5</v>
      </c>
      <c r="I3" s="67" t="s">
        <v>6</v>
      </c>
      <c r="J3" s="67" t="s">
        <v>7</v>
      </c>
      <c r="K3" s="67" t="s">
        <v>562</v>
      </c>
      <c r="L3" s="67" t="s">
        <v>563</v>
      </c>
      <c r="M3" s="67" t="s">
        <v>8</v>
      </c>
      <c r="N3" s="67" t="s">
        <v>9</v>
      </c>
      <c r="O3" s="281"/>
      <c r="P3" s="281"/>
      <c r="Q3" s="67" t="s">
        <v>53</v>
      </c>
      <c r="R3" s="67" t="s">
        <v>54</v>
      </c>
      <c r="S3" s="281"/>
      <c r="T3" s="234"/>
      <c r="U3" s="234" t="s">
        <v>44</v>
      </c>
      <c r="V3" s="234" t="s">
        <v>45</v>
      </c>
      <c r="W3" s="234" t="s">
        <v>45</v>
      </c>
      <c r="X3" s="234" t="s">
        <v>112</v>
      </c>
      <c r="Y3" s="234" t="s">
        <v>46</v>
      </c>
      <c r="Z3" s="238" t="s">
        <v>47</v>
      </c>
      <c r="AA3" s="238" t="s">
        <v>48</v>
      </c>
      <c r="AB3" s="276" t="s">
        <v>113</v>
      </c>
      <c r="AC3" s="276" t="s">
        <v>49</v>
      </c>
      <c r="AD3" s="281"/>
      <c r="AE3" s="234"/>
      <c r="AF3" s="234" t="s">
        <v>44</v>
      </c>
      <c r="AG3" s="234" t="s">
        <v>45</v>
      </c>
      <c r="AH3" s="234" t="s">
        <v>45</v>
      </c>
      <c r="AI3" s="234" t="s">
        <v>112</v>
      </c>
      <c r="AJ3" s="234" t="s">
        <v>46</v>
      </c>
      <c r="AK3" s="238" t="s">
        <v>47</v>
      </c>
      <c r="AL3" s="238" t="s">
        <v>48</v>
      </c>
      <c r="AM3" s="276" t="s">
        <v>113</v>
      </c>
      <c r="AN3" s="278" t="s">
        <v>49</v>
      </c>
      <c r="AO3" s="280"/>
      <c r="AP3" s="234"/>
      <c r="AQ3" s="234" t="s">
        <v>44</v>
      </c>
      <c r="AR3" s="276"/>
      <c r="AS3" s="276" t="s">
        <v>44</v>
      </c>
      <c r="AT3" s="234" t="s">
        <v>45</v>
      </c>
      <c r="AU3" s="234" t="s">
        <v>45</v>
      </c>
      <c r="AV3" s="234" t="s">
        <v>112</v>
      </c>
      <c r="AW3" s="234" t="s">
        <v>46</v>
      </c>
      <c r="AX3" s="238" t="s">
        <v>47</v>
      </c>
      <c r="AY3" s="238" t="s">
        <v>48</v>
      </c>
      <c r="AZ3" s="276" t="s">
        <v>113</v>
      </c>
      <c r="BA3" s="276" t="s">
        <v>49</v>
      </c>
      <c r="BB3" s="234"/>
      <c r="BC3" s="234" t="s">
        <v>44</v>
      </c>
      <c r="BD3" s="234" t="s">
        <v>45</v>
      </c>
      <c r="BE3" s="234" t="s">
        <v>45</v>
      </c>
      <c r="BF3" s="234" t="s">
        <v>112</v>
      </c>
      <c r="BG3" s="234" t="s">
        <v>46</v>
      </c>
      <c r="BH3" s="238" t="s">
        <v>47</v>
      </c>
      <c r="BI3" s="238" t="s">
        <v>48</v>
      </c>
      <c r="BJ3" s="276" t="s">
        <v>113</v>
      </c>
      <c r="BK3" s="276" t="s">
        <v>49</v>
      </c>
      <c r="BL3" s="294"/>
      <c r="BM3" s="294"/>
      <c r="BN3" s="204" t="s">
        <v>1284</v>
      </c>
      <c r="BO3" s="204" t="s">
        <v>1300</v>
      </c>
      <c r="BP3" s="204" t="s">
        <v>1284</v>
      </c>
      <c r="BQ3" s="204" t="s">
        <v>49</v>
      </c>
      <c r="BR3" s="204" t="s">
        <v>1284</v>
      </c>
      <c r="BS3" s="204" t="s">
        <v>49</v>
      </c>
      <c r="BT3" s="204" t="s">
        <v>1284</v>
      </c>
      <c r="BU3" s="204" t="s">
        <v>49</v>
      </c>
      <c r="BV3" s="204" t="s">
        <v>1284</v>
      </c>
      <c r="BW3" s="204" t="s">
        <v>49</v>
      </c>
    </row>
    <row r="4" spans="1:75" ht="51">
      <c r="A4" s="4">
        <v>158</v>
      </c>
      <c r="B4" s="4" t="s">
        <v>246</v>
      </c>
      <c r="C4" s="4" t="s">
        <v>246</v>
      </c>
      <c r="D4" s="4">
        <v>2</v>
      </c>
      <c r="E4" s="4" t="s">
        <v>263</v>
      </c>
      <c r="F4" s="4" t="s">
        <v>377</v>
      </c>
      <c r="G4" s="8" t="s">
        <v>21</v>
      </c>
      <c r="H4" s="9" t="s">
        <v>11</v>
      </c>
      <c r="I4" s="9" t="s">
        <v>67</v>
      </c>
      <c r="J4" s="9" t="s">
        <v>67</v>
      </c>
      <c r="K4" s="9" t="s">
        <v>67</v>
      </c>
      <c r="L4" s="9" t="s">
        <v>67</v>
      </c>
      <c r="M4" s="9" t="s">
        <v>67</v>
      </c>
      <c r="N4" s="9" t="s">
        <v>67</v>
      </c>
      <c r="O4" s="8" t="s">
        <v>264</v>
      </c>
      <c r="P4" s="4" t="s">
        <v>265</v>
      </c>
      <c r="Q4" s="5" t="s">
        <v>815</v>
      </c>
      <c r="R4" s="5" t="s">
        <v>968</v>
      </c>
      <c r="S4" s="161" t="s">
        <v>1223</v>
      </c>
      <c r="T4" s="8">
        <v>4520</v>
      </c>
      <c r="U4" s="8">
        <v>924</v>
      </c>
      <c r="V4" s="31">
        <v>20.813333333333336</v>
      </c>
      <c r="W4" s="8">
        <v>24</v>
      </c>
      <c r="X4" s="31"/>
      <c r="Y4" s="31"/>
      <c r="Z4" s="159">
        <v>30</v>
      </c>
      <c r="AA4" s="159">
        <v>12</v>
      </c>
      <c r="AB4" s="160">
        <v>3173504.315593846</v>
      </c>
      <c r="AC4" s="160">
        <v>629248.825993846</v>
      </c>
      <c r="AD4" s="4" t="s">
        <v>1127</v>
      </c>
      <c r="AE4" s="8">
        <v>3011.5</v>
      </c>
      <c r="AF4" s="8">
        <v>652.5</v>
      </c>
      <c r="AG4" s="111">
        <v>23.313333333333333</v>
      </c>
      <c r="AH4" s="8">
        <v>24</v>
      </c>
      <c r="AI4" s="31">
        <v>5676.611161846152</v>
      </c>
      <c r="AJ4" s="31">
        <v>1433.8007058461544</v>
      </c>
      <c r="AK4" s="8">
        <v>30</v>
      </c>
      <c r="AL4" s="8">
        <v>12</v>
      </c>
      <c r="AM4" s="60">
        <f>AI4*AL4*AK4</f>
        <v>2043580.0182646147</v>
      </c>
      <c r="AN4" s="88">
        <f>AJ4*AK4*AL4</f>
        <v>516168.25410461554</v>
      </c>
      <c r="AO4" s="199" t="s">
        <v>1293</v>
      </c>
      <c r="AP4" s="199" t="s">
        <v>1288</v>
      </c>
      <c r="AQ4" s="199" t="s">
        <v>1289</v>
      </c>
      <c r="AR4" s="212"/>
      <c r="AS4" s="212"/>
      <c r="AT4" s="137">
        <f>AVERAGE(V4,AG4)</f>
        <v>22.063333333333333</v>
      </c>
      <c r="AU4" s="89"/>
      <c r="AV4" s="89"/>
      <c r="AW4" s="89"/>
      <c r="AX4" s="89"/>
      <c r="AY4" s="89"/>
      <c r="AZ4" s="89"/>
      <c r="BA4" s="89"/>
      <c r="BB4" s="130">
        <v>100</v>
      </c>
      <c r="BC4" s="130">
        <v>250</v>
      </c>
      <c r="BD4" s="137">
        <f>AT4</f>
        <v>22.063333333333333</v>
      </c>
      <c r="BE4" s="130">
        <v>24</v>
      </c>
      <c r="BF4" s="125">
        <f>BD4*BB4*BE4*0.0036</f>
        <v>190.62719999999996</v>
      </c>
      <c r="BG4" s="125">
        <f>BD4*BC4*BE4*0.0036</f>
        <v>476.568</v>
      </c>
      <c r="BH4" s="130">
        <v>30</v>
      </c>
      <c r="BI4" s="130">
        <v>12</v>
      </c>
      <c r="BJ4" s="142">
        <f>BF4*BH4*BI4</f>
        <v>68625.79199999999</v>
      </c>
      <c r="BK4" s="142">
        <f>BG4*BH4*BI4</f>
        <v>171564.47999999998</v>
      </c>
      <c r="BL4" s="142">
        <f>BJ4</f>
        <v>68625.79199999999</v>
      </c>
      <c r="BM4" s="142">
        <f>BK4</f>
        <v>171564.47999999998</v>
      </c>
      <c r="BN4" s="197">
        <f>ROUNDUP(BL4,-3)</f>
        <v>69000</v>
      </c>
      <c r="BO4" s="197">
        <f>ROUNDUP(BM4,-3)</f>
        <v>172000</v>
      </c>
      <c r="BP4" s="197">
        <f>BN4</f>
        <v>69000</v>
      </c>
      <c r="BQ4" s="197">
        <f>BO4</f>
        <v>172000</v>
      </c>
      <c r="BR4" s="197">
        <f>BN4</f>
        <v>69000</v>
      </c>
      <c r="BS4" s="197">
        <f>BO4</f>
        <v>172000</v>
      </c>
      <c r="BT4" s="197">
        <f>BN4</f>
        <v>69000</v>
      </c>
      <c r="BU4" s="197">
        <f>BO4</f>
        <v>172000</v>
      </c>
      <c r="BV4" s="197">
        <f>BN4</f>
        <v>69000</v>
      </c>
      <c r="BW4" s="197">
        <f>BO4</f>
        <v>172000</v>
      </c>
    </row>
    <row r="5" spans="1:75" ht="80.25" customHeight="1">
      <c r="A5" s="5">
        <v>159</v>
      </c>
      <c r="B5" s="11" t="s">
        <v>266</v>
      </c>
      <c r="C5" s="5" t="s">
        <v>246</v>
      </c>
      <c r="D5" s="5">
        <v>2</v>
      </c>
      <c r="E5" s="11" t="s">
        <v>267</v>
      </c>
      <c r="F5" s="11" t="s">
        <v>284</v>
      </c>
      <c r="G5" s="11" t="s">
        <v>341</v>
      </c>
      <c r="H5" s="5" t="s">
        <v>11</v>
      </c>
      <c r="I5" s="26" t="s">
        <v>67</v>
      </c>
      <c r="J5" s="26" t="s">
        <v>67</v>
      </c>
      <c r="K5" s="26" t="s">
        <v>67</v>
      </c>
      <c r="L5" s="26" t="s">
        <v>67</v>
      </c>
      <c r="M5" s="26" t="s">
        <v>67</v>
      </c>
      <c r="N5" s="26" t="s">
        <v>67</v>
      </c>
      <c r="O5" s="5" t="s">
        <v>264</v>
      </c>
      <c r="P5" s="5" t="s">
        <v>55</v>
      </c>
      <c r="Q5" s="5" t="s">
        <v>816</v>
      </c>
      <c r="R5" s="5" t="s">
        <v>969</v>
      </c>
      <c r="S5" s="11" t="s">
        <v>1224</v>
      </c>
      <c r="T5" s="5">
        <v>159</v>
      </c>
      <c r="U5" s="5">
        <v>177</v>
      </c>
      <c r="V5" s="5">
        <v>1.6</v>
      </c>
      <c r="W5" s="5">
        <v>24</v>
      </c>
      <c r="X5" s="162">
        <f>V5*T5*W5*0.0036</f>
        <v>21.98016</v>
      </c>
      <c r="Y5" s="162">
        <f>V5*U5*W5*0.0036</f>
        <v>24.468479999999996</v>
      </c>
      <c r="Z5" s="95">
        <v>30</v>
      </c>
      <c r="AA5" s="95">
        <v>12</v>
      </c>
      <c r="AB5" s="163">
        <f aca="true" t="shared" si="0" ref="AB5:AB11">X5*Z5*AA5</f>
        <v>7912.8576</v>
      </c>
      <c r="AC5" s="163">
        <f aca="true" t="shared" si="1" ref="AC5:AC11">Y5*Z5*AA5</f>
        <v>8808.652799999998</v>
      </c>
      <c r="AD5" s="11" t="s">
        <v>508</v>
      </c>
      <c r="AE5" s="5">
        <v>159</v>
      </c>
      <c r="AF5" s="5">
        <v>177</v>
      </c>
      <c r="AG5" s="5">
        <v>1.6</v>
      </c>
      <c r="AH5" s="5">
        <v>24</v>
      </c>
      <c r="AI5" s="38">
        <f aca="true" t="shared" si="2" ref="AI5:AI20">AG5*AE5*AH5*0.0036</f>
        <v>21.98016</v>
      </c>
      <c r="AJ5" s="38">
        <f aca="true" t="shared" si="3" ref="AJ5:AJ20">AG5*AF5*AH5*0.0036</f>
        <v>24.468479999999996</v>
      </c>
      <c r="AK5" s="35">
        <v>30</v>
      </c>
      <c r="AL5" s="35">
        <v>12</v>
      </c>
      <c r="AM5" s="29">
        <f aca="true" t="shared" si="4" ref="AM5:AM20">AI5*AK5*AL5</f>
        <v>7912.8576</v>
      </c>
      <c r="AN5" s="81">
        <f aca="true" t="shared" si="5" ref="AN5:AN20">AJ5*AK5*AL5</f>
        <v>8808.652799999998</v>
      </c>
      <c r="AO5" s="91" t="s">
        <v>1292</v>
      </c>
      <c r="AP5" s="91" t="s">
        <v>1230</v>
      </c>
      <c r="AQ5" s="91" t="s">
        <v>1231</v>
      </c>
      <c r="AR5" s="212"/>
      <c r="AS5" s="212"/>
      <c r="AT5" s="137">
        <f aca="true" t="shared" si="6" ref="AT5:AT20">AVERAGE(V5,AG5)</f>
        <v>1.6</v>
      </c>
      <c r="AU5" s="89"/>
      <c r="AV5" s="89"/>
      <c r="AW5" s="89"/>
      <c r="AX5" s="89"/>
      <c r="AY5" s="89"/>
      <c r="AZ5" s="89"/>
      <c r="BA5" s="89"/>
      <c r="BB5" s="130">
        <v>90</v>
      </c>
      <c r="BC5" s="130">
        <v>90</v>
      </c>
      <c r="BD5" s="137">
        <f aca="true" t="shared" si="7" ref="BD5:BD20">AT5</f>
        <v>1.6</v>
      </c>
      <c r="BE5" s="130">
        <v>24</v>
      </c>
      <c r="BF5" s="125">
        <f aca="true" t="shared" si="8" ref="BF5:BF20">BD5*BB5*BE5*0.0036</f>
        <v>12.4416</v>
      </c>
      <c r="BG5" s="125">
        <f aca="true" t="shared" si="9" ref="BG5:BG20">BD5*BC5*BE5*0.0036</f>
        <v>12.4416</v>
      </c>
      <c r="BH5" s="130">
        <v>30</v>
      </c>
      <c r="BI5" s="130">
        <v>12</v>
      </c>
      <c r="BJ5" s="142">
        <f aca="true" t="shared" si="10" ref="BJ5:BJ20">BF5*BH5*BI5</f>
        <v>4478.976</v>
      </c>
      <c r="BK5" s="142">
        <f aca="true" t="shared" si="11" ref="BK5:BK20">BG5*BH5*BI5</f>
        <v>4478.976</v>
      </c>
      <c r="BL5" s="142">
        <f>BJ5</f>
        <v>4478.976</v>
      </c>
      <c r="BM5" s="142">
        <f>BK5</f>
        <v>4478.976</v>
      </c>
      <c r="BN5" s="197">
        <f>ROUNDUP(BL5,-2)</f>
        <v>4500</v>
      </c>
      <c r="BO5" s="197">
        <f>ROUNDUP(BM5,-2)</f>
        <v>4500</v>
      </c>
      <c r="BP5" s="197">
        <f>BN5</f>
        <v>4500</v>
      </c>
      <c r="BQ5" s="197">
        <f>BO5</f>
        <v>4500</v>
      </c>
      <c r="BR5" s="197">
        <f>BN5</f>
        <v>4500</v>
      </c>
      <c r="BS5" s="197">
        <f>BO5</f>
        <v>4500</v>
      </c>
      <c r="BT5" s="197">
        <f>BN5</f>
        <v>4500</v>
      </c>
      <c r="BU5" s="197">
        <f>BO5</f>
        <v>4500</v>
      </c>
      <c r="BV5" s="197">
        <f>BN5</f>
        <v>4500</v>
      </c>
      <c r="BW5" s="197">
        <f>BO5</f>
        <v>4500</v>
      </c>
    </row>
    <row r="6" spans="1:75" ht="91.5" customHeight="1">
      <c r="A6" s="5">
        <v>160</v>
      </c>
      <c r="B6" s="5" t="s">
        <v>246</v>
      </c>
      <c r="C6" s="5" t="s">
        <v>246</v>
      </c>
      <c r="D6" s="5">
        <v>3</v>
      </c>
      <c r="E6" s="4" t="s">
        <v>268</v>
      </c>
      <c r="F6" s="5" t="s">
        <v>285</v>
      </c>
      <c r="G6" s="11" t="s">
        <v>269</v>
      </c>
      <c r="H6" s="5" t="s">
        <v>11</v>
      </c>
      <c r="I6" s="26" t="s">
        <v>67</v>
      </c>
      <c r="J6" s="26" t="s">
        <v>67</v>
      </c>
      <c r="K6" s="26" t="s">
        <v>67</v>
      </c>
      <c r="L6" s="26" t="s">
        <v>67</v>
      </c>
      <c r="M6" s="26" t="s">
        <v>67</v>
      </c>
      <c r="N6" s="26" t="s">
        <v>67</v>
      </c>
      <c r="O6" s="4" t="s">
        <v>51</v>
      </c>
      <c r="P6" s="5" t="s">
        <v>55</v>
      </c>
      <c r="Q6" s="5" t="s">
        <v>367</v>
      </c>
      <c r="R6" s="5" t="s">
        <v>970</v>
      </c>
      <c r="S6" s="11" t="s">
        <v>1225</v>
      </c>
      <c r="T6" s="5">
        <v>8.73</v>
      </c>
      <c r="U6" s="5">
        <v>64</v>
      </c>
      <c r="V6" s="164">
        <f>3.89/9</f>
        <v>0.43222222222222223</v>
      </c>
      <c r="W6" s="5">
        <v>12</v>
      </c>
      <c r="X6" s="165">
        <f>V6*T6*W6*0.0036</f>
        <v>0.16300656</v>
      </c>
      <c r="Y6" s="165">
        <f>V6*U6*W6*0.0036</f>
        <v>1.1950079999999998</v>
      </c>
      <c r="Z6" s="35">
        <v>30</v>
      </c>
      <c r="AA6" s="35">
        <v>12</v>
      </c>
      <c r="AB6" s="29">
        <f t="shared" si="0"/>
        <v>58.6823616</v>
      </c>
      <c r="AC6" s="29">
        <f t="shared" si="1"/>
        <v>430.20287999999994</v>
      </c>
      <c r="AD6" s="4" t="s">
        <v>1128</v>
      </c>
      <c r="AE6" s="36">
        <v>30</v>
      </c>
      <c r="AF6" s="5">
        <v>28</v>
      </c>
      <c r="AG6" s="34">
        <v>0.0838238095238095</v>
      </c>
      <c r="AH6" s="5">
        <v>12</v>
      </c>
      <c r="AI6" s="38">
        <f t="shared" si="2"/>
        <v>0.1086356571428571</v>
      </c>
      <c r="AJ6" s="38">
        <f t="shared" si="3"/>
        <v>0.10139327999999996</v>
      </c>
      <c r="AK6" s="35">
        <v>30</v>
      </c>
      <c r="AL6" s="35">
        <v>12</v>
      </c>
      <c r="AM6" s="29">
        <f t="shared" si="4"/>
        <v>39.108836571428554</v>
      </c>
      <c r="AN6" s="81">
        <f t="shared" si="5"/>
        <v>36.501580799999985</v>
      </c>
      <c r="AO6" s="201" t="s">
        <v>1292</v>
      </c>
      <c r="AP6" s="130">
        <v>30</v>
      </c>
      <c r="AQ6" s="130">
        <v>140</v>
      </c>
      <c r="AR6" s="29">
        <f>(AE6*AG6+T6*V6)/(V6+AG6)</f>
        <v>12.184987188912025</v>
      </c>
      <c r="AS6" s="29">
        <f>(U6*V6+AF6*AG6)/(V6+AG6)</f>
        <v>58.15234890452126</v>
      </c>
      <c r="AT6" s="137">
        <f t="shared" si="6"/>
        <v>0.25802301587301585</v>
      </c>
      <c r="AU6" s="198">
        <v>12</v>
      </c>
      <c r="AV6" s="164">
        <f>AT6*AR6*AU6*0.0036</f>
        <v>0.13582110857142857</v>
      </c>
      <c r="AW6" s="164">
        <f>AT6*AS6*AU6*0.0036</f>
        <v>0.64820064</v>
      </c>
      <c r="AX6" s="5">
        <v>30</v>
      </c>
      <c r="AY6" s="5">
        <v>12</v>
      </c>
      <c r="AZ6" s="164">
        <f>AV6*AX6*AY6</f>
        <v>48.89559908571428</v>
      </c>
      <c r="BA6" s="164">
        <f>AW6*AX6*AY6</f>
        <v>233.3522304</v>
      </c>
      <c r="BB6" s="130">
        <f>+AP6</f>
        <v>30</v>
      </c>
      <c r="BC6" s="202">
        <f>+AQ6</f>
        <v>140</v>
      </c>
      <c r="BD6" s="137">
        <f t="shared" si="7"/>
        <v>0.25802301587301585</v>
      </c>
      <c r="BE6" s="130">
        <v>12</v>
      </c>
      <c r="BF6" s="125">
        <f t="shared" si="8"/>
        <v>0.3343978285714285</v>
      </c>
      <c r="BG6" s="125">
        <f t="shared" si="9"/>
        <v>1.5605231999999998</v>
      </c>
      <c r="BH6" s="130">
        <v>30</v>
      </c>
      <c r="BI6" s="130">
        <v>12</v>
      </c>
      <c r="BJ6" s="142">
        <f t="shared" si="10"/>
        <v>120.38321828571426</v>
      </c>
      <c r="BK6" s="142">
        <f t="shared" si="11"/>
        <v>561.7883519999999</v>
      </c>
      <c r="BL6" s="136">
        <f>AVERAGE(AZ6,BJ6)</f>
        <v>84.63940868571427</v>
      </c>
      <c r="BM6" s="136">
        <f>AVERAGE(BA6,BK6)</f>
        <v>397.57029119999993</v>
      </c>
      <c r="BN6" s="197">
        <f aca="true" t="shared" si="12" ref="BN6:BQ7">ROUNDUP(BJ6,-1)</f>
        <v>130</v>
      </c>
      <c r="BO6" s="197">
        <f t="shared" si="12"/>
        <v>570</v>
      </c>
      <c r="BP6" s="197">
        <f t="shared" si="12"/>
        <v>90</v>
      </c>
      <c r="BQ6" s="197">
        <f t="shared" si="12"/>
        <v>400</v>
      </c>
      <c r="BR6" s="197">
        <f>BP6</f>
        <v>90</v>
      </c>
      <c r="BS6" s="197">
        <f>BQ6</f>
        <v>400</v>
      </c>
      <c r="BT6" s="197">
        <f aca="true" t="shared" si="13" ref="BT6:BV7">BP6</f>
        <v>90</v>
      </c>
      <c r="BU6" s="197">
        <f t="shared" si="13"/>
        <v>400</v>
      </c>
      <c r="BV6" s="197">
        <f t="shared" si="13"/>
        <v>90</v>
      </c>
      <c r="BW6" s="197">
        <f>BQ6</f>
        <v>400</v>
      </c>
    </row>
    <row r="7" spans="1:75" s="20" customFormat="1" ht="29.25" customHeight="1">
      <c r="A7" s="258">
        <v>161</v>
      </c>
      <c r="B7" s="8" t="s">
        <v>245</v>
      </c>
      <c r="C7" s="244" t="s">
        <v>246</v>
      </c>
      <c r="D7" s="244">
        <v>3</v>
      </c>
      <c r="E7" s="258" t="s">
        <v>247</v>
      </c>
      <c r="F7" s="246" t="s">
        <v>373</v>
      </c>
      <c r="G7" s="244" t="s">
        <v>248</v>
      </c>
      <c r="H7" s="244" t="s">
        <v>11</v>
      </c>
      <c r="I7" s="244"/>
      <c r="J7" s="359"/>
      <c r="K7" s="359"/>
      <c r="L7" s="359"/>
      <c r="M7" s="258"/>
      <c r="N7" s="258"/>
      <c r="O7" s="5" t="s">
        <v>51</v>
      </c>
      <c r="P7" s="5" t="s">
        <v>249</v>
      </c>
      <c r="Q7" s="4" t="s">
        <v>355</v>
      </c>
      <c r="R7" s="4" t="s">
        <v>971</v>
      </c>
      <c r="S7" s="258" t="s">
        <v>1226</v>
      </c>
      <c r="T7" s="78">
        <v>2</v>
      </c>
      <c r="U7" s="78">
        <v>26</v>
      </c>
      <c r="V7" s="166">
        <v>2.738</v>
      </c>
      <c r="W7" s="78">
        <v>3</v>
      </c>
      <c r="X7" s="32">
        <f aca="true" t="shared" si="14" ref="X7:X20">V7*T7*W7*0.0036</f>
        <v>0.0591408</v>
      </c>
      <c r="Y7" s="32">
        <f aca="true" t="shared" si="15" ref="Y7:Y18">V7*U7*W7*0.0036</f>
        <v>0.7688304</v>
      </c>
      <c r="Z7" s="78">
        <v>15</v>
      </c>
      <c r="AA7" s="35">
        <v>12</v>
      </c>
      <c r="AB7" s="33">
        <f t="shared" si="0"/>
        <v>10.645344</v>
      </c>
      <c r="AC7" s="33">
        <f t="shared" si="1"/>
        <v>138.389472</v>
      </c>
      <c r="AD7" s="258" t="s">
        <v>1129</v>
      </c>
      <c r="AE7" s="8">
        <v>5</v>
      </c>
      <c r="AF7" s="8">
        <v>37</v>
      </c>
      <c r="AG7" s="7">
        <v>0.171</v>
      </c>
      <c r="AH7" s="8">
        <v>3</v>
      </c>
      <c r="AI7" s="7">
        <f t="shared" si="2"/>
        <v>0.009234000000000001</v>
      </c>
      <c r="AJ7" s="7">
        <f t="shared" si="3"/>
        <v>0.0683316</v>
      </c>
      <c r="AK7" s="78">
        <v>15</v>
      </c>
      <c r="AL7" s="8">
        <v>12</v>
      </c>
      <c r="AM7" s="13">
        <f t="shared" si="4"/>
        <v>1.6621200000000003</v>
      </c>
      <c r="AN7" s="80">
        <f t="shared" si="5"/>
        <v>12.299688</v>
      </c>
      <c r="AO7" s="130" t="s">
        <v>1142</v>
      </c>
      <c r="AP7" s="130">
        <v>50</v>
      </c>
      <c r="AQ7" s="130">
        <v>50</v>
      </c>
      <c r="AR7" s="29">
        <f>(AE7*AG7+T7*V7)/(V7+AG7)</f>
        <v>2.176349260914404</v>
      </c>
      <c r="AS7" s="29">
        <f>(U7*V7+AF7*AG7)/(V7+AG7)</f>
        <v>26.64661395668615</v>
      </c>
      <c r="AT7" s="137">
        <f t="shared" si="6"/>
        <v>1.4545</v>
      </c>
      <c r="AU7" s="5">
        <v>3</v>
      </c>
      <c r="AV7" s="164">
        <f>AT7*AR7*AU7*0.0036</f>
        <v>0.0341874</v>
      </c>
      <c r="AW7" s="164">
        <f>AT7*AS7*AU7*0.0036</f>
        <v>0.41858100000000004</v>
      </c>
      <c r="AX7" s="78">
        <v>15</v>
      </c>
      <c r="AY7" s="5">
        <v>12</v>
      </c>
      <c r="AZ7" s="164">
        <f>AV7*AX7*AY7</f>
        <v>6.153732</v>
      </c>
      <c r="BA7" s="164">
        <f>AW7*AX7*AY7</f>
        <v>75.34458000000001</v>
      </c>
      <c r="BB7" s="130">
        <v>50</v>
      </c>
      <c r="BC7" s="130">
        <v>50</v>
      </c>
      <c r="BD7" s="137">
        <f t="shared" si="7"/>
        <v>1.4545</v>
      </c>
      <c r="BE7" s="5">
        <v>3</v>
      </c>
      <c r="BF7" s="125">
        <f t="shared" si="8"/>
        <v>0.78543</v>
      </c>
      <c r="BG7" s="125">
        <f t="shared" si="9"/>
        <v>0.78543</v>
      </c>
      <c r="BH7" s="78">
        <v>15</v>
      </c>
      <c r="BI7" s="130">
        <v>12</v>
      </c>
      <c r="BJ7" s="142">
        <f t="shared" si="10"/>
        <v>141.3774</v>
      </c>
      <c r="BK7" s="142">
        <f t="shared" si="11"/>
        <v>141.3774</v>
      </c>
      <c r="BL7" s="136">
        <f aca="true" t="shared" si="16" ref="BL7:BL20">AVERAGE(AZ7,BJ7)</f>
        <v>73.76556599999999</v>
      </c>
      <c r="BM7" s="136">
        <f aca="true" t="shared" si="17" ref="BM7:BM20">AVERAGE(BA7,BK7)</f>
        <v>108.36099</v>
      </c>
      <c r="BN7" s="197">
        <f t="shared" si="12"/>
        <v>150</v>
      </c>
      <c r="BO7" s="197">
        <f t="shared" si="12"/>
        <v>150</v>
      </c>
      <c r="BP7" s="197">
        <f t="shared" si="12"/>
        <v>80</v>
      </c>
      <c r="BQ7" s="197">
        <f t="shared" si="12"/>
        <v>110</v>
      </c>
      <c r="BR7" s="197">
        <f>BP7</f>
        <v>80</v>
      </c>
      <c r="BS7" s="197">
        <f>BQ7</f>
        <v>110</v>
      </c>
      <c r="BT7" s="197">
        <f t="shared" si="13"/>
        <v>80</v>
      </c>
      <c r="BU7" s="197">
        <f t="shared" si="13"/>
        <v>110</v>
      </c>
      <c r="BV7" s="197">
        <f t="shared" si="13"/>
        <v>80</v>
      </c>
      <c r="BW7" s="197">
        <f>BQ7</f>
        <v>110</v>
      </c>
    </row>
    <row r="8" spans="1:75" s="20" customFormat="1" ht="27.75" customHeight="1">
      <c r="A8" s="258"/>
      <c r="B8" s="8" t="s">
        <v>250</v>
      </c>
      <c r="C8" s="244"/>
      <c r="D8" s="244"/>
      <c r="E8" s="258"/>
      <c r="F8" s="244"/>
      <c r="G8" s="244"/>
      <c r="H8" s="244"/>
      <c r="I8" s="244"/>
      <c r="J8" s="359"/>
      <c r="K8" s="359"/>
      <c r="L8" s="359"/>
      <c r="M8" s="258"/>
      <c r="N8" s="258"/>
      <c r="O8" s="5" t="s">
        <v>51</v>
      </c>
      <c r="P8" s="5" t="s">
        <v>251</v>
      </c>
      <c r="Q8" s="4" t="s">
        <v>356</v>
      </c>
      <c r="R8" s="4" t="s">
        <v>972</v>
      </c>
      <c r="S8" s="258"/>
      <c r="T8" s="8">
        <v>3.6</v>
      </c>
      <c r="U8" s="124">
        <f>'Standarización ladrilleras'!$C$17</f>
        <v>26</v>
      </c>
      <c r="V8" s="111">
        <v>2.537</v>
      </c>
      <c r="W8" s="8">
        <v>3</v>
      </c>
      <c r="X8" s="32">
        <f t="shared" si="14"/>
        <v>0.09863856</v>
      </c>
      <c r="Y8" s="32">
        <f t="shared" si="15"/>
        <v>0.7123896000000001</v>
      </c>
      <c r="Z8" s="78">
        <v>15</v>
      </c>
      <c r="AA8" s="35">
        <v>12</v>
      </c>
      <c r="AB8" s="33">
        <f t="shared" si="0"/>
        <v>17.7549408</v>
      </c>
      <c r="AC8" s="33">
        <f t="shared" si="1"/>
        <v>128.230128</v>
      </c>
      <c r="AD8" s="258"/>
      <c r="AE8" s="8">
        <v>5</v>
      </c>
      <c r="AF8" s="124">
        <f>'Standarización ladrilleras'!$F$17</f>
        <v>41.5</v>
      </c>
      <c r="AG8" s="7">
        <v>0.1</v>
      </c>
      <c r="AH8" s="8">
        <v>3</v>
      </c>
      <c r="AI8" s="7">
        <f t="shared" si="2"/>
        <v>0.0054</v>
      </c>
      <c r="AJ8" s="7">
        <f t="shared" si="3"/>
        <v>0.044820000000000006</v>
      </c>
      <c r="AK8" s="78">
        <v>15</v>
      </c>
      <c r="AL8" s="44">
        <v>12</v>
      </c>
      <c r="AM8" s="13">
        <f t="shared" si="4"/>
        <v>0.972</v>
      </c>
      <c r="AN8" s="80">
        <f t="shared" si="5"/>
        <v>8.067600000000002</v>
      </c>
      <c r="AO8" s="130" t="s">
        <v>1142</v>
      </c>
      <c r="AP8" s="130">
        <v>50</v>
      </c>
      <c r="AQ8" s="130">
        <v>50</v>
      </c>
      <c r="AR8" s="29">
        <f aca="true" t="shared" si="18" ref="AR8:AR20">(AE8*AG8+T8*V8)/(V8+AG8)</f>
        <v>3.6530906332954114</v>
      </c>
      <c r="AS8" s="29">
        <f aca="true" t="shared" si="19" ref="AS8:AS20">(U8*V8+AF8*AG8)/(V8+AG8)</f>
        <v>26.587789154342058</v>
      </c>
      <c r="AT8" s="137">
        <f t="shared" si="6"/>
        <v>1.3185</v>
      </c>
      <c r="AU8" s="5">
        <v>3</v>
      </c>
      <c r="AV8" s="164">
        <f aca="true" t="shared" si="20" ref="AV8:AV20">AT8*AR8*AU8*0.0036</f>
        <v>0.05201928</v>
      </c>
      <c r="AW8" s="164">
        <f aca="true" t="shared" si="21" ref="AW8:AW20">AT8*AS8*AU8*0.0036</f>
        <v>0.3786048</v>
      </c>
      <c r="AX8" s="78">
        <v>15</v>
      </c>
      <c r="AY8" s="5">
        <v>12</v>
      </c>
      <c r="AZ8" s="164">
        <f aca="true" t="shared" si="22" ref="AZ8:AZ20">AV8*AX8*AY8</f>
        <v>9.3634704</v>
      </c>
      <c r="BA8" s="164">
        <f aca="true" t="shared" si="23" ref="BA8:BA20">AW8*AX8*AY8</f>
        <v>68.148864</v>
      </c>
      <c r="BB8" s="130">
        <v>50</v>
      </c>
      <c r="BC8" s="130">
        <v>50</v>
      </c>
      <c r="BD8" s="137">
        <f t="shared" si="7"/>
        <v>1.3185</v>
      </c>
      <c r="BE8" s="5">
        <v>3</v>
      </c>
      <c r="BF8" s="125">
        <f t="shared" si="8"/>
        <v>0.7119899999999999</v>
      </c>
      <c r="BG8" s="125">
        <f t="shared" si="9"/>
        <v>0.7119899999999999</v>
      </c>
      <c r="BH8" s="78">
        <v>15</v>
      </c>
      <c r="BI8" s="130">
        <v>12</v>
      </c>
      <c r="BJ8" s="142">
        <f t="shared" si="10"/>
        <v>128.15819999999997</v>
      </c>
      <c r="BK8" s="142">
        <f t="shared" si="11"/>
        <v>128.15819999999997</v>
      </c>
      <c r="BL8" s="136">
        <f t="shared" si="16"/>
        <v>68.76083519999999</v>
      </c>
      <c r="BM8" s="136">
        <f t="shared" si="17"/>
        <v>98.15353199999998</v>
      </c>
      <c r="BN8" s="197">
        <f aca="true" t="shared" si="24" ref="BN8:BN20">ROUNDUP(BJ8,-1)</f>
        <v>130</v>
      </c>
      <c r="BO8" s="197">
        <f aca="true" t="shared" si="25" ref="BO8:BO20">ROUNDUP(BK8,-1)</f>
        <v>130</v>
      </c>
      <c r="BP8" s="197">
        <f aca="true" t="shared" si="26" ref="BP8:BP20">ROUNDUP(BL8,-1)</f>
        <v>70</v>
      </c>
      <c r="BQ8" s="197">
        <f aca="true" t="shared" si="27" ref="BQ8:BQ20">ROUNDUP(BM8,-1)</f>
        <v>100</v>
      </c>
      <c r="BR8" s="197">
        <f aca="true" t="shared" si="28" ref="BR8:BR20">BP8</f>
        <v>70</v>
      </c>
      <c r="BS8" s="197">
        <f aca="true" t="shared" si="29" ref="BS8:BS20">BQ8</f>
        <v>100</v>
      </c>
      <c r="BT8" s="197">
        <f aca="true" t="shared" si="30" ref="BT8:BT20">BP8</f>
        <v>70</v>
      </c>
      <c r="BU8" s="197">
        <f aca="true" t="shared" si="31" ref="BU8:BU20">BQ8</f>
        <v>100</v>
      </c>
      <c r="BV8" s="197">
        <f aca="true" t="shared" si="32" ref="BV8:BV20">BR8</f>
        <v>70</v>
      </c>
      <c r="BW8" s="197">
        <f aca="true" t="shared" si="33" ref="BW8:BW20">BQ8</f>
        <v>100</v>
      </c>
    </row>
    <row r="9" spans="1:75" s="20" customFormat="1" ht="29.25" customHeight="1">
      <c r="A9" s="258"/>
      <c r="B9" s="8" t="s">
        <v>252</v>
      </c>
      <c r="C9" s="244"/>
      <c r="D9" s="244"/>
      <c r="E9" s="258"/>
      <c r="F9" s="244"/>
      <c r="G9" s="244"/>
      <c r="H9" s="244"/>
      <c r="I9" s="244"/>
      <c r="J9" s="359"/>
      <c r="K9" s="359"/>
      <c r="L9" s="359"/>
      <c r="M9" s="258"/>
      <c r="N9" s="258"/>
      <c r="O9" s="5" t="s">
        <v>51</v>
      </c>
      <c r="P9" s="5" t="s">
        <v>254</v>
      </c>
      <c r="Q9" s="4" t="s">
        <v>357</v>
      </c>
      <c r="R9" s="4" t="s">
        <v>973</v>
      </c>
      <c r="S9" s="258"/>
      <c r="T9" s="5">
        <v>1.94</v>
      </c>
      <c r="U9" s="124">
        <f>'Standarización ladrilleras'!$C$17</f>
        <v>26</v>
      </c>
      <c r="V9" s="164">
        <f>((0.025+0.023+0.025+0.025+0.025+0.025+0.025)/7)</f>
        <v>0.024714285714285713</v>
      </c>
      <c r="W9" s="5">
        <v>3</v>
      </c>
      <c r="X9" s="32">
        <f t="shared" si="14"/>
        <v>0.0005178137142857141</v>
      </c>
      <c r="Y9" s="32">
        <f t="shared" si="15"/>
        <v>0.006939771428571428</v>
      </c>
      <c r="Z9" s="78">
        <v>15</v>
      </c>
      <c r="AA9" s="35">
        <v>12</v>
      </c>
      <c r="AB9" s="163">
        <f t="shared" si="0"/>
        <v>0.09320646857142853</v>
      </c>
      <c r="AC9" s="163">
        <f t="shared" si="1"/>
        <v>1.2491588571428571</v>
      </c>
      <c r="AD9" s="258"/>
      <c r="AE9" s="36">
        <f>'Standarización ladrilleras'!$F$3</f>
        <v>5</v>
      </c>
      <c r="AF9" s="124">
        <f>'Standarización ladrilleras'!$F$17</f>
        <v>41.5</v>
      </c>
      <c r="AG9" s="34">
        <v>1.928</v>
      </c>
      <c r="AH9" s="5">
        <v>3</v>
      </c>
      <c r="AI9" s="7">
        <f t="shared" si="2"/>
        <v>0.10411200000000001</v>
      </c>
      <c r="AJ9" s="7">
        <f t="shared" si="3"/>
        <v>0.8641295999999999</v>
      </c>
      <c r="AK9" s="78">
        <v>15</v>
      </c>
      <c r="AL9" s="5">
        <v>12</v>
      </c>
      <c r="AM9" s="29">
        <f t="shared" si="4"/>
        <v>18.740160000000003</v>
      </c>
      <c r="AN9" s="81">
        <f t="shared" si="5"/>
        <v>155.54332799999997</v>
      </c>
      <c r="AO9" s="130" t="s">
        <v>1142</v>
      </c>
      <c r="AP9" s="130">
        <v>50</v>
      </c>
      <c r="AQ9" s="130">
        <v>50</v>
      </c>
      <c r="AR9" s="29">
        <f t="shared" si="18"/>
        <v>4.961271490233375</v>
      </c>
      <c r="AS9" s="29">
        <f t="shared" si="19"/>
        <v>41.30382617601873</v>
      </c>
      <c r="AT9" s="137">
        <f t="shared" si="6"/>
        <v>0.9763571428571428</v>
      </c>
      <c r="AU9" s="5">
        <v>3</v>
      </c>
      <c r="AV9" s="164">
        <f t="shared" si="20"/>
        <v>0.05231490685714286</v>
      </c>
      <c r="AW9" s="164">
        <f t="shared" si="21"/>
        <v>0.43553468571428566</v>
      </c>
      <c r="AX9" s="78">
        <v>15</v>
      </c>
      <c r="AY9" s="5">
        <v>12</v>
      </c>
      <c r="AZ9" s="164">
        <f t="shared" si="22"/>
        <v>9.416683234285713</v>
      </c>
      <c r="BA9" s="164">
        <f t="shared" si="23"/>
        <v>78.39624342857141</v>
      </c>
      <c r="BB9" s="130">
        <v>50</v>
      </c>
      <c r="BC9" s="130">
        <v>50</v>
      </c>
      <c r="BD9" s="137">
        <f t="shared" si="7"/>
        <v>0.9763571428571428</v>
      </c>
      <c r="BE9" s="5">
        <v>3</v>
      </c>
      <c r="BF9" s="125">
        <f t="shared" si="8"/>
        <v>0.5272328571428571</v>
      </c>
      <c r="BG9" s="125">
        <f t="shared" si="9"/>
        <v>0.5272328571428571</v>
      </c>
      <c r="BH9" s="78">
        <v>15</v>
      </c>
      <c r="BI9" s="130">
        <v>12</v>
      </c>
      <c r="BJ9" s="142">
        <f t="shared" si="10"/>
        <v>94.90191428571427</v>
      </c>
      <c r="BK9" s="142">
        <f t="shared" si="11"/>
        <v>94.90191428571427</v>
      </c>
      <c r="BL9" s="136">
        <f t="shared" si="16"/>
        <v>52.15929875999999</v>
      </c>
      <c r="BM9" s="136">
        <f t="shared" si="17"/>
        <v>86.64907885714284</v>
      </c>
      <c r="BN9" s="197">
        <f t="shared" si="24"/>
        <v>100</v>
      </c>
      <c r="BO9" s="197">
        <f t="shared" si="25"/>
        <v>100</v>
      </c>
      <c r="BP9" s="197">
        <f t="shared" si="26"/>
        <v>60</v>
      </c>
      <c r="BQ9" s="197">
        <f t="shared" si="27"/>
        <v>90</v>
      </c>
      <c r="BR9" s="197">
        <f t="shared" si="28"/>
        <v>60</v>
      </c>
      <c r="BS9" s="197">
        <f t="shared" si="29"/>
        <v>90</v>
      </c>
      <c r="BT9" s="197">
        <f t="shared" si="30"/>
        <v>60</v>
      </c>
      <c r="BU9" s="197">
        <f t="shared" si="31"/>
        <v>90</v>
      </c>
      <c r="BV9" s="197">
        <f t="shared" si="32"/>
        <v>60</v>
      </c>
      <c r="BW9" s="197">
        <f t="shared" si="33"/>
        <v>90</v>
      </c>
    </row>
    <row r="10" spans="1:75" s="20" customFormat="1" ht="23.25" customHeight="1">
      <c r="A10" s="258"/>
      <c r="B10" s="8" t="s">
        <v>255</v>
      </c>
      <c r="C10" s="244"/>
      <c r="D10" s="244"/>
      <c r="E10" s="258"/>
      <c r="F10" s="244"/>
      <c r="G10" s="244"/>
      <c r="H10" s="244"/>
      <c r="I10" s="244"/>
      <c r="J10" s="359"/>
      <c r="K10" s="359"/>
      <c r="L10" s="359"/>
      <c r="M10" s="258"/>
      <c r="N10" s="258"/>
      <c r="O10" s="5" t="s">
        <v>51</v>
      </c>
      <c r="P10" s="5" t="s">
        <v>256</v>
      </c>
      <c r="Q10" s="4" t="s">
        <v>358</v>
      </c>
      <c r="R10" s="4" t="s">
        <v>974</v>
      </c>
      <c r="S10" s="258"/>
      <c r="T10" s="5">
        <v>9.48</v>
      </c>
      <c r="U10" s="124">
        <f>'Standarización ladrilleras'!$C$17</f>
        <v>26</v>
      </c>
      <c r="V10" s="164">
        <f>((0.1675+0.1684+0.155+0.1666+0.109+0.1755+0.0603)/7)</f>
        <v>0.14318571428571428</v>
      </c>
      <c r="W10" s="5">
        <v>3</v>
      </c>
      <c r="X10" s="32">
        <f t="shared" si="14"/>
        <v>0.014659926171428573</v>
      </c>
      <c r="Y10" s="32">
        <f t="shared" si="15"/>
        <v>0.040206548571428566</v>
      </c>
      <c r="Z10" s="78">
        <v>15</v>
      </c>
      <c r="AA10" s="35">
        <v>12</v>
      </c>
      <c r="AB10" s="163">
        <f t="shared" si="0"/>
        <v>2.638786710857143</v>
      </c>
      <c r="AC10" s="163">
        <f t="shared" si="1"/>
        <v>7.237178742857141</v>
      </c>
      <c r="AD10" s="258"/>
      <c r="AE10" s="5">
        <v>39</v>
      </c>
      <c r="AF10" s="124">
        <f>'Standarización ladrilleras'!$F$17</f>
        <v>41.5</v>
      </c>
      <c r="AG10" s="34">
        <v>0.2</v>
      </c>
      <c r="AH10" s="5">
        <v>3</v>
      </c>
      <c r="AI10" s="7">
        <f t="shared" si="2"/>
        <v>0.08424000000000001</v>
      </c>
      <c r="AJ10" s="7">
        <f t="shared" si="3"/>
        <v>0.08964000000000001</v>
      </c>
      <c r="AK10" s="78">
        <v>15</v>
      </c>
      <c r="AL10" s="5">
        <v>12</v>
      </c>
      <c r="AM10" s="29">
        <f t="shared" si="4"/>
        <v>15.1632</v>
      </c>
      <c r="AN10" s="81">
        <f t="shared" si="5"/>
        <v>16.135200000000005</v>
      </c>
      <c r="AO10" s="130" t="s">
        <v>1142</v>
      </c>
      <c r="AP10" s="130">
        <v>50</v>
      </c>
      <c r="AQ10" s="130">
        <v>50</v>
      </c>
      <c r="AR10" s="29">
        <f t="shared" si="18"/>
        <v>26.683513299754402</v>
      </c>
      <c r="AS10" s="29">
        <f t="shared" si="19"/>
        <v>35.033010032052616</v>
      </c>
      <c r="AT10" s="137">
        <f t="shared" si="6"/>
        <v>0.17159285714285716</v>
      </c>
      <c r="AU10" s="5">
        <v>3</v>
      </c>
      <c r="AV10" s="164">
        <f t="shared" si="20"/>
        <v>0.04944996308571429</v>
      </c>
      <c r="AW10" s="164">
        <f t="shared" si="21"/>
        <v>0.06492327428571429</v>
      </c>
      <c r="AX10" s="78">
        <v>15</v>
      </c>
      <c r="AY10" s="5">
        <v>12</v>
      </c>
      <c r="AZ10" s="164">
        <f t="shared" si="22"/>
        <v>8.900993355428572</v>
      </c>
      <c r="BA10" s="164">
        <f t="shared" si="23"/>
        <v>11.686189371428572</v>
      </c>
      <c r="BB10" s="130">
        <v>50</v>
      </c>
      <c r="BC10" s="130">
        <v>50</v>
      </c>
      <c r="BD10" s="137">
        <f t="shared" si="7"/>
        <v>0.17159285714285716</v>
      </c>
      <c r="BE10" s="5">
        <v>3</v>
      </c>
      <c r="BF10" s="125">
        <f t="shared" si="8"/>
        <v>0.09266014285714286</v>
      </c>
      <c r="BG10" s="125">
        <f t="shared" si="9"/>
        <v>0.09266014285714286</v>
      </c>
      <c r="BH10" s="78">
        <v>15</v>
      </c>
      <c r="BI10" s="130">
        <v>12</v>
      </c>
      <c r="BJ10" s="142">
        <f t="shared" si="10"/>
        <v>16.678825714285715</v>
      </c>
      <c r="BK10" s="142">
        <f t="shared" si="11"/>
        <v>16.678825714285715</v>
      </c>
      <c r="BL10" s="136">
        <f t="shared" si="16"/>
        <v>12.789909534857143</v>
      </c>
      <c r="BM10" s="136">
        <f t="shared" si="17"/>
        <v>14.182507542857143</v>
      </c>
      <c r="BN10" s="197">
        <f t="shared" si="24"/>
        <v>20</v>
      </c>
      <c r="BO10" s="197">
        <f t="shared" si="25"/>
        <v>20</v>
      </c>
      <c r="BP10" s="197">
        <f t="shared" si="26"/>
        <v>20</v>
      </c>
      <c r="BQ10" s="197">
        <f t="shared" si="27"/>
        <v>20</v>
      </c>
      <c r="BR10" s="197">
        <f t="shared" si="28"/>
        <v>20</v>
      </c>
      <c r="BS10" s="197">
        <f t="shared" si="29"/>
        <v>20</v>
      </c>
      <c r="BT10" s="197">
        <f t="shared" si="30"/>
        <v>20</v>
      </c>
      <c r="BU10" s="197">
        <f t="shared" si="31"/>
        <v>20</v>
      </c>
      <c r="BV10" s="197">
        <f t="shared" si="32"/>
        <v>20</v>
      </c>
      <c r="BW10" s="197">
        <f t="shared" si="33"/>
        <v>20</v>
      </c>
    </row>
    <row r="11" spans="1:75" s="20" customFormat="1" ht="26.25" customHeight="1">
      <c r="A11" s="258"/>
      <c r="B11" s="8" t="s">
        <v>255</v>
      </c>
      <c r="C11" s="244"/>
      <c r="D11" s="244"/>
      <c r="E11" s="258"/>
      <c r="F11" s="244"/>
      <c r="G11" s="244"/>
      <c r="H11" s="244"/>
      <c r="I11" s="244"/>
      <c r="J11" s="359"/>
      <c r="K11" s="359"/>
      <c r="L11" s="359"/>
      <c r="M11" s="258"/>
      <c r="N11" s="258"/>
      <c r="O11" s="5" t="s">
        <v>51</v>
      </c>
      <c r="P11" s="5" t="s">
        <v>257</v>
      </c>
      <c r="Q11" s="4" t="s">
        <v>359</v>
      </c>
      <c r="R11" s="4" t="s">
        <v>975</v>
      </c>
      <c r="S11" s="258"/>
      <c r="T11" s="5">
        <v>1.94</v>
      </c>
      <c r="U11" s="8">
        <v>28</v>
      </c>
      <c r="V11" s="164">
        <f>((0.029+0.024+0.024+0.03+0.044+0.071+0.121)/7)</f>
        <v>0.049</v>
      </c>
      <c r="W11" s="5">
        <v>3</v>
      </c>
      <c r="X11" s="32">
        <f t="shared" si="14"/>
        <v>0.001026648</v>
      </c>
      <c r="Y11" s="32">
        <f t="shared" si="15"/>
        <v>0.014817600000000002</v>
      </c>
      <c r="Z11" s="78">
        <v>15</v>
      </c>
      <c r="AA11" s="35">
        <v>12</v>
      </c>
      <c r="AB11" s="163">
        <f t="shared" si="0"/>
        <v>0.18479664</v>
      </c>
      <c r="AC11" s="163">
        <f t="shared" si="1"/>
        <v>2.667168</v>
      </c>
      <c r="AD11" s="258"/>
      <c r="AE11" s="5">
        <v>5</v>
      </c>
      <c r="AF11" s="124">
        <f>'Standarización ladrilleras'!$F$17</f>
        <v>41.5</v>
      </c>
      <c r="AG11" s="34">
        <v>0.26</v>
      </c>
      <c r="AH11" s="5">
        <v>3</v>
      </c>
      <c r="AI11" s="7">
        <f t="shared" si="2"/>
        <v>0.01404</v>
      </c>
      <c r="AJ11" s="7">
        <f t="shared" si="3"/>
        <v>0.11653200000000001</v>
      </c>
      <c r="AK11" s="78">
        <v>15</v>
      </c>
      <c r="AL11" s="5">
        <v>12</v>
      </c>
      <c r="AM11" s="29">
        <f t="shared" si="4"/>
        <v>2.5272</v>
      </c>
      <c r="AN11" s="81">
        <f t="shared" si="5"/>
        <v>20.97576</v>
      </c>
      <c r="AO11" s="130" t="s">
        <v>1142</v>
      </c>
      <c r="AP11" s="130">
        <v>50</v>
      </c>
      <c r="AQ11" s="130">
        <v>50</v>
      </c>
      <c r="AR11" s="29">
        <f t="shared" si="18"/>
        <v>4.514757281553398</v>
      </c>
      <c r="AS11" s="29">
        <f t="shared" si="19"/>
        <v>39.359223300970875</v>
      </c>
      <c r="AT11" s="137">
        <f t="shared" si="6"/>
        <v>0.1545</v>
      </c>
      <c r="AU11" s="5">
        <v>3</v>
      </c>
      <c r="AV11" s="164">
        <f t="shared" si="20"/>
        <v>0.007533323999999999</v>
      </c>
      <c r="AW11" s="164">
        <f t="shared" si="21"/>
        <v>0.0656748</v>
      </c>
      <c r="AX11" s="78">
        <v>15</v>
      </c>
      <c r="AY11" s="5">
        <v>12</v>
      </c>
      <c r="AZ11" s="164">
        <f t="shared" si="22"/>
        <v>1.3559983199999999</v>
      </c>
      <c r="BA11" s="164">
        <f t="shared" si="23"/>
        <v>11.821464</v>
      </c>
      <c r="BB11" s="130">
        <v>50</v>
      </c>
      <c r="BC11" s="130">
        <v>50</v>
      </c>
      <c r="BD11" s="137">
        <f t="shared" si="7"/>
        <v>0.1545</v>
      </c>
      <c r="BE11" s="5">
        <v>3</v>
      </c>
      <c r="BF11" s="125">
        <f t="shared" si="8"/>
        <v>0.08342999999999999</v>
      </c>
      <c r="BG11" s="125">
        <f t="shared" si="9"/>
        <v>0.08342999999999999</v>
      </c>
      <c r="BH11" s="78">
        <v>15</v>
      </c>
      <c r="BI11" s="130">
        <v>12</v>
      </c>
      <c r="BJ11" s="142">
        <f t="shared" si="10"/>
        <v>15.017399999999999</v>
      </c>
      <c r="BK11" s="142">
        <f t="shared" si="11"/>
        <v>15.017399999999999</v>
      </c>
      <c r="BL11" s="136">
        <f t="shared" si="16"/>
        <v>8.18669916</v>
      </c>
      <c r="BM11" s="136">
        <f t="shared" si="17"/>
        <v>13.419432</v>
      </c>
      <c r="BN11" s="197">
        <f t="shared" si="24"/>
        <v>20</v>
      </c>
      <c r="BO11" s="197">
        <f t="shared" si="25"/>
        <v>20</v>
      </c>
      <c r="BP11" s="197">
        <f t="shared" si="26"/>
        <v>10</v>
      </c>
      <c r="BQ11" s="197">
        <f t="shared" si="27"/>
        <v>20</v>
      </c>
      <c r="BR11" s="197">
        <f t="shared" si="28"/>
        <v>10</v>
      </c>
      <c r="BS11" s="197">
        <f t="shared" si="29"/>
        <v>20</v>
      </c>
      <c r="BT11" s="197">
        <f t="shared" si="30"/>
        <v>10</v>
      </c>
      <c r="BU11" s="197">
        <f t="shared" si="31"/>
        <v>20</v>
      </c>
      <c r="BV11" s="197">
        <f t="shared" si="32"/>
        <v>10</v>
      </c>
      <c r="BW11" s="197">
        <f t="shared" si="33"/>
        <v>20</v>
      </c>
    </row>
    <row r="12" spans="1:75" s="20" customFormat="1" ht="57" customHeight="1">
      <c r="A12" s="244">
        <v>162</v>
      </c>
      <c r="B12" s="244" t="s">
        <v>245</v>
      </c>
      <c r="C12" s="244" t="s">
        <v>246</v>
      </c>
      <c r="D12" s="244">
        <v>3</v>
      </c>
      <c r="E12" s="258" t="s">
        <v>258</v>
      </c>
      <c r="F12" s="246" t="s">
        <v>374</v>
      </c>
      <c r="G12" s="246" t="s">
        <v>461</v>
      </c>
      <c r="H12" s="246" t="s">
        <v>486</v>
      </c>
      <c r="I12" s="246" t="s">
        <v>527</v>
      </c>
      <c r="J12" s="358">
        <v>42472</v>
      </c>
      <c r="K12" s="243" t="s">
        <v>10</v>
      </c>
      <c r="L12" s="243" t="s">
        <v>10</v>
      </c>
      <c r="M12" s="243" t="s">
        <v>74</v>
      </c>
      <c r="N12" s="243">
        <v>2021</v>
      </c>
      <c r="O12" s="5" t="s">
        <v>51</v>
      </c>
      <c r="P12" s="5" t="s">
        <v>259</v>
      </c>
      <c r="Q12" s="8" t="s">
        <v>360</v>
      </c>
      <c r="R12" s="8" t="s">
        <v>976</v>
      </c>
      <c r="S12" s="346" t="s">
        <v>1227</v>
      </c>
      <c r="T12" s="8">
        <v>4.5</v>
      </c>
      <c r="U12" s="124">
        <f>'Standarización ladrilleras'!$C$17</f>
        <v>26</v>
      </c>
      <c r="V12" s="111">
        <v>0.402</v>
      </c>
      <c r="W12" s="8">
        <v>3</v>
      </c>
      <c r="X12" s="32">
        <f t="shared" si="14"/>
        <v>0.0195372</v>
      </c>
      <c r="Y12" s="32">
        <f t="shared" si="15"/>
        <v>0.1128816</v>
      </c>
      <c r="Z12" s="78">
        <v>15</v>
      </c>
      <c r="AA12" s="35">
        <v>12</v>
      </c>
      <c r="AB12" s="13">
        <f aca="true" t="shared" si="34" ref="AB12:AB20">X12*Z12*AA12</f>
        <v>3.5166960000000005</v>
      </c>
      <c r="AC12" s="13">
        <f aca="true" t="shared" si="35" ref="AC12:AC20">Y12*Z12*AA12</f>
        <v>20.318688</v>
      </c>
      <c r="AD12" s="258" t="s">
        <v>1130</v>
      </c>
      <c r="AE12" s="5">
        <v>5</v>
      </c>
      <c r="AF12" s="5">
        <v>47</v>
      </c>
      <c r="AG12" s="34">
        <v>0.053</v>
      </c>
      <c r="AH12" s="8">
        <v>3</v>
      </c>
      <c r="AI12" s="7">
        <f t="shared" si="2"/>
        <v>0.002862</v>
      </c>
      <c r="AJ12" s="7">
        <f t="shared" si="3"/>
        <v>0.0269028</v>
      </c>
      <c r="AK12" s="78">
        <v>15</v>
      </c>
      <c r="AL12" s="8">
        <v>12</v>
      </c>
      <c r="AM12" s="13">
        <f t="shared" si="4"/>
        <v>0.51516</v>
      </c>
      <c r="AN12" s="80">
        <f t="shared" si="5"/>
        <v>4.842504</v>
      </c>
      <c r="AO12" s="130" t="s">
        <v>1142</v>
      </c>
      <c r="AP12" s="130">
        <v>50</v>
      </c>
      <c r="AQ12" s="130">
        <v>50</v>
      </c>
      <c r="AR12" s="29">
        <f t="shared" si="18"/>
        <v>4.558241758241759</v>
      </c>
      <c r="AS12" s="29">
        <f t="shared" si="19"/>
        <v>28.446153846153845</v>
      </c>
      <c r="AT12" s="137">
        <f t="shared" si="6"/>
        <v>0.2275</v>
      </c>
      <c r="AU12" s="5">
        <v>3</v>
      </c>
      <c r="AV12" s="164">
        <f t="shared" si="20"/>
        <v>0.011199600000000002</v>
      </c>
      <c r="AW12" s="164">
        <f t="shared" si="21"/>
        <v>0.0698922</v>
      </c>
      <c r="AX12" s="78">
        <v>15</v>
      </c>
      <c r="AY12" s="5">
        <v>12</v>
      </c>
      <c r="AZ12" s="164">
        <f t="shared" si="22"/>
        <v>2.0159280000000006</v>
      </c>
      <c r="BA12" s="164">
        <f t="shared" si="23"/>
        <v>12.580596</v>
      </c>
      <c r="BB12" s="130">
        <v>50</v>
      </c>
      <c r="BC12" s="130">
        <v>50</v>
      </c>
      <c r="BD12" s="137">
        <f t="shared" si="7"/>
        <v>0.2275</v>
      </c>
      <c r="BE12" s="5">
        <v>3</v>
      </c>
      <c r="BF12" s="125">
        <f t="shared" si="8"/>
        <v>0.12285</v>
      </c>
      <c r="BG12" s="125">
        <f t="shared" si="9"/>
        <v>0.12285</v>
      </c>
      <c r="BH12" s="78">
        <v>15</v>
      </c>
      <c r="BI12" s="130">
        <v>12</v>
      </c>
      <c r="BJ12" s="142">
        <f t="shared" si="10"/>
        <v>22.113</v>
      </c>
      <c r="BK12" s="142">
        <f t="shared" si="11"/>
        <v>22.113</v>
      </c>
      <c r="BL12" s="136">
        <f t="shared" si="16"/>
        <v>12.064464000000001</v>
      </c>
      <c r="BM12" s="136">
        <f t="shared" si="17"/>
        <v>17.346798</v>
      </c>
      <c r="BN12" s="197">
        <f t="shared" si="24"/>
        <v>30</v>
      </c>
      <c r="BO12" s="197">
        <f t="shared" si="25"/>
        <v>30</v>
      </c>
      <c r="BP12" s="197">
        <f t="shared" si="26"/>
        <v>20</v>
      </c>
      <c r="BQ12" s="197">
        <f t="shared" si="27"/>
        <v>20</v>
      </c>
      <c r="BR12" s="197">
        <f t="shared" si="28"/>
        <v>20</v>
      </c>
      <c r="BS12" s="197">
        <f t="shared" si="29"/>
        <v>20</v>
      </c>
      <c r="BT12" s="197">
        <f t="shared" si="30"/>
        <v>20</v>
      </c>
      <c r="BU12" s="197">
        <f t="shared" si="31"/>
        <v>20</v>
      </c>
      <c r="BV12" s="197">
        <f t="shared" si="32"/>
        <v>20</v>
      </c>
      <c r="BW12" s="197">
        <f t="shared" si="33"/>
        <v>20</v>
      </c>
    </row>
    <row r="13" spans="1:75" s="20" customFormat="1" ht="36" customHeight="1">
      <c r="A13" s="244"/>
      <c r="B13" s="244"/>
      <c r="C13" s="244"/>
      <c r="D13" s="244"/>
      <c r="E13" s="258"/>
      <c r="F13" s="244"/>
      <c r="G13" s="246"/>
      <c r="H13" s="246"/>
      <c r="I13" s="246"/>
      <c r="J13" s="246"/>
      <c r="K13" s="243"/>
      <c r="L13" s="243"/>
      <c r="M13" s="243"/>
      <c r="N13" s="243"/>
      <c r="O13" s="5" t="s">
        <v>51</v>
      </c>
      <c r="P13" s="5" t="s">
        <v>251</v>
      </c>
      <c r="Q13" s="8" t="s">
        <v>361</v>
      </c>
      <c r="R13" s="8" t="s">
        <v>977</v>
      </c>
      <c r="S13" s="347"/>
      <c r="T13" s="8">
        <v>46.2</v>
      </c>
      <c r="U13" s="124">
        <f>'Standarización ladrilleras'!$C$17</f>
        <v>26</v>
      </c>
      <c r="V13" s="111">
        <f>((0.337+0.132+0.098+0.074+0.145+0.15+0.081)/7)</f>
        <v>0.1452857142857143</v>
      </c>
      <c r="W13" s="8">
        <v>3</v>
      </c>
      <c r="X13" s="32">
        <f t="shared" si="14"/>
        <v>0.07249176</v>
      </c>
      <c r="Y13" s="32">
        <f t="shared" si="15"/>
        <v>0.04079622857142857</v>
      </c>
      <c r="Z13" s="78">
        <v>15</v>
      </c>
      <c r="AA13" s="35">
        <v>12</v>
      </c>
      <c r="AB13" s="13">
        <f t="shared" si="34"/>
        <v>13.048516800000002</v>
      </c>
      <c r="AC13" s="13">
        <f t="shared" si="35"/>
        <v>7.343321142857142</v>
      </c>
      <c r="AD13" s="258"/>
      <c r="AE13" s="8">
        <v>46.2</v>
      </c>
      <c r="AF13" s="124">
        <f>'Standarización ladrilleras'!$F$17</f>
        <v>41.5</v>
      </c>
      <c r="AG13" s="7">
        <f>((0.337+0.132+0.098+0.074+0.145+0.15+0.081)/7)</f>
        <v>0.1452857142857143</v>
      </c>
      <c r="AH13" s="8">
        <v>3</v>
      </c>
      <c r="AI13" s="7">
        <f t="shared" si="2"/>
        <v>0.07249176</v>
      </c>
      <c r="AJ13" s="7">
        <f t="shared" si="3"/>
        <v>0.06511705714285713</v>
      </c>
      <c r="AK13" s="78">
        <v>15</v>
      </c>
      <c r="AL13" s="8">
        <v>12</v>
      </c>
      <c r="AM13" s="13">
        <f t="shared" si="4"/>
        <v>13.048516800000002</v>
      </c>
      <c r="AN13" s="80">
        <f t="shared" si="5"/>
        <v>11.721070285714285</v>
      </c>
      <c r="AO13" s="130" t="s">
        <v>1142</v>
      </c>
      <c r="AP13" s="130">
        <v>50</v>
      </c>
      <c r="AQ13" s="130">
        <v>50</v>
      </c>
      <c r="AR13" s="29">
        <f t="shared" si="18"/>
        <v>46.2</v>
      </c>
      <c r="AS13" s="29">
        <f t="shared" si="19"/>
        <v>33.75</v>
      </c>
      <c r="AT13" s="137">
        <f t="shared" si="6"/>
        <v>0.1452857142857143</v>
      </c>
      <c r="AU13" s="5">
        <v>3</v>
      </c>
      <c r="AV13" s="164">
        <f t="shared" si="20"/>
        <v>0.07249176</v>
      </c>
      <c r="AW13" s="164">
        <f t="shared" si="21"/>
        <v>0.052956642857142855</v>
      </c>
      <c r="AX13" s="78">
        <v>15</v>
      </c>
      <c r="AY13" s="5">
        <v>12</v>
      </c>
      <c r="AZ13" s="164">
        <f t="shared" si="22"/>
        <v>13.048516800000002</v>
      </c>
      <c r="BA13" s="164">
        <f t="shared" si="23"/>
        <v>9.532195714285713</v>
      </c>
      <c r="BB13" s="130">
        <v>50</v>
      </c>
      <c r="BC13" s="130">
        <v>50</v>
      </c>
      <c r="BD13" s="137">
        <f t="shared" si="7"/>
        <v>0.1452857142857143</v>
      </c>
      <c r="BE13" s="5">
        <v>3</v>
      </c>
      <c r="BF13" s="125">
        <f t="shared" si="8"/>
        <v>0.07845428571428571</v>
      </c>
      <c r="BG13" s="125">
        <f t="shared" si="9"/>
        <v>0.07845428571428571</v>
      </c>
      <c r="BH13" s="78">
        <v>15</v>
      </c>
      <c r="BI13" s="130">
        <v>12</v>
      </c>
      <c r="BJ13" s="142">
        <f t="shared" si="10"/>
        <v>14.121771428571428</v>
      </c>
      <c r="BK13" s="142">
        <f t="shared" si="11"/>
        <v>14.121771428571428</v>
      </c>
      <c r="BL13" s="136">
        <f t="shared" si="16"/>
        <v>13.585144114285715</v>
      </c>
      <c r="BM13" s="136">
        <f t="shared" si="17"/>
        <v>11.82698357142857</v>
      </c>
      <c r="BN13" s="197">
        <f t="shared" si="24"/>
        <v>20</v>
      </c>
      <c r="BO13" s="197">
        <f t="shared" si="25"/>
        <v>20</v>
      </c>
      <c r="BP13" s="197">
        <f t="shared" si="26"/>
        <v>20</v>
      </c>
      <c r="BQ13" s="197">
        <f t="shared" si="27"/>
        <v>20</v>
      </c>
      <c r="BR13" s="197">
        <f t="shared" si="28"/>
        <v>20</v>
      </c>
      <c r="BS13" s="197">
        <f t="shared" si="29"/>
        <v>20</v>
      </c>
      <c r="BT13" s="197">
        <f t="shared" si="30"/>
        <v>20</v>
      </c>
      <c r="BU13" s="197">
        <f t="shared" si="31"/>
        <v>20</v>
      </c>
      <c r="BV13" s="197">
        <f t="shared" si="32"/>
        <v>20</v>
      </c>
      <c r="BW13" s="197">
        <f t="shared" si="33"/>
        <v>20</v>
      </c>
    </row>
    <row r="14" spans="1:75" s="20" customFormat="1" ht="33.75" customHeight="1">
      <c r="A14" s="244"/>
      <c r="B14" s="244"/>
      <c r="C14" s="244"/>
      <c r="D14" s="244"/>
      <c r="E14" s="258"/>
      <c r="F14" s="244"/>
      <c r="G14" s="246"/>
      <c r="H14" s="246"/>
      <c r="I14" s="246"/>
      <c r="J14" s="246"/>
      <c r="K14" s="243"/>
      <c r="L14" s="243"/>
      <c r="M14" s="243"/>
      <c r="N14" s="243"/>
      <c r="O14" s="5" t="s">
        <v>51</v>
      </c>
      <c r="P14" s="5" t="s">
        <v>260</v>
      </c>
      <c r="Q14" s="8" t="s">
        <v>362</v>
      </c>
      <c r="R14" s="8" t="s">
        <v>978</v>
      </c>
      <c r="S14" s="347"/>
      <c r="T14" s="8">
        <v>3.8</v>
      </c>
      <c r="U14" s="124">
        <f>'Standarización ladrilleras'!$C$17</f>
        <v>26</v>
      </c>
      <c r="V14" s="111">
        <v>0.089</v>
      </c>
      <c r="W14" s="8">
        <v>3</v>
      </c>
      <c r="X14" s="32">
        <f t="shared" si="14"/>
        <v>0.0036525599999999987</v>
      </c>
      <c r="Y14" s="32">
        <f>V14*U14*W14*0.0036</f>
        <v>0.0249912</v>
      </c>
      <c r="Z14" s="78">
        <v>15</v>
      </c>
      <c r="AA14" s="35">
        <v>12</v>
      </c>
      <c r="AB14" s="13">
        <f t="shared" si="34"/>
        <v>0.6574607999999997</v>
      </c>
      <c r="AC14" s="13">
        <f t="shared" si="35"/>
        <v>4.498416000000001</v>
      </c>
      <c r="AD14" s="258"/>
      <c r="AE14" s="5">
        <v>5</v>
      </c>
      <c r="AF14" s="124">
        <f>'Standarización ladrilleras'!$F$17</f>
        <v>41.5</v>
      </c>
      <c r="AG14" s="34">
        <v>0.668</v>
      </c>
      <c r="AH14" s="8">
        <v>3</v>
      </c>
      <c r="AI14" s="7">
        <f t="shared" si="2"/>
        <v>0.03607200000000001</v>
      </c>
      <c r="AJ14" s="7">
        <f t="shared" si="3"/>
        <v>0.2993976</v>
      </c>
      <c r="AK14" s="78">
        <v>15</v>
      </c>
      <c r="AL14" s="8">
        <v>12</v>
      </c>
      <c r="AM14" s="13">
        <f t="shared" si="4"/>
        <v>6.492960000000002</v>
      </c>
      <c r="AN14" s="80">
        <f t="shared" si="5"/>
        <v>53.891568</v>
      </c>
      <c r="AO14" s="130" t="s">
        <v>1142</v>
      </c>
      <c r="AP14" s="130">
        <v>50</v>
      </c>
      <c r="AQ14" s="130">
        <v>50</v>
      </c>
      <c r="AR14" s="29">
        <f t="shared" si="18"/>
        <v>4.8589167767503305</v>
      </c>
      <c r="AS14" s="29">
        <f t="shared" si="19"/>
        <v>39.6776750330251</v>
      </c>
      <c r="AT14" s="137">
        <f t="shared" si="6"/>
        <v>0.3785</v>
      </c>
      <c r="AU14" s="5">
        <v>3</v>
      </c>
      <c r="AV14" s="164">
        <f t="shared" si="20"/>
        <v>0.019862280000000003</v>
      </c>
      <c r="AW14" s="164">
        <f t="shared" si="21"/>
        <v>0.16219440000000002</v>
      </c>
      <c r="AX14" s="78">
        <v>15</v>
      </c>
      <c r="AY14" s="5">
        <v>12</v>
      </c>
      <c r="AZ14" s="164">
        <f t="shared" si="22"/>
        <v>3.5752104000000005</v>
      </c>
      <c r="BA14" s="164">
        <f t="shared" si="23"/>
        <v>29.194992</v>
      </c>
      <c r="BB14" s="130">
        <v>50</v>
      </c>
      <c r="BC14" s="130">
        <v>50</v>
      </c>
      <c r="BD14" s="137">
        <f t="shared" si="7"/>
        <v>0.3785</v>
      </c>
      <c r="BE14" s="5">
        <v>3</v>
      </c>
      <c r="BF14" s="125">
        <f t="shared" si="8"/>
        <v>0.20439000000000002</v>
      </c>
      <c r="BG14" s="125">
        <f t="shared" si="9"/>
        <v>0.20439000000000002</v>
      </c>
      <c r="BH14" s="78">
        <v>15</v>
      </c>
      <c r="BI14" s="130">
        <v>12</v>
      </c>
      <c r="BJ14" s="142">
        <f t="shared" si="10"/>
        <v>36.7902</v>
      </c>
      <c r="BK14" s="142">
        <f t="shared" si="11"/>
        <v>36.7902</v>
      </c>
      <c r="BL14" s="136">
        <f t="shared" si="16"/>
        <v>20.1827052</v>
      </c>
      <c r="BM14" s="136">
        <f t="shared" si="17"/>
        <v>32.992596</v>
      </c>
      <c r="BN14" s="197">
        <f t="shared" si="24"/>
        <v>40</v>
      </c>
      <c r="BO14" s="197">
        <f t="shared" si="25"/>
        <v>40</v>
      </c>
      <c r="BP14" s="197">
        <f t="shared" si="26"/>
        <v>30</v>
      </c>
      <c r="BQ14" s="197">
        <f t="shared" si="27"/>
        <v>40</v>
      </c>
      <c r="BR14" s="197">
        <f t="shared" si="28"/>
        <v>30</v>
      </c>
      <c r="BS14" s="197">
        <f t="shared" si="29"/>
        <v>40</v>
      </c>
      <c r="BT14" s="197">
        <f t="shared" si="30"/>
        <v>30</v>
      </c>
      <c r="BU14" s="197">
        <f t="shared" si="31"/>
        <v>40</v>
      </c>
      <c r="BV14" s="197">
        <f t="shared" si="32"/>
        <v>30</v>
      </c>
      <c r="BW14" s="197">
        <f t="shared" si="33"/>
        <v>40</v>
      </c>
    </row>
    <row r="15" spans="1:75" s="20" customFormat="1" ht="39.75" customHeight="1">
      <c r="A15" s="244"/>
      <c r="B15" s="244"/>
      <c r="C15" s="244"/>
      <c r="D15" s="244"/>
      <c r="E15" s="258"/>
      <c r="F15" s="244"/>
      <c r="G15" s="246"/>
      <c r="H15" s="246"/>
      <c r="I15" s="246"/>
      <c r="J15" s="246"/>
      <c r="K15" s="243"/>
      <c r="L15" s="243"/>
      <c r="M15" s="243"/>
      <c r="N15" s="243"/>
      <c r="O15" s="5" t="s">
        <v>51</v>
      </c>
      <c r="P15" s="5" t="s">
        <v>253</v>
      </c>
      <c r="Q15" s="8" t="s">
        <v>363</v>
      </c>
      <c r="R15" s="8" t="s">
        <v>979</v>
      </c>
      <c r="S15" s="348"/>
      <c r="T15" s="8">
        <v>36.6</v>
      </c>
      <c r="U15" s="124">
        <f>'Standarización ladrilleras'!$C$17</f>
        <v>26</v>
      </c>
      <c r="V15" s="111">
        <f>((4.6+4.88+4.94+5+5.03+4.4+5.26)/7)</f>
        <v>4.872857142857143</v>
      </c>
      <c r="W15" s="8">
        <v>3</v>
      </c>
      <c r="X15" s="32">
        <f t="shared" si="14"/>
        <v>1.9261429714285712</v>
      </c>
      <c r="Y15" s="32">
        <f t="shared" si="15"/>
        <v>1.3682982857142858</v>
      </c>
      <c r="Z15" s="78">
        <v>15</v>
      </c>
      <c r="AA15" s="35">
        <v>12</v>
      </c>
      <c r="AB15" s="13">
        <f t="shared" si="34"/>
        <v>346.70573485714283</v>
      </c>
      <c r="AC15" s="13">
        <f t="shared" si="35"/>
        <v>246.29369142857144</v>
      </c>
      <c r="AD15" s="258"/>
      <c r="AE15" s="5">
        <v>5</v>
      </c>
      <c r="AF15" s="124">
        <f>'Standarización ladrilleras'!$F$17</f>
        <v>41.5</v>
      </c>
      <c r="AG15" s="34">
        <v>0.187</v>
      </c>
      <c r="AH15" s="8">
        <v>3</v>
      </c>
      <c r="AI15" s="7">
        <f t="shared" si="2"/>
        <v>0.010098000000000001</v>
      </c>
      <c r="AJ15" s="7">
        <f t="shared" si="3"/>
        <v>0.0838134</v>
      </c>
      <c r="AK15" s="78">
        <v>15</v>
      </c>
      <c r="AL15" s="8">
        <v>12</v>
      </c>
      <c r="AM15" s="13">
        <f t="shared" si="4"/>
        <v>1.8176400000000004</v>
      </c>
      <c r="AN15" s="80">
        <f t="shared" si="5"/>
        <v>15.086412</v>
      </c>
      <c r="AO15" s="130" t="s">
        <v>1142</v>
      </c>
      <c r="AP15" s="130">
        <v>50</v>
      </c>
      <c r="AQ15" s="130">
        <v>50</v>
      </c>
      <c r="AR15" s="29">
        <f t="shared" si="18"/>
        <v>35.43214094130269</v>
      </c>
      <c r="AS15" s="29">
        <f t="shared" si="19"/>
        <v>26.57284225980406</v>
      </c>
      <c r="AT15" s="137">
        <f t="shared" si="6"/>
        <v>2.5299285714285715</v>
      </c>
      <c r="AU15" s="5">
        <v>3</v>
      </c>
      <c r="AV15" s="164">
        <f t="shared" si="20"/>
        <v>0.9681204857142858</v>
      </c>
      <c r="AW15" s="164">
        <f t="shared" si="21"/>
        <v>0.7260558428571429</v>
      </c>
      <c r="AX15" s="78">
        <v>15</v>
      </c>
      <c r="AY15" s="5">
        <v>12</v>
      </c>
      <c r="AZ15" s="164">
        <f t="shared" si="22"/>
        <v>174.26168742857143</v>
      </c>
      <c r="BA15" s="164">
        <f t="shared" si="23"/>
        <v>130.69005171428572</v>
      </c>
      <c r="BB15" s="130">
        <v>50</v>
      </c>
      <c r="BC15" s="130">
        <v>50</v>
      </c>
      <c r="BD15" s="137">
        <f t="shared" si="7"/>
        <v>2.5299285714285715</v>
      </c>
      <c r="BE15" s="5">
        <v>3</v>
      </c>
      <c r="BF15" s="125">
        <f t="shared" si="8"/>
        <v>1.3661614285714287</v>
      </c>
      <c r="BG15" s="125">
        <f t="shared" si="9"/>
        <v>1.3661614285714287</v>
      </c>
      <c r="BH15" s="78">
        <v>15</v>
      </c>
      <c r="BI15" s="130">
        <v>12</v>
      </c>
      <c r="BJ15" s="142">
        <f t="shared" si="10"/>
        <v>245.9090571428572</v>
      </c>
      <c r="BK15" s="142">
        <f t="shared" si="11"/>
        <v>245.9090571428572</v>
      </c>
      <c r="BL15" s="136">
        <f t="shared" si="16"/>
        <v>210.0853722857143</v>
      </c>
      <c r="BM15" s="136">
        <f t="shared" si="17"/>
        <v>188.29955442857147</v>
      </c>
      <c r="BN15" s="197">
        <f t="shared" si="24"/>
        <v>250</v>
      </c>
      <c r="BO15" s="197">
        <f t="shared" si="25"/>
        <v>250</v>
      </c>
      <c r="BP15" s="197">
        <f t="shared" si="26"/>
        <v>220</v>
      </c>
      <c r="BQ15" s="197">
        <f t="shared" si="27"/>
        <v>190</v>
      </c>
      <c r="BR15" s="197">
        <f t="shared" si="28"/>
        <v>220</v>
      </c>
      <c r="BS15" s="197">
        <f t="shared" si="29"/>
        <v>190</v>
      </c>
      <c r="BT15" s="197">
        <f t="shared" si="30"/>
        <v>220</v>
      </c>
      <c r="BU15" s="197">
        <f t="shared" si="31"/>
        <v>190</v>
      </c>
      <c r="BV15" s="197">
        <f t="shared" si="32"/>
        <v>220</v>
      </c>
      <c r="BW15" s="197">
        <f t="shared" si="33"/>
        <v>190</v>
      </c>
    </row>
    <row r="16" spans="1:75" s="20" customFormat="1" ht="60" customHeight="1">
      <c r="A16" s="244">
        <v>163</v>
      </c>
      <c r="B16" s="246" t="s">
        <v>255</v>
      </c>
      <c r="C16" s="244" t="s">
        <v>246</v>
      </c>
      <c r="D16" s="244">
        <v>3</v>
      </c>
      <c r="E16" s="246" t="s">
        <v>261</v>
      </c>
      <c r="F16" s="246" t="s">
        <v>375</v>
      </c>
      <c r="G16" s="246" t="s">
        <v>475</v>
      </c>
      <c r="H16" s="244" t="s">
        <v>11</v>
      </c>
      <c r="I16" s="243" t="s">
        <v>67</v>
      </c>
      <c r="J16" s="243" t="s">
        <v>67</v>
      </c>
      <c r="K16" s="243" t="s">
        <v>67</v>
      </c>
      <c r="L16" s="243" t="s">
        <v>67</v>
      </c>
      <c r="M16" s="243" t="s">
        <v>67</v>
      </c>
      <c r="N16" s="243" t="s">
        <v>67</v>
      </c>
      <c r="O16" s="244" t="s">
        <v>51</v>
      </c>
      <c r="P16" s="8" t="s">
        <v>128</v>
      </c>
      <c r="Q16" s="8" t="s">
        <v>442</v>
      </c>
      <c r="R16" s="8" t="s">
        <v>980</v>
      </c>
      <c r="S16" s="268" t="s">
        <v>1228</v>
      </c>
      <c r="T16" s="8">
        <v>2</v>
      </c>
      <c r="U16" s="124">
        <f>'Standarización ladrilleras'!$C$17</f>
        <v>26</v>
      </c>
      <c r="V16" s="8">
        <v>0.045</v>
      </c>
      <c r="W16" s="8">
        <v>3</v>
      </c>
      <c r="X16" s="167">
        <f t="shared" si="14"/>
        <v>0.000972</v>
      </c>
      <c r="Y16" s="167">
        <f t="shared" si="15"/>
        <v>0.012636</v>
      </c>
      <c r="Z16" s="78">
        <v>15</v>
      </c>
      <c r="AA16" s="5">
        <v>12</v>
      </c>
      <c r="AB16" s="29">
        <f t="shared" si="34"/>
        <v>0.17496</v>
      </c>
      <c r="AC16" s="29">
        <f t="shared" si="35"/>
        <v>2.2744799999999996</v>
      </c>
      <c r="AD16" s="246" t="s">
        <v>1131</v>
      </c>
      <c r="AE16" s="8">
        <v>2</v>
      </c>
      <c r="AF16" s="124">
        <f>'Standarización ladrilleras'!$F$17</f>
        <v>41.5</v>
      </c>
      <c r="AG16" s="8">
        <v>0.045</v>
      </c>
      <c r="AH16" s="8">
        <v>3</v>
      </c>
      <c r="AI16" s="34">
        <f t="shared" si="2"/>
        <v>0.000972</v>
      </c>
      <c r="AJ16" s="34">
        <f t="shared" si="3"/>
        <v>0.020169</v>
      </c>
      <c r="AK16" s="78">
        <v>15</v>
      </c>
      <c r="AL16" s="5">
        <v>12</v>
      </c>
      <c r="AM16" s="29">
        <f t="shared" si="4"/>
        <v>0.17496</v>
      </c>
      <c r="AN16" s="81">
        <f t="shared" si="5"/>
        <v>3.63042</v>
      </c>
      <c r="AO16" s="130" t="s">
        <v>1142</v>
      </c>
      <c r="AP16" s="130">
        <v>50</v>
      </c>
      <c r="AQ16" s="130">
        <v>50</v>
      </c>
      <c r="AR16" s="29">
        <f t="shared" si="18"/>
        <v>2</v>
      </c>
      <c r="AS16" s="29">
        <f t="shared" si="19"/>
        <v>33.75</v>
      </c>
      <c r="AT16" s="137">
        <f t="shared" si="6"/>
        <v>0.045</v>
      </c>
      <c r="AU16" s="5">
        <v>3</v>
      </c>
      <c r="AV16" s="164">
        <f t="shared" si="20"/>
        <v>0.000972</v>
      </c>
      <c r="AW16" s="164">
        <f t="shared" si="21"/>
        <v>0.0164025</v>
      </c>
      <c r="AX16" s="78">
        <v>15</v>
      </c>
      <c r="AY16" s="5">
        <v>12</v>
      </c>
      <c r="AZ16" s="164">
        <f t="shared" si="22"/>
        <v>0.17496</v>
      </c>
      <c r="BA16" s="164">
        <f t="shared" si="23"/>
        <v>2.9524500000000002</v>
      </c>
      <c r="BB16" s="130">
        <v>50</v>
      </c>
      <c r="BC16" s="130">
        <v>50</v>
      </c>
      <c r="BD16" s="137">
        <f t="shared" si="7"/>
        <v>0.045</v>
      </c>
      <c r="BE16" s="5">
        <v>3</v>
      </c>
      <c r="BF16" s="125">
        <f t="shared" si="8"/>
        <v>0.0243</v>
      </c>
      <c r="BG16" s="125">
        <f t="shared" si="9"/>
        <v>0.0243</v>
      </c>
      <c r="BH16" s="78">
        <v>15</v>
      </c>
      <c r="BI16" s="130">
        <v>12</v>
      </c>
      <c r="BJ16" s="142">
        <f t="shared" si="10"/>
        <v>4.374</v>
      </c>
      <c r="BK16" s="142">
        <f t="shared" si="11"/>
        <v>4.374</v>
      </c>
      <c r="BL16" s="136">
        <f t="shared" si="16"/>
        <v>2.2744799999999996</v>
      </c>
      <c r="BM16" s="136">
        <f t="shared" si="17"/>
        <v>3.6632249999999997</v>
      </c>
      <c r="BN16" s="197">
        <f t="shared" si="24"/>
        <v>10</v>
      </c>
      <c r="BO16" s="197">
        <f t="shared" si="25"/>
        <v>10</v>
      </c>
      <c r="BP16" s="197">
        <f t="shared" si="26"/>
        <v>10</v>
      </c>
      <c r="BQ16" s="197">
        <f t="shared" si="27"/>
        <v>10</v>
      </c>
      <c r="BR16" s="197">
        <f t="shared" si="28"/>
        <v>10</v>
      </c>
      <c r="BS16" s="197">
        <f t="shared" si="29"/>
        <v>10</v>
      </c>
      <c r="BT16" s="197">
        <f t="shared" si="30"/>
        <v>10</v>
      </c>
      <c r="BU16" s="197">
        <f t="shared" si="31"/>
        <v>10</v>
      </c>
      <c r="BV16" s="197">
        <f t="shared" si="32"/>
        <v>10</v>
      </c>
      <c r="BW16" s="197">
        <f t="shared" si="33"/>
        <v>10</v>
      </c>
    </row>
    <row r="17" spans="1:75" s="20" customFormat="1" ht="62.25" customHeight="1">
      <c r="A17" s="244"/>
      <c r="B17" s="246"/>
      <c r="C17" s="244"/>
      <c r="D17" s="244"/>
      <c r="E17" s="246"/>
      <c r="F17" s="246"/>
      <c r="G17" s="246"/>
      <c r="H17" s="244"/>
      <c r="I17" s="243"/>
      <c r="J17" s="243"/>
      <c r="K17" s="243"/>
      <c r="L17" s="243"/>
      <c r="M17" s="243"/>
      <c r="N17" s="243"/>
      <c r="O17" s="244"/>
      <c r="P17" s="8" t="s">
        <v>128</v>
      </c>
      <c r="Q17" s="8" t="s">
        <v>443</v>
      </c>
      <c r="R17" s="8" t="s">
        <v>981</v>
      </c>
      <c r="S17" s="270"/>
      <c r="T17" s="8">
        <v>3</v>
      </c>
      <c r="U17" s="8">
        <v>46</v>
      </c>
      <c r="V17" s="8">
        <v>0.09</v>
      </c>
      <c r="W17" s="8">
        <v>3</v>
      </c>
      <c r="X17" s="167">
        <f t="shared" si="14"/>
        <v>0.002916</v>
      </c>
      <c r="Y17" s="167">
        <f t="shared" si="15"/>
        <v>0.044711999999999995</v>
      </c>
      <c r="Z17" s="78">
        <v>15</v>
      </c>
      <c r="AA17" s="5">
        <v>12</v>
      </c>
      <c r="AB17" s="29">
        <f t="shared" si="34"/>
        <v>0.52488</v>
      </c>
      <c r="AC17" s="29">
        <f t="shared" si="35"/>
        <v>8.04816</v>
      </c>
      <c r="AD17" s="246"/>
      <c r="AE17" s="8">
        <v>3</v>
      </c>
      <c r="AF17" s="8">
        <v>46</v>
      </c>
      <c r="AG17" s="8">
        <v>0.09</v>
      </c>
      <c r="AH17" s="8">
        <v>3</v>
      </c>
      <c r="AI17" s="34">
        <f t="shared" si="2"/>
        <v>0.002916</v>
      </c>
      <c r="AJ17" s="34">
        <f t="shared" si="3"/>
        <v>0.044711999999999995</v>
      </c>
      <c r="AK17" s="78">
        <v>15</v>
      </c>
      <c r="AL17" s="5">
        <v>12</v>
      </c>
      <c r="AM17" s="29">
        <f t="shared" si="4"/>
        <v>0.52488</v>
      </c>
      <c r="AN17" s="81">
        <f t="shared" si="5"/>
        <v>8.04816</v>
      </c>
      <c r="AO17" s="130" t="s">
        <v>1142</v>
      </c>
      <c r="AP17" s="130">
        <v>50</v>
      </c>
      <c r="AQ17" s="130">
        <v>50</v>
      </c>
      <c r="AR17" s="29">
        <f t="shared" si="18"/>
        <v>3.0000000000000004</v>
      </c>
      <c r="AS17" s="29">
        <f t="shared" si="19"/>
        <v>46</v>
      </c>
      <c r="AT17" s="137">
        <f t="shared" si="6"/>
        <v>0.09</v>
      </c>
      <c r="AU17" s="5">
        <v>3</v>
      </c>
      <c r="AV17" s="164">
        <f t="shared" si="20"/>
        <v>0.002916</v>
      </c>
      <c r="AW17" s="164">
        <f t="shared" si="21"/>
        <v>0.044711999999999995</v>
      </c>
      <c r="AX17" s="78">
        <v>15</v>
      </c>
      <c r="AY17" s="5">
        <v>12</v>
      </c>
      <c r="AZ17" s="164">
        <f t="shared" si="22"/>
        <v>0.52488</v>
      </c>
      <c r="BA17" s="164">
        <f t="shared" si="23"/>
        <v>8.04816</v>
      </c>
      <c r="BB17" s="130">
        <v>50</v>
      </c>
      <c r="BC17" s="130">
        <v>50</v>
      </c>
      <c r="BD17" s="137">
        <f t="shared" si="7"/>
        <v>0.09</v>
      </c>
      <c r="BE17" s="5">
        <v>3</v>
      </c>
      <c r="BF17" s="125">
        <f t="shared" si="8"/>
        <v>0.0486</v>
      </c>
      <c r="BG17" s="125">
        <f t="shared" si="9"/>
        <v>0.0486</v>
      </c>
      <c r="BH17" s="78">
        <v>15</v>
      </c>
      <c r="BI17" s="130">
        <v>12</v>
      </c>
      <c r="BJ17" s="142">
        <f t="shared" si="10"/>
        <v>8.748</v>
      </c>
      <c r="BK17" s="142">
        <f t="shared" si="11"/>
        <v>8.748</v>
      </c>
      <c r="BL17" s="136">
        <f t="shared" si="16"/>
        <v>4.6364399999999995</v>
      </c>
      <c r="BM17" s="136">
        <f t="shared" si="17"/>
        <v>8.39808</v>
      </c>
      <c r="BN17" s="197">
        <f t="shared" si="24"/>
        <v>10</v>
      </c>
      <c r="BO17" s="197">
        <f t="shared" si="25"/>
        <v>10</v>
      </c>
      <c r="BP17" s="197">
        <f t="shared" si="26"/>
        <v>10</v>
      </c>
      <c r="BQ17" s="197">
        <f t="shared" si="27"/>
        <v>10</v>
      </c>
      <c r="BR17" s="197">
        <f t="shared" si="28"/>
        <v>10</v>
      </c>
      <c r="BS17" s="197">
        <f t="shared" si="29"/>
        <v>10</v>
      </c>
      <c r="BT17" s="197">
        <f t="shared" si="30"/>
        <v>10</v>
      </c>
      <c r="BU17" s="197">
        <f t="shared" si="31"/>
        <v>10</v>
      </c>
      <c r="BV17" s="197">
        <f t="shared" si="32"/>
        <v>10</v>
      </c>
      <c r="BW17" s="197">
        <f t="shared" si="33"/>
        <v>10</v>
      </c>
    </row>
    <row r="18" spans="1:75" s="20" customFormat="1" ht="39.75" customHeight="1">
      <c r="A18" s="246">
        <v>164</v>
      </c>
      <c r="B18" s="246" t="s">
        <v>250</v>
      </c>
      <c r="C18" s="246" t="s">
        <v>246</v>
      </c>
      <c r="D18" s="244">
        <v>3</v>
      </c>
      <c r="E18" s="258" t="s">
        <v>262</v>
      </c>
      <c r="F18" s="246" t="s">
        <v>376</v>
      </c>
      <c r="G18" s="246" t="s">
        <v>476</v>
      </c>
      <c r="H18" s="246" t="s">
        <v>12</v>
      </c>
      <c r="I18" s="246" t="s">
        <v>528</v>
      </c>
      <c r="J18" s="359">
        <v>42773</v>
      </c>
      <c r="K18" s="264">
        <v>42783</v>
      </c>
      <c r="L18" s="264">
        <v>42800</v>
      </c>
      <c r="M18" s="244" t="s">
        <v>74</v>
      </c>
      <c r="N18" s="264">
        <v>44625</v>
      </c>
      <c r="O18" s="262" t="s">
        <v>51</v>
      </c>
      <c r="P18" s="5" t="s">
        <v>249</v>
      </c>
      <c r="Q18" s="5" t="s">
        <v>364</v>
      </c>
      <c r="R18" s="5" t="s">
        <v>982</v>
      </c>
      <c r="S18" s="250" t="s">
        <v>1229</v>
      </c>
      <c r="T18" s="8">
        <v>2.6</v>
      </c>
      <c r="U18" s="124">
        <f>'Standarización ladrilleras'!$C$17</f>
        <v>26</v>
      </c>
      <c r="V18" s="8">
        <v>0.261</v>
      </c>
      <c r="W18" s="8">
        <v>3</v>
      </c>
      <c r="X18" s="32">
        <f t="shared" si="14"/>
        <v>0.00732888</v>
      </c>
      <c r="Y18" s="32">
        <f t="shared" si="15"/>
        <v>0.0732888</v>
      </c>
      <c r="Z18" s="8">
        <v>15</v>
      </c>
      <c r="AA18" s="8">
        <v>12</v>
      </c>
      <c r="AB18" s="13">
        <f t="shared" si="34"/>
        <v>1.3191984</v>
      </c>
      <c r="AC18" s="13">
        <f t="shared" si="35"/>
        <v>13.191984</v>
      </c>
      <c r="AD18" s="258" t="s">
        <v>1132</v>
      </c>
      <c r="AE18" s="8">
        <v>2.6</v>
      </c>
      <c r="AF18" s="124">
        <f>'Standarización ladrilleras'!$F$17</f>
        <v>41.5</v>
      </c>
      <c r="AG18" s="8">
        <v>0.261</v>
      </c>
      <c r="AH18" s="8">
        <v>3</v>
      </c>
      <c r="AI18" s="7">
        <f t="shared" si="2"/>
        <v>0.00732888</v>
      </c>
      <c r="AJ18" s="7">
        <f t="shared" si="3"/>
        <v>0.1169802</v>
      </c>
      <c r="AK18" s="8">
        <v>15</v>
      </c>
      <c r="AL18" s="8">
        <v>12</v>
      </c>
      <c r="AM18" s="13">
        <f t="shared" si="4"/>
        <v>1.3191984</v>
      </c>
      <c r="AN18" s="80">
        <f t="shared" si="5"/>
        <v>21.056436</v>
      </c>
      <c r="AO18" s="130" t="s">
        <v>1142</v>
      </c>
      <c r="AP18" s="130">
        <v>50</v>
      </c>
      <c r="AQ18" s="130">
        <v>50</v>
      </c>
      <c r="AR18" s="29">
        <f t="shared" si="18"/>
        <v>2.6</v>
      </c>
      <c r="AS18" s="29">
        <f t="shared" si="19"/>
        <v>33.75</v>
      </c>
      <c r="AT18" s="137">
        <f t="shared" si="6"/>
        <v>0.261</v>
      </c>
      <c r="AU18" s="5">
        <v>3</v>
      </c>
      <c r="AV18" s="164">
        <f t="shared" si="20"/>
        <v>0.00732888</v>
      </c>
      <c r="AW18" s="164">
        <f t="shared" si="21"/>
        <v>0.0951345</v>
      </c>
      <c r="AX18" s="8">
        <v>15</v>
      </c>
      <c r="AY18" s="5">
        <v>12</v>
      </c>
      <c r="AZ18" s="164">
        <f t="shared" si="22"/>
        <v>1.3191984</v>
      </c>
      <c r="BA18" s="164">
        <f t="shared" si="23"/>
        <v>17.12421</v>
      </c>
      <c r="BB18" s="130">
        <v>50</v>
      </c>
      <c r="BC18" s="130">
        <v>50</v>
      </c>
      <c r="BD18" s="137">
        <f t="shared" si="7"/>
        <v>0.261</v>
      </c>
      <c r="BE18" s="5">
        <v>3</v>
      </c>
      <c r="BF18" s="125">
        <f t="shared" si="8"/>
        <v>0.14094</v>
      </c>
      <c r="BG18" s="125">
        <f t="shared" si="9"/>
        <v>0.14094</v>
      </c>
      <c r="BH18" s="8">
        <v>15</v>
      </c>
      <c r="BI18" s="130">
        <v>12</v>
      </c>
      <c r="BJ18" s="142">
        <f t="shared" si="10"/>
        <v>25.3692</v>
      </c>
      <c r="BK18" s="142">
        <f t="shared" si="11"/>
        <v>25.3692</v>
      </c>
      <c r="BL18" s="136">
        <f t="shared" si="16"/>
        <v>13.3441992</v>
      </c>
      <c r="BM18" s="136">
        <f t="shared" si="17"/>
        <v>21.246705</v>
      </c>
      <c r="BN18" s="197">
        <f t="shared" si="24"/>
        <v>30</v>
      </c>
      <c r="BO18" s="197">
        <f t="shared" si="25"/>
        <v>30</v>
      </c>
      <c r="BP18" s="197">
        <f t="shared" si="26"/>
        <v>20</v>
      </c>
      <c r="BQ18" s="197">
        <f t="shared" si="27"/>
        <v>30</v>
      </c>
      <c r="BR18" s="197">
        <f t="shared" si="28"/>
        <v>20</v>
      </c>
      <c r="BS18" s="197">
        <f t="shared" si="29"/>
        <v>30</v>
      </c>
      <c r="BT18" s="197">
        <f t="shared" si="30"/>
        <v>20</v>
      </c>
      <c r="BU18" s="197">
        <f t="shared" si="31"/>
        <v>30</v>
      </c>
      <c r="BV18" s="197">
        <f t="shared" si="32"/>
        <v>20</v>
      </c>
      <c r="BW18" s="197">
        <f t="shared" si="33"/>
        <v>30</v>
      </c>
    </row>
    <row r="19" spans="1:75" s="20" customFormat="1" ht="39.75" customHeight="1">
      <c r="A19" s="246"/>
      <c r="B19" s="246"/>
      <c r="C19" s="246"/>
      <c r="D19" s="244"/>
      <c r="E19" s="258"/>
      <c r="F19" s="246"/>
      <c r="G19" s="246"/>
      <c r="H19" s="246"/>
      <c r="I19" s="244"/>
      <c r="J19" s="359"/>
      <c r="K19" s="243"/>
      <c r="L19" s="243"/>
      <c r="M19" s="244"/>
      <c r="N19" s="243"/>
      <c r="O19" s="262"/>
      <c r="P19" s="5" t="s">
        <v>251</v>
      </c>
      <c r="Q19" s="5" t="s">
        <v>365</v>
      </c>
      <c r="R19" s="5" t="s">
        <v>983</v>
      </c>
      <c r="S19" s="251"/>
      <c r="T19" s="8">
        <v>2</v>
      </c>
      <c r="U19" s="8">
        <v>16</v>
      </c>
      <c r="V19" s="8">
        <v>0.109</v>
      </c>
      <c r="W19" s="5">
        <v>3</v>
      </c>
      <c r="X19" s="167">
        <f t="shared" si="14"/>
        <v>0.0023544</v>
      </c>
      <c r="Y19" s="167">
        <f>V19*U19*W19*0.0036</f>
        <v>0.0188352</v>
      </c>
      <c r="Z19" s="5">
        <v>15</v>
      </c>
      <c r="AA19" s="5">
        <v>12</v>
      </c>
      <c r="AB19" s="29">
        <f t="shared" si="34"/>
        <v>0.423792</v>
      </c>
      <c r="AC19" s="29">
        <f t="shared" si="35"/>
        <v>3.390336</v>
      </c>
      <c r="AD19" s="258"/>
      <c r="AE19" s="8">
        <v>2</v>
      </c>
      <c r="AF19" s="8">
        <v>16</v>
      </c>
      <c r="AG19" s="8">
        <v>0.109</v>
      </c>
      <c r="AH19" s="5">
        <v>3</v>
      </c>
      <c r="AI19" s="34">
        <f t="shared" si="2"/>
        <v>0.0023544</v>
      </c>
      <c r="AJ19" s="34">
        <f t="shared" si="3"/>
        <v>0.0188352</v>
      </c>
      <c r="AK19" s="5">
        <v>15</v>
      </c>
      <c r="AL19" s="5">
        <v>12</v>
      </c>
      <c r="AM19" s="29">
        <f t="shared" si="4"/>
        <v>0.423792</v>
      </c>
      <c r="AN19" s="81">
        <f t="shared" si="5"/>
        <v>3.390336</v>
      </c>
      <c r="AO19" s="130" t="s">
        <v>1142</v>
      </c>
      <c r="AP19" s="130">
        <v>50</v>
      </c>
      <c r="AQ19" s="130">
        <v>50</v>
      </c>
      <c r="AR19" s="29">
        <f t="shared" si="18"/>
        <v>2</v>
      </c>
      <c r="AS19" s="29">
        <f t="shared" si="19"/>
        <v>16</v>
      </c>
      <c r="AT19" s="137">
        <f t="shared" si="6"/>
        <v>0.109</v>
      </c>
      <c r="AU19" s="5">
        <v>3</v>
      </c>
      <c r="AV19" s="164">
        <f t="shared" si="20"/>
        <v>0.0023544</v>
      </c>
      <c r="AW19" s="164">
        <f t="shared" si="21"/>
        <v>0.0188352</v>
      </c>
      <c r="AX19" s="5">
        <v>15</v>
      </c>
      <c r="AY19" s="5">
        <v>12</v>
      </c>
      <c r="AZ19" s="164">
        <f t="shared" si="22"/>
        <v>0.423792</v>
      </c>
      <c r="BA19" s="164">
        <f t="shared" si="23"/>
        <v>3.390336</v>
      </c>
      <c r="BB19" s="130">
        <v>50</v>
      </c>
      <c r="BC19" s="130">
        <v>50</v>
      </c>
      <c r="BD19" s="137">
        <f t="shared" si="7"/>
        <v>0.109</v>
      </c>
      <c r="BE19" s="5">
        <v>3</v>
      </c>
      <c r="BF19" s="125">
        <f t="shared" si="8"/>
        <v>0.05886</v>
      </c>
      <c r="BG19" s="125">
        <f t="shared" si="9"/>
        <v>0.05886</v>
      </c>
      <c r="BH19" s="5">
        <v>15</v>
      </c>
      <c r="BI19" s="130">
        <v>12</v>
      </c>
      <c r="BJ19" s="142">
        <f t="shared" si="10"/>
        <v>10.5948</v>
      </c>
      <c r="BK19" s="142">
        <f t="shared" si="11"/>
        <v>10.5948</v>
      </c>
      <c r="BL19" s="136">
        <f t="shared" si="16"/>
        <v>5.509296</v>
      </c>
      <c r="BM19" s="136">
        <f t="shared" si="17"/>
        <v>6.9925679999999995</v>
      </c>
      <c r="BN19" s="197">
        <f t="shared" si="24"/>
        <v>20</v>
      </c>
      <c r="BO19" s="197">
        <f t="shared" si="25"/>
        <v>20</v>
      </c>
      <c r="BP19" s="197">
        <f t="shared" si="26"/>
        <v>10</v>
      </c>
      <c r="BQ19" s="197">
        <f t="shared" si="27"/>
        <v>10</v>
      </c>
      <c r="BR19" s="197">
        <f t="shared" si="28"/>
        <v>10</v>
      </c>
      <c r="BS19" s="197">
        <f t="shared" si="29"/>
        <v>10</v>
      </c>
      <c r="BT19" s="197">
        <f t="shared" si="30"/>
        <v>10</v>
      </c>
      <c r="BU19" s="197">
        <f t="shared" si="31"/>
        <v>10</v>
      </c>
      <c r="BV19" s="197">
        <f t="shared" si="32"/>
        <v>10</v>
      </c>
      <c r="BW19" s="197">
        <f t="shared" si="33"/>
        <v>10</v>
      </c>
    </row>
    <row r="20" spans="1:75" s="20" customFormat="1" ht="39.75" customHeight="1">
      <c r="A20" s="246"/>
      <c r="B20" s="246"/>
      <c r="C20" s="246"/>
      <c r="D20" s="244"/>
      <c r="E20" s="258"/>
      <c r="F20" s="246"/>
      <c r="G20" s="246"/>
      <c r="H20" s="246"/>
      <c r="I20" s="244"/>
      <c r="J20" s="359"/>
      <c r="K20" s="243"/>
      <c r="L20" s="243"/>
      <c r="M20" s="244"/>
      <c r="N20" s="243"/>
      <c r="O20" s="262"/>
      <c r="P20" s="5" t="s">
        <v>260</v>
      </c>
      <c r="Q20" s="5" t="s">
        <v>366</v>
      </c>
      <c r="R20" s="5" t="s">
        <v>984</v>
      </c>
      <c r="S20" s="252"/>
      <c r="T20" s="8">
        <v>2</v>
      </c>
      <c r="U20" s="8">
        <v>9</v>
      </c>
      <c r="V20" s="8">
        <v>0.182</v>
      </c>
      <c r="W20" s="5">
        <v>3</v>
      </c>
      <c r="X20" s="167">
        <f t="shared" si="14"/>
        <v>0.0039312</v>
      </c>
      <c r="Y20" s="167">
        <f>V20*U20*W20*0.0036</f>
        <v>0.0176904</v>
      </c>
      <c r="Z20" s="5">
        <v>15</v>
      </c>
      <c r="AA20" s="5">
        <v>12</v>
      </c>
      <c r="AB20" s="29">
        <f t="shared" si="34"/>
        <v>0.707616</v>
      </c>
      <c r="AC20" s="29">
        <f t="shared" si="35"/>
        <v>3.184272</v>
      </c>
      <c r="AD20" s="258"/>
      <c r="AE20" s="8">
        <v>2</v>
      </c>
      <c r="AF20" s="8">
        <v>9</v>
      </c>
      <c r="AG20" s="8">
        <v>0.182</v>
      </c>
      <c r="AH20" s="5">
        <v>3</v>
      </c>
      <c r="AI20" s="34">
        <f t="shared" si="2"/>
        <v>0.0039312</v>
      </c>
      <c r="AJ20" s="34">
        <f t="shared" si="3"/>
        <v>0.0176904</v>
      </c>
      <c r="AK20" s="5">
        <v>15</v>
      </c>
      <c r="AL20" s="5">
        <v>12</v>
      </c>
      <c r="AM20" s="29">
        <f t="shared" si="4"/>
        <v>0.707616</v>
      </c>
      <c r="AN20" s="81">
        <f t="shared" si="5"/>
        <v>3.184272</v>
      </c>
      <c r="AO20" s="130" t="s">
        <v>1142</v>
      </c>
      <c r="AP20" s="130">
        <v>50</v>
      </c>
      <c r="AQ20" s="130">
        <v>50</v>
      </c>
      <c r="AR20" s="29">
        <f t="shared" si="18"/>
        <v>2</v>
      </c>
      <c r="AS20" s="29">
        <f t="shared" si="19"/>
        <v>9</v>
      </c>
      <c r="AT20" s="137">
        <f t="shared" si="6"/>
        <v>0.182</v>
      </c>
      <c r="AU20" s="5">
        <v>3</v>
      </c>
      <c r="AV20" s="164">
        <f t="shared" si="20"/>
        <v>0.0039312</v>
      </c>
      <c r="AW20" s="164">
        <f t="shared" si="21"/>
        <v>0.0176904</v>
      </c>
      <c r="AX20" s="5">
        <v>15</v>
      </c>
      <c r="AY20" s="5">
        <v>12</v>
      </c>
      <c r="AZ20" s="164">
        <f t="shared" si="22"/>
        <v>0.707616</v>
      </c>
      <c r="BA20" s="164">
        <f t="shared" si="23"/>
        <v>3.184272</v>
      </c>
      <c r="BB20" s="130">
        <v>50</v>
      </c>
      <c r="BC20" s="130">
        <v>50</v>
      </c>
      <c r="BD20" s="137">
        <f t="shared" si="7"/>
        <v>0.182</v>
      </c>
      <c r="BE20" s="5">
        <v>3</v>
      </c>
      <c r="BF20" s="125">
        <f t="shared" si="8"/>
        <v>0.09827999999999999</v>
      </c>
      <c r="BG20" s="125">
        <f t="shared" si="9"/>
        <v>0.09827999999999999</v>
      </c>
      <c r="BH20" s="5">
        <v>15</v>
      </c>
      <c r="BI20" s="130">
        <v>12</v>
      </c>
      <c r="BJ20" s="142">
        <f t="shared" si="10"/>
        <v>17.6904</v>
      </c>
      <c r="BK20" s="142">
        <f t="shared" si="11"/>
        <v>17.6904</v>
      </c>
      <c r="BL20" s="136">
        <f t="shared" si="16"/>
        <v>9.199008000000001</v>
      </c>
      <c r="BM20" s="136">
        <f t="shared" si="17"/>
        <v>10.437336</v>
      </c>
      <c r="BN20" s="197">
        <f t="shared" si="24"/>
        <v>20</v>
      </c>
      <c r="BO20" s="197">
        <f t="shared" si="25"/>
        <v>20</v>
      </c>
      <c r="BP20" s="197">
        <f t="shared" si="26"/>
        <v>10</v>
      </c>
      <c r="BQ20" s="197">
        <f t="shared" si="27"/>
        <v>20</v>
      </c>
      <c r="BR20" s="197">
        <f t="shared" si="28"/>
        <v>10</v>
      </c>
      <c r="BS20" s="197">
        <f t="shared" si="29"/>
        <v>20</v>
      </c>
      <c r="BT20" s="197">
        <f t="shared" si="30"/>
        <v>10</v>
      </c>
      <c r="BU20" s="197">
        <f t="shared" si="31"/>
        <v>20</v>
      </c>
      <c r="BV20" s="197">
        <f t="shared" si="32"/>
        <v>10</v>
      </c>
      <c r="BW20" s="197">
        <f t="shared" si="33"/>
        <v>20</v>
      </c>
    </row>
    <row r="21" spans="5:40" ht="12.75">
      <c r="E21" s="1"/>
      <c r="F21" s="3"/>
      <c r="G21" s="23"/>
      <c r="H21" s="23"/>
      <c r="I21" s="23"/>
      <c r="J21" s="23"/>
      <c r="K21" s="23"/>
      <c r="L21" s="23"/>
      <c r="M21" s="23"/>
      <c r="N21" s="23"/>
      <c r="O21" s="22"/>
      <c r="P21" s="22"/>
      <c r="Q21" s="22"/>
      <c r="R21" s="22"/>
      <c r="AB21" s="12"/>
      <c r="AC21" s="12"/>
      <c r="AM21" s="12"/>
      <c r="AN21" s="12"/>
    </row>
    <row r="22" spans="5:40" ht="12.75">
      <c r="E22" s="1"/>
      <c r="F22" s="3"/>
      <c r="G22" s="23"/>
      <c r="H22" s="23"/>
      <c r="I22" s="23"/>
      <c r="J22" s="23"/>
      <c r="K22" s="23"/>
      <c r="L22" s="23"/>
      <c r="M22" s="23"/>
      <c r="N22" s="23"/>
      <c r="O22" s="22"/>
      <c r="P22" s="22"/>
      <c r="Q22" s="22"/>
      <c r="R22" s="22"/>
      <c r="AA22" s="14"/>
      <c r="AB22" s="15"/>
      <c r="AC22" s="12"/>
      <c r="AL22" s="14"/>
      <c r="AM22" s="15"/>
      <c r="AN22" s="12"/>
    </row>
    <row r="23" spans="5:40" ht="12.75">
      <c r="E23" s="1"/>
      <c r="F23" s="3"/>
      <c r="G23" s="23"/>
      <c r="H23" s="23"/>
      <c r="I23" s="23"/>
      <c r="J23" s="23"/>
      <c r="K23" s="23"/>
      <c r="L23" s="23"/>
      <c r="M23" s="23"/>
      <c r="N23" s="23"/>
      <c r="O23" s="22"/>
      <c r="P23" s="22"/>
      <c r="Q23" s="22"/>
      <c r="R23" s="22"/>
      <c r="AA23" s="16"/>
      <c r="AB23" s="16"/>
      <c r="AC23" s="12"/>
      <c r="AL23" s="16"/>
      <c r="AM23" s="16"/>
      <c r="AN23" s="12"/>
    </row>
    <row r="24" spans="5:40" ht="12.75">
      <c r="E24" s="1"/>
      <c r="F24" s="3"/>
      <c r="G24" s="23"/>
      <c r="H24" s="23"/>
      <c r="I24" s="23"/>
      <c r="J24" s="23"/>
      <c r="K24" s="23"/>
      <c r="L24" s="23"/>
      <c r="M24" s="23"/>
      <c r="N24" s="23"/>
      <c r="O24" s="22"/>
      <c r="P24" s="22"/>
      <c r="Q24" s="22"/>
      <c r="R24" s="22"/>
      <c r="AA24" s="16"/>
      <c r="AB24" s="16"/>
      <c r="AC24" s="16"/>
      <c r="AL24" s="16"/>
      <c r="AM24" s="16"/>
      <c r="AN24" s="16"/>
    </row>
  </sheetData>
  <sheetProtection/>
  <mergeCells count="135">
    <mergeCell ref="BV2:BW2"/>
    <mergeCell ref="E2:E3"/>
    <mergeCell ref="A7:A11"/>
    <mergeCell ref="N7:N11"/>
    <mergeCell ref="BL1:BM1"/>
    <mergeCell ref="BN1:BW1"/>
    <mergeCell ref="BL2:BL3"/>
    <mergeCell ref="BM2:BM3"/>
    <mergeCell ref="BN2:BO2"/>
    <mergeCell ref="BP2:BQ2"/>
    <mergeCell ref="BR2:BS2"/>
    <mergeCell ref="BT2:BU2"/>
    <mergeCell ref="AD7:AD11"/>
    <mergeCell ref="N12:N15"/>
    <mergeCell ref="AD12:AD15"/>
    <mergeCell ref="E7:E11"/>
    <mergeCell ref="M7:M11"/>
    <mergeCell ref="J7:J11"/>
    <mergeCell ref="K7:K11"/>
    <mergeCell ref="L7:L11"/>
    <mergeCell ref="C7:C11"/>
    <mergeCell ref="D7:D11"/>
    <mergeCell ref="F7:F11"/>
    <mergeCell ref="I7:I11"/>
    <mergeCell ref="G7:G11"/>
    <mergeCell ref="H7:H11"/>
    <mergeCell ref="A12:A15"/>
    <mergeCell ref="B12:B15"/>
    <mergeCell ref="C12:C15"/>
    <mergeCell ref="D12:D15"/>
    <mergeCell ref="E12:E15"/>
    <mergeCell ref="F12:F15"/>
    <mergeCell ref="A18:A20"/>
    <mergeCell ref="B18:B20"/>
    <mergeCell ref="C18:C20"/>
    <mergeCell ref="D18:D20"/>
    <mergeCell ref="E18:E20"/>
    <mergeCell ref="F18:F20"/>
    <mergeCell ref="O18:O20"/>
    <mergeCell ref="AD18:AD20"/>
    <mergeCell ref="G18:G20"/>
    <mergeCell ref="H18:H20"/>
    <mergeCell ref="I18:I20"/>
    <mergeCell ref="J18:J20"/>
    <mergeCell ref="K18:K20"/>
    <mergeCell ref="L18:L20"/>
    <mergeCell ref="M18:M20"/>
    <mergeCell ref="S18:S20"/>
    <mergeCell ref="J12:J15"/>
    <mergeCell ref="K12:K15"/>
    <mergeCell ref="G12:G15"/>
    <mergeCell ref="H12:H15"/>
    <mergeCell ref="I12:I15"/>
    <mergeCell ref="N18:N20"/>
    <mergeCell ref="L12:L15"/>
    <mergeCell ref="M12:M15"/>
    <mergeCell ref="G16:G17"/>
    <mergeCell ref="H16:H17"/>
    <mergeCell ref="I16:I17"/>
    <mergeCell ref="A16:A17"/>
    <mergeCell ref="B16:B17"/>
    <mergeCell ref="C16:C17"/>
    <mergeCell ref="D16:D17"/>
    <mergeCell ref="E16:E17"/>
    <mergeCell ref="F16:F17"/>
    <mergeCell ref="AD16:AD17"/>
    <mergeCell ref="J16:J17"/>
    <mergeCell ref="K16:K17"/>
    <mergeCell ref="L16:L17"/>
    <mergeCell ref="M16:M17"/>
    <mergeCell ref="N16:N17"/>
    <mergeCell ref="O16:O17"/>
    <mergeCell ref="S16:S17"/>
    <mergeCell ref="Z2:Z3"/>
    <mergeCell ref="AG2:AG3"/>
    <mergeCell ref="AH2:AH3"/>
    <mergeCell ref="U2:U3"/>
    <mergeCell ref="V2:V3"/>
    <mergeCell ref="W2:W3"/>
    <mergeCell ref="X2:X3"/>
    <mergeCell ref="AA2:AA3"/>
    <mergeCell ref="AB2:AB3"/>
    <mergeCell ref="P2:P3"/>
    <mergeCell ref="Q2:R2"/>
    <mergeCell ref="G2:G3"/>
    <mergeCell ref="H2:N2"/>
    <mergeCell ref="O2:O3"/>
    <mergeCell ref="Y2:Y3"/>
    <mergeCell ref="AC2:AC3"/>
    <mergeCell ref="AD2:AD3"/>
    <mergeCell ref="AN2:AN3"/>
    <mergeCell ref="A2:A3"/>
    <mergeCell ref="B2:B3"/>
    <mergeCell ref="C2:C3"/>
    <mergeCell ref="D2:D3"/>
    <mergeCell ref="S2:S3"/>
    <mergeCell ref="T2:T3"/>
    <mergeCell ref="F2:F3"/>
    <mergeCell ref="BG2:BG3"/>
    <mergeCell ref="AI2:AI3"/>
    <mergeCell ref="AJ2:AJ3"/>
    <mergeCell ref="AK2:AK3"/>
    <mergeCell ref="BF2:BF3"/>
    <mergeCell ref="AU2:AU3"/>
    <mergeCell ref="AY2:AY3"/>
    <mergeCell ref="AZ2:AZ3"/>
    <mergeCell ref="BA2:BA3"/>
    <mergeCell ref="AW2:AW3"/>
    <mergeCell ref="BK2:BK3"/>
    <mergeCell ref="AD1:AN1"/>
    <mergeCell ref="AL2:AL3"/>
    <mergeCell ref="AM2:AM3"/>
    <mergeCell ref="AE2:AE3"/>
    <mergeCell ref="AF2:AF3"/>
    <mergeCell ref="AS2:AS3"/>
    <mergeCell ref="AT2:AT3"/>
    <mergeCell ref="BH2:BH3"/>
    <mergeCell ref="AV2:AV3"/>
    <mergeCell ref="AR1:BA1"/>
    <mergeCell ref="AO1:AQ1"/>
    <mergeCell ref="AO2:AO3"/>
    <mergeCell ref="AP2:AP3"/>
    <mergeCell ref="AQ2:AQ3"/>
    <mergeCell ref="AR2:AR3"/>
    <mergeCell ref="AX2:AX3"/>
    <mergeCell ref="BB1:BK1"/>
    <mergeCell ref="BB2:BB3"/>
    <mergeCell ref="BC2:BC3"/>
    <mergeCell ref="BD2:BD3"/>
    <mergeCell ref="BE2:BE3"/>
    <mergeCell ref="S12:S15"/>
    <mergeCell ref="S7:S11"/>
    <mergeCell ref="S1:AC1"/>
    <mergeCell ref="BI2:BI3"/>
    <mergeCell ref="BJ2:BJ3"/>
  </mergeCells>
  <printOptions/>
  <pageMargins left="0.7" right="0.7" top="0.75" bottom="0.75" header="0.3" footer="0.3"/>
  <pageSetup horizontalDpi="300" verticalDpi="300" orientation="portrait" r:id="rId1"/>
  <ignoredErrors>
    <ignoredError sqref="BP7:BQ7 BO7 BS7 BT7:BW7" formula="1"/>
  </ignoredErrors>
</worksheet>
</file>

<file path=xl/worksheets/sheet9.xml><?xml version="1.0" encoding="utf-8"?>
<worksheet xmlns="http://schemas.openxmlformats.org/spreadsheetml/2006/main" xmlns:r="http://schemas.openxmlformats.org/officeDocument/2006/relationships">
  <dimension ref="A1:F28"/>
  <sheetViews>
    <sheetView zoomScale="90" zoomScaleNormal="90" zoomScalePageLayoutView="0" workbookViewId="0" topLeftCell="A1">
      <selection activeCell="A28" sqref="A28"/>
    </sheetView>
  </sheetViews>
  <sheetFormatPr defaultColWidth="11.421875" defaultRowHeight="15"/>
  <cols>
    <col min="6" max="6" width="17.140625" style="0" customWidth="1"/>
  </cols>
  <sheetData>
    <row r="1" spans="1:6" ht="15.75" thickBot="1">
      <c r="A1" s="297">
        <v>2019</v>
      </c>
      <c r="B1" s="298"/>
      <c r="C1" s="299"/>
      <c r="D1" s="297">
        <v>2020</v>
      </c>
      <c r="E1" s="298"/>
      <c r="F1" s="299"/>
    </row>
    <row r="2" spans="1:6" ht="15">
      <c r="A2" s="145" t="s">
        <v>1145</v>
      </c>
      <c r="B2" s="146" t="s">
        <v>1146</v>
      </c>
      <c r="C2" s="152" t="s">
        <v>1279</v>
      </c>
      <c r="D2" s="145" t="s">
        <v>1145</v>
      </c>
      <c r="E2" s="146" t="s">
        <v>1146</v>
      </c>
      <c r="F2" s="147" t="s">
        <v>1279</v>
      </c>
    </row>
    <row r="3" spans="1:6" ht="15">
      <c r="A3" s="168"/>
      <c r="B3" s="169"/>
      <c r="C3" s="169"/>
      <c r="D3" s="168"/>
      <c r="E3" s="123">
        <v>5</v>
      </c>
      <c r="F3" s="151">
        <f>MEDIAN(E3:E15)</f>
        <v>5</v>
      </c>
    </row>
    <row r="4" spans="1:6" ht="16.5">
      <c r="A4" s="168"/>
      <c r="B4" s="169"/>
      <c r="C4" s="169"/>
      <c r="D4" s="168"/>
      <c r="E4" s="123">
        <v>5</v>
      </c>
      <c r="F4" s="170"/>
    </row>
    <row r="5" spans="1:6" ht="16.5">
      <c r="A5" s="168"/>
      <c r="B5" s="169"/>
      <c r="C5" s="169"/>
      <c r="D5" s="168"/>
      <c r="E5" s="123">
        <v>39</v>
      </c>
      <c r="F5" s="170"/>
    </row>
    <row r="6" spans="1:6" ht="16.5">
      <c r="A6" s="168"/>
      <c r="B6" s="169"/>
      <c r="C6" s="169"/>
      <c r="D6" s="168"/>
      <c r="E6" s="123">
        <v>5</v>
      </c>
      <c r="F6" s="170"/>
    </row>
    <row r="7" spans="1:6" ht="16.5">
      <c r="A7" s="168"/>
      <c r="B7" s="169"/>
      <c r="C7" s="169"/>
      <c r="D7" s="168"/>
      <c r="E7" s="123">
        <v>5</v>
      </c>
      <c r="F7" s="170"/>
    </row>
    <row r="8" spans="1:6" ht="16.5">
      <c r="A8" s="168"/>
      <c r="B8" s="169"/>
      <c r="C8" s="169"/>
      <c r="D8" s="168"/>
      <c r="E8" s="123">
        <v>46.2</v>
      </c>
      <c r="F8" s="170"/>
    </row>
    <row r="9" spans="1:6" ht="16.5">
      <c r="A9" s="168"/>
      <c r="B9" s="169"/>
      <c r="C9" s="169"/>
      <c r="D9" s="168"/>
      <c r="E9" s="123">
        <v>5</v>
      </c>
      <c r="F9" s="170"/>
    </row>
    <row r="10" spans="1:6" ht="16.5">
      <c r="A10" s="168"/>
      <c r="B10" s="169"/>
      <c r="C10" s="169"/>
      <c r="D10" s="168"/>
      <c r="E10" s="123">
        <v>5</v>
      </c>
      <c r="F10" s="170"/>
    </row>
    <row r="11" spans="1:6" ht="16.5">
      <c r="A11" s="168"/>
      <c r="B11" s="169"/>
      <c r="C11" s="169"/>
      <c r="D11" s="168"/>
      <c r="E11" s="123">
        <v>2</v>
      </c>
      <c r="F11" s="170"/>
    </row>
    <row r="12" spans="1:6" ht="16.5">
      <c r="A12" s="168"/>
      <c r="B12" s="169"/>
      <c r="C12" s="169"/>
      <c r="D12" s="168"/>
      <c r="E12" s="123">
        <v>3</v>
      </c>
      <c r="F12" s="170"/>
    </row>
    <row r="13" spans="1:6" ht="16.5">
      <c r="A13" s="168"/>
      <c r="B13" s="169"/>
      <c r="C13" s="169"/>
      <c r="D13" s="168"/>
      <c r="E13" s="123">
        <v>2.6</v>
      </c>
      <c r="F13" s="170"/>
    </row>
    <row r="14" spans="1:6" ht="16.5">
      <c r="A14" s="168"/>
      <c r="B14" s="169"/>
      <c r="C14" s="169"/>
      <c r="D14" s="168"/>
      <c r="E14" s="123">
        <v>2</v>
      </c>
      <c r="F14" s="170"/>
    </row>
    <row r="15" spans="1:6" ht="17.25" thickBot="1">
      <c r="A15" s="171"/>
      <c r="B15" s="172"/>
      <c r="C15" s="172"/>
      <c r="D15" s="171"/>
      <c r="E15" s="105">
        <v>2</v>
      </c>
      <c r="F15" s="173"/>
    </row>
    <row r="16" spans="1:6" ht="15">
      <c r="A16" s="145" t="s">
        <v>1147</v>
      </c>
      <c r="B16" s="152" t="s">
        <v>44</v>
      </c>
      <c r="C16" s="147" t="s">
        <v>1280</v>
      </c>
      <c r="D16" s="152" t="s">
        <v>1147</v>
      </c>
      <c r="E16" s="152" t="s">
        <v>44</v>
      </c>
      <c r="F16" s="147" t="s">
        <v>1280</v>
      </c>
    </row>
    <row r="17" spans="1:6" ht="15">
      <c r="A17" s="168"/>
      <c r="B17" s="123">
        <v>26</v>
      </c>
      <c r="C17" s="151">
        <f>MEDIAN(B17:B21)</f>
        <v>26</v>
      </c>
      <c r="D17" s="169"/>
      <c r="E17" s="123">
        <v>37</v>
      </c>
      <c r="F17" s="151">
        <f>MEDIAN(E17:E22)</f>
        <v>41.5</v>
      </c>
    </row>
    <row r="18" spans="1:6" ht="15">
      <c r="A18" s="168"/>
      <c r="B18" s="123">
        <v>28</v>
      </c>
      <c r="C18" s="174"/>
      <c r="D18" s="169"/>
      <c r="E18" s="123">
        <v>67</v>
      </c>
      <c r="F18" s="174"/>
    </row>
    <row r="19" spans="1:6" ht="15">
      <c r="A19" s="168"/>
      <c r="B19" s="123">
        <v>47</v>
      </c>
      <c r="C19" s="174"/>
      <c r="D19" s="169"/>
      <c r="E19" s="123">
        <v>47</v>
      </c>
      <c r="F19" s="174"/>
    </row>
    <row r="20" spans="1:6" ht="15">
      <c r="A20" s="168"/>
      <c r="B20" s="123">
        <v>16</v>
      </c>
      <c r="C20" s="174"/>
      <c r="D20" s="169"/>
      <c r="E20" s="123">
        <v>46</v>
      </c>
      <c r="F20" s="174"/>
    </row>
    <row r="21" spans="1:6" ht="15">
      <c r="A21" s="168"/>
      <c r="B21" s="123">
        <v>9</v>
      </c>
      <c r="C21" s="174"/>
      <c r="D21" s="169"/>
      <c r="E21" s="123">
        <v>16</v>
      </c>
      <c r="F21" s="174"/>
    </row>
    <row r="22" spans="1:6" ht="15.75" thickBot="1">
      <c r="A22" s="171"/>
      <c r="B22" s="105"/>
      <c r="C22" s="175"/>
      <c r="D22" s="172"/>
      <c r="E22" s="105">
        <v>9</v>
      </c>
      <c r="F22" s="175"/>
    </row>
    <row r="23" spans="2:5" ht="15">
      <c r="B23" s="122"/>
      <c r="E23" s="122"/>
    </row>
    <row r="24" spans="2:5" ht="15">
      <c r="B24" s="122"/>
      <c r="E24" s="122"/>
    </row>
    <row r="25" spans="2:5" ht="15">
      <c r="B25" s="122"/>
      <c r="E25" s="122"/>
    </row>
    <row r="26" spans="2:5" ht="15">
      <c r="B26" s="122"/>
      <c r="E26" s="122"/>
    </row>
    <row r="28" spans="2:5" ht="15">
      <c r="B28" s="122"/>
      <c r="E28" s="122"/>
    </row>
  </sheetData>
  <sheetProtection/>
  <mergeCells count="2">
    <mergeCell ref="A1:C1"/>
    <mergeCell ref="D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ana.zorro</dc:creator>
  <cp:keywords/>
  <dc:description/>
  <cp:lastModifiedBy>Usuario</cp:lastModifiedBy>
  <cp:lastPrinted>2015-08-13T12:32:55Z</cp:lastPrinted>
  <dcterms:created xsi:type="dcterms:W3CDTF">2012-01-05T14:54:29Z</dcterms:created>
  <dcterms:modified xsi:type="dcterms:W3CDTF">2021-12-20T16:50:22Z</dcterms:modified>
  <cp:category/>
  <cp:version/>
  <cp:contentType/>
  <cp:contentStatus/>
</cp:coreProperties>
</file>