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fileSharing readOnlyRecommended="1"/>
  <workbookPr defaultThemeVersion="124226"/>
  <mc:AlternateContent xmlns:mc="http://schemas.openxmlformats.org/markup-compatibility/2006">
    <mc:Choice Requires="x15">
      <x15ac:absPath xmlns:x15ac="http://schemas.microsoft.com/office/spreadsheetml/2010/11/ac" url="C:\Users\marcela.reyes\Documents\ARCHIVOS SECRETARIA DE AMBIENTE\PLANES DE ACCIÓN\Bogota Humana\PROYECTOS\821\"/>
    </mc:Choice>
  </mc:AlternateContent>
  <xr:revisionPtr revIDLastSave="0" documentId="8_{19941F8C-2794-4E46-83CB-E27CCFB33849}" xr6:coauthVersionLast="36" xr6:coauthVersionMax="36" xr10:uidLastSave="{00000000-0000-0000-0000-000000000000}"/>
  <bookViews>
    <workbookView xWindow="0" yWindow="0" windowWidth="24000" windowHeight="10920" tabRatio="373" activeTab="1" xr2:uid="{00000000-000D-0000-FFFF-FFFF00000000}"/>
  </bookViews>
  <sheets>
    <sheet name="GESTIÓN" sheetId="5" r:id="rId1"/>
    <sheet name="INVERSIÓN" sheetId="6" r:id="rId2"/>
    <sheet name="ACTIVIDADES" sheetId="7" r:id="rId3"/>
    <sheet name="TERRITORIALIZACIÓN" sheetId="8" r:id="rId4"/>
  </sheets>
  <externalReferences>
    <externalReference r:id="rId5"/>
  </externalReferences>
  <definedNames>
    <definedName name="_8_1_LOCALIDADES">TERRITORIALIZACIÓN!#REF!</definedName>
    <definedName name="_xlnm.Print_Area" localSheetId="2">ACTIVIDADES!#REF!</definedName>
    <definedName name="_xlnm.Print_Area" localSheetId="0">GESTIÓN!$A$1:$AQ$27</definedName>
    <definedName name="_xlnm.Print_Area" localSheetId="1">INVERSIÓN!$A$1:$AP$145</definedName>
    <definedName name="_xlnm.Print_Area" localSheetId="3">TERRITORIALIZACIÓN!#REF!</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 name="_xlnm.Print_Titles" localSheetId="1">INVERSIÓN!$6:$8</definedName>
    <definedName name="_xlnm.Print_Titles" localSheetId="3">TERRITORIALIZACIÓN!#REF!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J112" i="6" l="1"/>
  <c r="AJ111" i="6"/>
  <c r="AL26" i="5"/>
  <c r="AK26" i="5"/>
  <c r="AJ100" i="6"/>
  <c r="AJ99" i="6"/>
  <c r="AL25" i="5"/>
  <c r="AK25" i="5"/>
  <c r="AL24" i="5" l="1"/>
  <c r="AK24" i="5"/>
  <c r="AL23" i="5"/>
  <c r="AK23" i="5"/>
  <c r="AJ76" i="6"/>
  <c r="AJ75" i="6"/>
  <c r="AK21" i="5"/>
  <c r="AJ64" i="6"/>
  <c r="AJ63" i="6"/>
  <c r="AJ58" i="6"/>
  <c r="AJ57" i="6"/>
  <c r="AJ52" i="6"/>
  <c r="AJ51" i="6"/>
  <c r="AK20" i="5"/>
  <c r="AK19" i="5"/>
  <c r="H106" i="6"/>
  <c r="AJ106" i="6"/>
  <c r="AJ105" i="6"/>
  <c r="AL18" i="5"/>
  <c r="AK18" i="5"/>
  <c r="AK17" i="5"/>
  <c r="AK15" i="5"/>
  <c r="AJ22" i="6"/>
  <c r="AJ21" i="6"/>
  <c r="AJ16" i="6"/>
  <c r="AJ15" i="6"/>
  <c r="AK9" i="6"/>
  <c r="AL14" i="5"/>
  <c r="AK14" i="5"/>
  <c r="AG142" i="6" l="1"/>
  <c r="AG141" i="6"/>
  <c r="AG143" i="6" s="1"/>
  <c r="W142" i="6" l="1"/>
  <c r="P259" i="8" l="1"/>
  <c r="O259" i="8"/>
  <c r="J259" i="8"/>
  <c r="I259" i="8"/>
  <c r="P257" i="8"/>
  <c r="O257" i="8"/>
  <c r="J257" i="8"/>
  <c r="I257" i="8"/>
  <c r="L252" i="8"/>
  <c r="N252" i="8" s="1"/>
  <c r="N251" i="8"/>
  <c r="K251" i="8"/>
  <c r="N248" i="8"/>
  <c r="K248" i="8"/>
  <c r="N247" i="8"/>
  <c r="N246" i="8"/>
  <c r="K246" i="8"/>
  <c r="AA245" i="8"/>
  <c r="N245" i="8"/>
  <c r="L245" i="8"/>
  <c r="K245" i="8"/>
  <c r="N244" i="8"/>
  <c r="K244" i="8"/>
  <c r="K252" i="8" s="1"/>
  <c r="N243" i="8"/>
  <c r="L242" i="8"/>
  <c r="L250" i="8" s="1"/>
  <c r="N250" i="8" s="1"/>
  <c r="K242" i="8"/>
  <c r="AA241" i="8"/>
  <c r="L241" i="8"/>
  <c r="L249" i="8" s="1"/>
  <c r="N249" i="8" s="1"/>
  <c r="K241" i="8"/>
  <c r="K249" i="8" s="1"/>
  <c r="N240" i="8"/>
  <c r="N239" i="8"/>
  <c r="N238" i="8"/>
  <c r="AA237" i="8"/>
  <c r="N237" i="8"/>
  <c r="N236" i="8"/>
  <c r="N235" i="8"/>
  <c r="N234" i="8"/>
  <c r="AA233" i="8"/>
  <c r="N233" i="8"/>
  <c r="N232" i="8"/>
  <c r="N231" i="8"/>
  <c r="N230" i="8"/>
  <c r="W229" i="8"/>
  <c r="V229" i="8"/>
  <c r="AA229" i="8" s="1"/>
  <c r="N229" i="8"/>
  <c r="N228" i="8"/>
  <c r="J228" i="8"/>
  <c r="I228" i="8"/>
  <c r="N227" i="8"/>
  <c r="K227" i="8"/>
  <c r="J227" i="8"/>
  <c r="I227" i="8"/>
  <c r="J226" i="8"/>
  <c r="I226" i="8"/>
  <c r="N225" i="8"/>
  <c r="K225" i="8"/>
  <c r="J225" i="8"/>
  <c r="I225" i="8"/>
  <c r="L224" i="8"/>
  <c r="N224" i="8" s="1"/>
  <c r="N223" i="8"/>
  <c r="L222" i="8"/>
  <c r="N222" i="8" s="1"/>
  <c r="N221" i="8"/>
  <c r="L220" i="8"/>
  <c r="N220" i="8" s="1"/>
  <c r="K220" i="8"/>
  <c r="N219" i="8"/>
  <c r="L218" i="8"/>
  <c r="N218" i="8" s="1"/>
  <c r="K218" i="8"/>
  <c r="N217" i="8"/>
  <c r="L216" i="8"/>
  <c r="N216" i="8" s="1"/>
  <c r="K216" i="8"/>
  <c r="K228" i="8" s="1"/>
  <c r="N215" i="8"/>
  <c r="L214" i="8"/>
  <c r="K214" i="8"/>
  <c r="N213" i="8"/>
  <c r="N211" i="8"/>
  <c r="N209" i="8"/>
  <c r="K209" i="8"/>
  <c r="L208" i="8"/>
  <c r="N208" i="8" s="1"/>
  <c r="N207" i="8"/>
  <c r="L206" i="8"/>
  <c r="N206" i="8" s="1"/>
  <c r="AA205" i="8"/>
  <c r="N205" i="8"/>
  <c r="L204" i="8"/>
  <c r="K204" i="8"/>
  <c r="N203" i="8"/>
  <c r="L202" i="8"/>
  <c r="L210" i="8" s="1"/>
  <c r="N210" i="8" s="1"/>
  <c r="K202" i="8"/>
  <c r="AA201" i="8"/>
  <c r="N201" i="8"/>
  <c r="N200" i="8"/>
  <c r="L200" i="8"/>
  <c r="K200" i="8"/>
  <c r="K212" i="8" s="1"/>
  <c r="N199" i="8"/>
  <c r="N198" i="8"/>
  <c r="L198" i="8"/>
  <c r="K198" i="8"/>
  <c r="K210" i="8" s="1"/>
  <c r="AA197" i="8"/>
  <c r="N197" i="8"/>
  <c r="N196" i="8"/>
  <c r="N195" i="8"/>
  <c r="N194" i="8"/>
  <c r="AA193" i="8"/>
  <c r="N193" i="8"/>
  <c r="N192" i="8"/>
  <c r="N191" i="8"/>
  <c r="N190" i="8"/>
  <c r="W189" i="8"/>
  <c r="V189" i="8"/>
  <c r="N189" i="8"/>
  <c r="N187" i="8"/>
  <c r="L185" i="8"/>
  <c r="N185" i="8" s="1"/>
  <c r="K185" i="8"/>
  <c r="L184" i="8"/>
  <c r="L188" i="8" s="1"/>
  <c r="N188" i="8" s="1"/>
  <c r="K184" i="8"/>
  <c r="N183" i="8"/>
  <c r="L182" i="8"/>
  <c r="N182" i="8" s="1"/>
  <c r="K182" i="8"/>
  <c r="AA181" i="8"/>
  <c r="N181" i="8"/>
  <c r="N180" i="8"/>
  <c r="K180" i="8"/>
  <c r="K188" i="8" s="1"/>
  <c r="N179" i="8"/>
  <c r="L178" i="8"/>
  <c r="K178" i="8"/>
  <c r="AA177" i="8"/>
  <c r="N177" i="8"/>
  <c r="P176" i="8"/>
  <c r="O176" i="8"/>
  <c r="N176" i="8"/>
  <c r="L176" i="8"/>
  <c r="K176" i="8"/>
  <c r="N175" i="8"/>
  <c r="K175" i="8"/>
  <c r="L174" i="8"/>
  <c r="N174" i="8" s="1"/>
  <c r="K174" i="8"/>
  <c r="K173" i="8"/>
  <c r="N172" i="8"/>
  <c r="N171" i="8"/>
  <c r="N170" i="8"/>
  <c r="W169" i="8"/>
  <c r="AA169" i="8" s="1"/>
  <c r="V169" i="8"/>
  <c r="N169" i="8"/>
  <c r="N168" i="8"/>
  <c r="N167" i="8"/>
  <c r="N166" i="8"/>
  <c r="AA165" i="8"/>
  <c r="L165" i="8"/>
  <c r="L173" i="8" s="1"/>
  <c r="N173" i="8" s="1"/>
  <c r="H163" i="8"/>
  <c r="N162" i="8"/>
  <c r="K162" i="8"/>
  <c r="L160" i="8"/>
  <c r="N160" i="8" s="1"/>
  <c r="K160" i="8"/>
  <c r="N159" i="8"/>
  <c r="N158" i="8"/>
  <c r="N157" i="8"/>
  <c r="N156" i="8"/>
  <c r="N155" i="8"/>
  <c r="N154" i="8"/>
  <c r="L153" i="8"/>
  <c r="N153" i="8" s="1"/>
  <c r="K153" i="8"/>
  <c r="W152" i="8"/>
  <c r="V152" i="8"/>
  <c r="N152" i="8"/>
  <c r="L151" i="8"/>
  <c r="N151" i="8" s="1"/>
  <c r="K151" i="8"/>
  <c r="N150" i="8"/>
  <c r="L149" i="8"/>
  <c r="N149" i="8" s="1"/>
  <c r="K149" i="8"/>
  <c r="AA148" i="8"/>
  <c r="N148" i="8"/>
  <c r="L147" i="8"/>
  <c r="N147" i="8" s="1"/>
  <c r="K147" i="8"/>
  <c r="N146" i="8"/>
  <c r="L145" i="8"/>
  <c r="N145" i="8" s="1"/>
  <c r="K145" i="8"/>
  <c r="K161" i="8" s="1"/>
  <c r="AA144" i="8"/>
  <c r="N144" i="8"/>
  <c r="L143" i="8"/>
  <c r="N143" i="8" s="1"/>
  <c r="K143" i="8"/>
  <c r="K164" i="8" s="1"/>
  <c r="N142" i="8"/>
  <c r="L141" i="8"/>
  <c r="K141" i="8"/>
  <c r="AA140" i="8"/>
  <c r="N140" i="8"/>
  <c r="L139" i="8"/>
  <c r="N139" i="8" s="1"/>
  <c r="H138" i="8"/>
  <c r="N137" i="8"/>
  <c r="L136" i="8"/>
  <c r="N136" i="8" s="1"/>
  <c r="L135" i="8"/>
  <c r="N135" i="8" s="1"/>
  <c r="K135" i="8"/>
  <c r="N134" i="8"/>
  <c r="K134" i="8"/>
  <c r="N133" i="8"/>
  <c r="N132" i="8"/>
  <c r="AA131" i="8"/>
  <c r="N131" i="8"/>
  <c r="N130" i="8"/>
  <c r="K130" i="8"/>
  <c r="N129" i="8"/>
  <c r="L128" i="8"/>
  <c r="N128" i="8" s="1"/>
  <c r="K128" i="8"/>
  <c r="W127" i="8"/>
  <c r="V127" i="8"/>
  <c r="N127" i="8"/>
  <c r="N126" i="8"/>
  <c r="K126" i="8"/>
  <c r="N125" i="8"/>
  <c r="N124" i="8"/>
  <c r="L124" i="8"/>
  <c r="K124" i="8"/>
  <c r="W123" i="8"/>
  <c r="V123" i="8"/>
  <c r="AA123" i="8" s="1"/>
  <c r="N123" i="8"/>
  <c r="N122" i="8"/>
  <c r="K122" i="8"/>
  <c r="N121" i="8"/>
  <c r="N120" i="8"/>
  <c r="K120" i="8"/>
  <c r="AA119" i="8"/>
  <c r="N119" i="8"/>
  <c r="N118" i="8"/>
  <c r="K118" i="8"/>
  <c r="N117" i="8"/>
  <c r="N116" i="8"/>
  <c r="K116" i="8"/>
  <c r="AA115" i="8"/>
  <c r="N115" i="8"/>
  <c r="N114" i="8"/>
  <c r="N113" i="8"/>
  <c r="N112" i="8"/>
  <c r="AA111" i="8"/>
  <c r="N111" i="8"/>
  <c r="N110" i="8"/>
  <c r="N109" i="8"/>
  <c r="N108" i="8"/>
  <c r="AA107" i="8"/>
  <c r="N107" i="8"/>
  <c r="L106" i="8"/>
  <c r="N106" i="8" s="1"/>
  <c r="N105" i="8"/>
  <c r="L103" i="8"/>
  <c r="N103" i="8" s="1"/>
  <c r="K103" i="8"/>
  <c r="N102" i="8"/>
  <c r="K102" i="8"/>
  <c r="N101" i="8"/>
  <c r="L100" i="8"/>
  <c r="N100" i="8" s="1"/>
  <c r="K100" i="8"/>
  <c r="AA99" i="8"/>
  <c r="N99" i="8"/>
  <c r="N98" i="8"/>
  <c r="K98" i="8"/>
  <c r="N97" i="8"/>
  <c r="L96" i="8"/>
  <c r="N96" i="8" s="1"/>
  <c r="K96" i="8"/>
  <c r="AA95" i="8"/>
  <c r="N95" i="8"/>
  <c r="N94" i="8"/>
  <c r="K94" i="8"/>
  <c r="N93" i="8"/>
  <c r="L92" i="8"/>
  <c r="N92" i="8" s="1"/>
  <c r="K92" i="8"/>
  <c r="AA91" i="8"/>
  <c r="N91" i="8"/>
  <c r="N90" i="8"/>
  <c r="K90" i="8"/>
  <c r="K106" i="8" s="1"/>
  <c r="N89" i="8"/>
  <c r="L88" i="8"/>
  <c r="L104" i="8" s="1"/>
  <c r="N104" i="8" s="1"/>
  <c r="K88" i="8"/>
  <c r="K104" i="8" s="1"/>
  <c r="AA87" i="8"/>
  <c r="N87" i="8"/>
  <c r="N86" i="8"/>
  <c r="N85" i="8"/>
  <c r="N84" i="8"/>
  <c r="N83" i="8"/>
  <c r="N82" i="8"/>
  <c r="N81" i="8"/>
  <c r="N80" i="8"/>
  <c r="AA79" i="8"/>
  <c r="N79" i="8"/>
  <c r="N77" i="8"/>
  <c r="K77" i="8"/>
  <c r="L75" i="8"/>
  <c r="N75" i="8" s="1"/>
  <c r="K75" i="8"/>
  <c r="J75" i="8"/>
  <c r="I75" i="8"/>
  <c r="L74" i="8"/>
  <c r="K74" i="8"/>
  <c r="N73" i="8"/>
  <c r="L72" i="8"/>
  <c r="K72" i="8"/>
  <c r="W71" i="8"/>
  <c r="V71" i="8"/>
  <c r="AA71" i="8" s="1"/>
  <c r="N71" i="8"/>
  <c r="N70" i="8"/>
  <c r="L70" i="8"/>
  <c r="K70" i="8"/>
  <c r="K78" i="8" s="1"/>
  <c r="N69" i="8"/>
  <c r="N68" i="8"/>
  <c r="L68" i="8"/>
  <c r="K68" i="8"/>
  <c r="W67" i="8"/>
  <c r="V67" i="8"/>
  <c r="N67" i="8"/>
  <c r="L66" i="8"/>
  <c r="N66" i="8" s="1"/>
  <c r="K66" i="8"/>
  <c r="N65" i="8"/>
  <c r="L64" i="8"/>
  <c r="N64" i="8" s="1"/>
  <c r="K64" i="8"/>
  <c r="AA63" i="8"/>
  <c r="N63" i="8"/>
  <c r="L62" i="8"/>
  <c r="N62" i="8" s="1"/>
  <c r="K62" i="8"/>
  <c r="N61" i="8"/>
  <c r="L60" i="8"/>
  <c r="N60" i="8" s="1"/>
  <c r="K60" i="8"/>
  <c r="AA59" i="8"/>
  <c r="N59" i="8"/>
  <c r="N58" i="8"/>
  <c r="N57" i="8"/>
  <c r="L56" i="8"/>
  <c r="N56" i="8" s="1"/>
  <c r="AA55" i="8"/>
  <c r="N55" i="8"/>
  <c r="N54" i="8"/>
  <c r="N53" i="8"/>
  <c r="L52" i="8"/>
  <c r="N52" i="8" s="1"/>
  <c r="AA51" i="8"/>
  <c r="N51" i="8"/>
  <c r="N50" i="8"/>
  <c r="N49" i="8"/>
  <c r="L48" i="8"/>
  <c r="N48" i="8" s="1"/>
  <c r="W47" i="8"/>
  <c r="V47" i="8"/>
  <c r="AA47" i="8" s="1"/>
  <c r="N47" i="8"/>
  <c r="N46" i="8"/>
  <c r="N45" i="8"/>
  <c r="N44" i="8"/>
  <c r="AA43" i="8"/>
  <c r="N43" i="8"/>
  <c r="L42" i="8"/>
  <c r="N42" i="8" s="1"/>
  <c r="N41" i="8"/>
  <c r="L40" i="8"/>
  <c r="N40" i="8" s="1"/>
  <c r="AA39" i="8"/>
  <c r="N39" i="8"/>
  <c r="N38" i="8"/>
  <c r="N37" i="8"/>
  <c r="N36" i="8"/>
  <c r="N35" i="8"/>
  <c r="N33" i="8"/>
  <c r="K33" i="8"/>
  <c r="L31" i="8"/>
  <c r="N31" i="8" s="1"/>
  <c r="L30" i="8"/>
  <c r="N30" i="8" s="1"/>
  <c r="K30" i="8"/>
  <c r="N29" i="8"/>
  <c r="L28" i="8"/>
  <c r="N28" i="8" s="1"/>
  <c r="K28" i="8"/>
  <c r="W27" i="8"/>
  <c r="AA27" i="8" s="1"/>
  <c r="V27" i="8"/>
  <c r="N27" i="8"/>
  <c r="L26" i="8"/>
  <c r="N26" i="8" s="1"/>
  <c r="K26" i="8"/>
  <c r="N25" i="8"/>
  <c r="L24" i="8"/>
  <c r="N24" i="8" s="1"/>
  <c r="K24" i="8"/>
  <c r="W23" i="8"/>
  <c r="V23" i="8"/>
  <c r="AA23" i="8" s="1"/>
  <c r="N23" i="8"/>
  <c r="N22" i="8"/>
  <c r="L22" i="8"/>
  <c r="K22" i="8"/>
  <c r="N21" i="8"/>
  <c r="N20" i="8"/>
  <c r="L20" i="8"/>
  <c r="K20" i="8"/>
  <c r="W19" i="8"/>
  <c r="V19" i="8"/>
  <c r="AA19" i="8" s="1"/>
  <c r="N19" i="8"/>
  <c r="N18" i="8"/>
  <c r="K18" i="8"/>
  <c r="N17" i="8"/>
  <c r="L16" i="8"/>
  <c r="N16" i="8" s="1"/>
  <c r="K16" i="8"/>
  <c r="W15" i="8"/>
  <c r="AA15" i="8" s="1"/>
  <c r="V15" i="8"/>
  <c r="N15" i="8"/>
  <c r="K15" i="8"/>
  <c r="K31" i="8" s="1"/>
  <c r="N14" i="8"/>
  <c r="N13" i="8"/>
  <c r="AA11" i="8"/>
  <c r="N11" i="8"/>
  <c r="N10" i="8"/>
  <c r="AA7" i="8"/>
  <c r="H264" i="8"/>
  <c r="G251" i="8"/>
  <c r="E251" i="8"/>
  <c r="G249" i="8"/>
  <c r="E249" i="8"/>
  <c r="G248" i="8"/>
  <c r="E248" i="8"/>
  <c r="G246" i="8"/>
  <c r="E246" i="8"/>
  <c r="G244" i="8"/>
  <c r="E244" i="8"/>
  <c r="G242" i="8"/>
  <c r="G250" i="8" s="1"/>
  <c r="E242" i="8"/>
  <c r="E250" i="8" s="1"/>
  <c r="G227" i="8"/>
  <c r="E227" i="8"/>
  <c r="G224" i="8"/>
  <c r="E224" i="8"/>
  <c r="G222" i="8"/>
  <c r="E222" i="8"/>
  <c r="G220" i="8"/>
  <c r="E220" i="8"/>
  <c r="G217" i="8"/>
  <c r="G225" i="8" s="1"/>
  <c r="E217" i="8"/>
  <c r="G216" i="8"/>
  <c r="E216" i="8"/>
  <c r="G213" i="8"/>
  <c r="G214" i="8" s="1"/>
  <c r="E213" i="8"/>
  <c r="E214" i="8" s="1"/>
  <c r="G208" i="8"/>
  <c r="E208" i="8"/>
  <c r="G205" i="8"/>
  <c r="G206" i="8" s="1"/>
  <c r="E205" i="8"/>
  <c r="E206" i="8" s="1"/>
  <c r="G204" i="8"/>
  <c r="E204" i="8"/>
  <c r="G201" i="8"/>
  <c r="G209" i="8" s="1"/>
  <c r="E201" i="8"/>
  <c r="E202" i="8" s="1"/>
  <c r="G200" i="8"/>
  <c r="G212" i="8" s="1"/>
  <c r="E200" i="8"/>
  <c r="G197" i="8"/>
  <c r="G198" i="8" s="1"/>
  <c r="E197" i="8"/>
  <c r="E198" i="8" s="1"/>
  <c r="G185" i="8"/>
  <c r="E185" i="8"/>
  <c r="G184" i="8"/>
  <c r="E184" i="8"/>
  <c r="G182" i="8"/>
  <c r="E182" i="8"/>
  <c r="G180" i="8"/>
  <c r="E180" i="8"/>
  <c r="G178" i="8"/>
  <c r="E178" i="8"/>
  <c r="G175" i="8"/>
  <c r="E175" i="8"/>
  <c r="G173" i="8"/>
  <c r="E173" i="8"/>
  <c r="G170" i="8"/>
  <c r="E170" i="8"/>
  <c r="E174" i="8" s="1"/>
  <c r="G168" i="8"/>
  <c r="G176" i="8" s="1"/>
  <c r="E168" i="8"/>
  <c r="E176" i="8" s="1"/>
  <c r="G166" i="8"/>
  <c r="G174" i="8" s="1"/>
  <c r="E166" i="8"/>
  <c r="G162" i="8"/>
  <c r="E162" i="8"/>
  <c r="G160" i="8"/>
  <c r="E160" i="8"/>
  <c r="G157" i="8"/>
  <c r="E157" i="8"/>
  <c r="G153" i="8"/>
  <c r="E153" i="8"/>
  <c r="G151" i="8"/>
  <c r="E151" i="8"/>
  <c r="G149" i="8"/>
  <c r="E149" i="8"/>
  <c r="G147" i="8"/>
  <c r="E147" i="8"/>
  <c r="G145" i="8"/>
  <c r="E145" i="8"/>
  <c r="G143" i="8"/>
  <c r="E143" i="8"/>
  <c r="G141" i="8"/>
  <c r="E141" i="8"/>
  <c r="E161" i="8" s="1"/>
  <c r="G139" i="8"/>
  <c r="G136" i="8"/>
  <c r="G135" i="8"/>
  <c r="E130" i="8"/>
  <c r="E128" i="8"/>
  <c r="E127" i="8"/>
  <c r="E135" i="8" s="1"/>
  <c r="E126" i="8"/>
  <c r="E124" i="8"/>
  <c r="E123" i="8"/>
  <c r="E122" i="8"/>
  <c r="E120" i="8"/>
  <c r="E119" i="8"/>
  <c r="E118" i="8"/>
  <c r="E116" i="8"/>
  <c r="E115" i="8"/>
  <c r="E114" i="8"/>
  <c r="G106" i="8"/>
  <c r="E104" i="8"/>
  <c r="G103" i="8"/>
  <c r="E103" i="8"/>
  <c r="G100" i="8"/>
  <c r="E100" i="8"/>
  <c r="G96" i="8"/>
  <c r="E96" i="8"/>
  <c r="G92" i="8"/>
  <c r="E92" i="8"/>
  <c r="G90" i="8"/>
  <c r="E90" i="8"/>
  <c r="E106" i="8" s="1"/>
  <c r="G88" i="8"/>
  <c r="E88" i="8"/>
  <c r="G77" i="8"/>
  <c r="E77" i="8"/>
  <c r="G75" i="8"/>
  <c r="E75" i="8"/>
  <c r="G74" i="8"/>
  <c r="E74" i="8"/>
  <c r="G72" i="8"/>
  <c r="E72" i="8"/>
  <c r="G70" i="8"/>
  <c r="E70" i="8"/>
  <c r="E78" i="8" s="1"/>
  <c r="G68" i="8"/>
  <c r="E68" i="8"/>
  <c r="G66" i="8"/>
  <c r="E66" i="8"/>
  <c r="G64" i="8"/>
  <c r="E64" i="8"/>
  <c r="G62" i="8"/>
  <c r="E62" i="8"/>
  <c r="G60" i="8"/>
  <c r="E60" i="8"/>
  <c r="G40" i="8"/>
  <c r="E40" i="8"/>
  <c r="G35" i="8"/>
  <c r="E35" i="8"/>
  <c r="G33" i="8"/>
  <c r="E33" i="8"/>
  <c r="G31" i="8"/>
  <c r="E31" i="8"/>
  <c r="G30" i="8"/>
  <c r="E30" i="8"/>
  <c r="G28" i="8"/>
  <c r="E28" i="8"/>
  <c r="G26" i="8"/>
  <c r="E26" i="8"/>
  <c r="G24" i="8"/>
  <c r="E24" i="8"/>
  <c r="G22" i="8"/>
  <c r="E22" i="8"/>
  <c r="G20" i="8"/>
  <c r="E20" i="8"/>
  <c r="G18" i="8"/>
  <c r="E18" i="8"/>
  <c r="G16" i="8"/>
  <c r="E16" i="8"/>
  <c r="G218" i="8" l="1"/>
  <c r="K186" i="8"/>
  <c r="AA127" i="8"/>
  <c r="N165" i="8"/>
  <c r="E259" i="8"/>
  <c r="L186" i="8"/>
  <c r="N186" i="8" s="1"/>
  <c r="G161" i="8"/>
  <c r="G226" i="8"/>
  <c r="L32" i="8"/>
  <c r="N32" i="8" s="1"/>
  <c r="K136" i="8"/>
  <c r="AA189" i="8"/>
  <c r="L212" i="8"/>
  <c r="N212" i="8" s="1"/>
  <c r="L78" i="8"/>
  <c r="N78" i="8" s="1"/>
  <c r="L257" i="8"/>
  <c r="L161" i="8"/>
  <c r="N161" i="8" s="1"/>
  <c r="K250" i="8"/>
  <c r="G78" i="8"/>
  <c r="E164" i="8"/>
  <c r="E186" i="8"/>
  <c r="K76" i="8"/>
  <c r="G76" i="8"/>
  <c r="G104" i="8"/>
  <c r="E136" i="8"/>
  <c r="G164" i="8"/>
  <c r="G186" i="8"/>
  <c r="E228" i="8"/>
  <c r="G252" i="8"/>
  <c r="K34" i="8"/>
  <c r="L76" i="8"/>
  <c r="N76" i="8" s="1"/>
  <c r="N88" i="8"/>
  <c r="E212" i="8"/>
  <c r="E252" i="8"/>
  <c r="E139" i="8"/>
  <c r="E188" i="8"/>
  <c r="E210" i="8"/>
  <c r="G228" i="8"/>
  <c r="K226" i="8"/>
  <c r="N241" i="8"/>
  <c r="K257" i="8"/>
  <c r="K263" i="8" s="1"/>
  <c r="AA67" i="8"/>
  <c r="N242" i="8"/>
  <c r="G259" i="8"/>
  <c r="E76" i="8"/>
  <c r="G188" i="8"/>
  <c r="E225" i="8"/>
  <c r="L259" i="8"/>
  <c r="L34" i="8"/>
  <c r="N34" i="8" s="1"/>
  <c r="K139" i="8"/>
  <c r="AA152" i="8"/>
  <c r="L226" i="8"/>
  <c r="N226" i="8" s="1"/>
  <c r="K259" i="8"/>
  <c r="N72" i="8"/>
  <c r="N74" i="8"/>
  <c r="L164" i="8"/>
  <c r="N164" i="8" s="1"/>
  <c r="N178" i="8"/>
  <c r="N184" i="8"/>
  <c r="N202" i="8"/>
  <c r="N204" i="8"/>
  <c r="N214" i="8"/>
  <c r="K32" i="8"/>
  <c r="N141" i="8"/>
  <c r="E32" i="8"/>
  <c r="G32" i="8"/>
  <c r="E34" i="8"/>
  <c r="G34" i="8"/>
  <c r="E209" i="8"/>
  <c r="E218" i="8"/>
  <c r="E257" i="8" s="1"/>
  <c r="G202" i="8"/>
  <c r="G257" i="8" s="1"/>
  <c r="G210" i="8" l="1"/>
  <c r="E226" i="8"/>
  <c r="AF142" i="6" l="1"/>
  <c r="AJ124" i="6"/>
  <c r="AJ123" i="6"/>
  <c r="AJ118" i="6"/>
  <c r="AJ117" i="6"/>
  <c r="AJ94" i="6"/>
  <c r="AJ93" i="6"/>
  <c r="AJ88" i="6"/>
  <c r="AJ87" i="6"/>
  <c r="AJ82" i="6"/>
  <c r="AJ81" i="6"/>
  <c r="AJ70" i="6"/>
  <c r="AJ69" i="6"/>
  <c r="AJ130" i="6"/>
  <c r="AJ129" i="6"/>
  <c r="AJ136" i="6"/>
  <c r="AJ135" i="6"/>
  <c r="V44" i="6"/>
  <c r="AF44" i="6"/>
  <c r="AF43" i="6"/>
  <c r="S70" i="7"/>
  <c r="S67" i="7"/>
  <c r="S65" i="7"/>
  <c r="S63" i="7"/>
  <c r="S61" i="7"/>
  <c r="S59" i="7"/>
  <c r="S57" i="7"/>
  <c r="S55" i="7"/>
  <c r="S53" i="7"/>
  <c r="S51" i="7"/>
  <c r="S49" i="7"/>
  <c r="S47" i="7"/>
  <c r="S45" i="7"/>
  <c r="S43" i="7"/>
  <c r="S41" i="7"/>
  <c r="S39" i="7"/>
  <c r="S37" i="7"/>
  <c r="S35" i="7"/>
  <c r="S33" i="7"/>
  <c r="S31" i="7"/>
  <c r="S29" i="7"/>
  <c r="S27" i="7"/>
  <c r="S25" i="7"/>
  <c r="S23" i="7"/>
  <c r="S21" i="7"/>
  <c r="S19" i="7"/>
  <c r="S17" i="7"/>
  <c r="S15" i="7"/>
  <c r="S13" i="7"/>
  <c r="S9" i="7"/>
  <c r="S11" i="7"/>
  <c r="AF134" i="6"/>
  <c r="AF133" i="6"/>
  <c r="AF128" i="6"/>
  <c r="AF127" i="6"/>
  <c r="AF122" i="6"/>
  <c r="AF121" i="6"/>
  <c r="AF116" i="6"/>
  <c r="AF115" i="6"/>
  <c r="AF110" i="6"/>
  <c r="AF109" i="6"/>
  <c r="AF104" i="6"/>
  <c r="AF103" i="6"/>
  <c r="AF98" i="6"/>
  <c r="AF92" i="6"/>
  <c r="AF91" i="6"/>
  <c r="AF86" i="6"/>
  <c r="AF80" i="6"/>
  <c r="AF75" i="6"/>
  <c r="AF79" i="6" s="1"/>
  <c r="AF74" i="6"/>
  <c r="AF73" i="6"/>
  <c r="AF68" i="6"/>
  <c r="AF67" i="6"/>
  <c r="AF62" i="6"/>
  <c r="AF61" i="6"/>
  <c r="AF56" i="6"/>
  <c r="AF55" i="6"/>
  <c r="AF37" i="6"/>
  <c r="AF34" i="6"/>
  <c r="AJ34" i="6" s="1"/>
  <c r="AF28" i="6"/>
  <c r="AJ28" i="6" s="1"/>
  <c r="AF27" i="6"/>
  <c r="AF31" i="6" s="1"/>
  <c r="AF26" i="6"/>
  <c r="AF25" i="6"/>
  <c r="AF22" i="6"/>
  <c r="AF141" i="6" s="1"/>
  <c r="AF143" i="6" s="1"/>
  <c r="AF20" i="6"/>
  <c r="AF14" i="6"/>
  <c r="AL22" i="5"/>
  <c r="AL20" i="5"/>
  <c r="AL16" i="5"/>
  <c r="AG26" i="5"/>
  <c r="AG24" i="5"/>
  <c r="AG23" i="5"/>
  <c r="AG21" i="5"/>
  <c r="AG19" i="5"/>
  <c r="AG18" i="5"/>
  <c r="AG17" i="5"/>
  <c r="AG14" i="5"/>
  <c r="AF38" i="6" l="1"/>
  <c r="AF32" i="6"/>
  <c r="U71" i="7"/>
  <c r="T71" i="7"/>
  <c r="S69" i="7"/>
  <c r="S68" i="7"/>
  <c r="S66" i="7"/>
  <c r="S64" i="7"/>
  <c r="S62" i="7"/>
  <c r="S60" i="7"/>
  <c r="S58" i="7"/>
  <c r="S56" i="7"/>
  <c r="S54" i="7"/>
  <c r="S52" i="7"/>
  <c r="S50" i="7"/>
  <c r="S48" i="7"/>
  <c r="S46" i="7"/>
  <c r="S44" i="7"/>
  <c r="S42" i="7"/>
  <c r="S40" i="7"/>
  <c r="S38" i="7"/>
  <c r="S36" i="7"/>
  <c r="S34" i="7"/>
  <c r="S32" i="7"/>
  <c r="S30" i="7"/>
  <c r="S28" i="7"/>
  <c r="S26" i="7"/>
  <c r="S24" i="7"/>
  <c r="S22" i="7"/>
  <c r="S20" i="7"/>
  <c r="S18" i="7"/>
  <c r="S16" i="7"/>
  <c r="S14" i="7"/>
  <c r="S12" i="7"/>
  <c r="S10" i="7"/>
  <c r="S8" i="7"/>
  <c r="V140" i="6"/>
  <c r="V139" i="6"/>
  <c r="V134" i="6"/>
  <c r="V133" i="6"/>
  <c r="V128" i="6"/>
  <c r="V127" i="6"/>
  <c r="V126" i="6"/>
  <c r="V142" i="6" s="1"/>
  <c r="V143" i="6" s="1"/>
  <c r="V122" i="6"/>
  <c r="V121" i="6"/>
  <c r="V116" i="6"/>
  <c r="V115" i="6"/>
  <c r="V110" i="6"/>
  <c r="V109" i="6"/>
  <c r="V104" i="6"/>
  <c r="V103" i="6"/>
  <c r="V98" i="6"/>
  <c r="V97" i="6"/>
  <c r="V92" i="6"/>
  <c r="V91" i="6"/>
  <c r="V86" i="6"/>
  <c r="V85" i="6"/>
  <c r="V80" i="6"/>
  <c r="V79" i="6"/>
  <c r="V74" i="6"/>
  <c r="V73" i="6"/>
  <c r="V68" i="6"/>
  <c r="V67" i="6"/>
  <c r="V62" i="6"/>
  <c r="V61" i="6"/>
  <c r="V56" i="6"/>
  <c r="V55" i="6"/>
  <c r="V41" i="6"/>
  <c r="V43" i="6" s="1"/>
  <c r="AJ39" i="6" s="1"/>
  <c r="AJ43" i="6" s="1"/>
  <c r="V38" i="6"/>
  <c r="V37" i="6"/>
  <c r="V32" i="6"/>
  <c r="V31" i="6"/>
  <c r="V26" i="6"/>
  <c r="V25" i="6"/>
  <c r="V20" i="6"/>
  <c r="V19" i="6"/>
  <c r="V14" i="6"/>
  <c r="V13" i="6"/>
  <c r="H136" i="6" l="1"/>
  <c r="H130" i="6"/>
  <c r="H124" i="6"/>
  <c r="H118" i="6"/>
  <c r="H112" i="6"/>
  <c r="H100" i="6"/>
  <c r="H94" i="6"/>
  <c r="H88" i="6"/>
  <c r="H82" i="6"/>
  <c r="H76" i="6"/>
  <c r="H70" i="6"/>
  <c r="H64" i="6"/>
  <c r="H58" i="6"/>
  <c r="H46" i="6"/>
  <c r="H40" i="6"/>
  <c r="H34" i="6"/>
  <c r="H16" i="6"/>
  <c r="H10" i="6"/>
  <c r="T142" i="6" l="1"/>
  <c r="T141" i="6"/>
  <c r="T143" i="6" s="1"/>
  <c r="U22" i="5"/>
  <c r="U19" i="5"/>
  <c r="J140" i="6" l="1"/>
  <c r="J139" i="6"/>
  <c r="J86" i="6"/>
  <c r="J85" i="6"/>
  <c r="J50" i="6"/>
  <c r="J49" i="6"/>
  <c r="AI142" i="6" l="1"/>
  <c r="AE142" i="6"/>
  <c r="AD142" i="6"/>
  <c r="AC142" i="6"/>
  <c r="AB142" i="6"/>
  <c r="Z142" i="6"/>
  <c r="Y142" i="6"/>
  <c r="X142" i="6"/>
  <c r="U142" i="6"/>
  <c r="R142" i="6"/>
  <c r="Q142" i="6"/>
  <c r="O142" i="6"/>
  <c r="N142" i="6"/>
  <c r="M142" i="6"/>
  <c r="L142" i="6"/>
  <c r="K142" i="6"/>
  <c r="J142" i="6"/>
  <c r="H142" i="6"/>
  <c r="AI141" i="6"/>
  <c r="AI143" i="6" s="1"/>
  <c r="AD141" i="6"/>
  <c r="AC141" i="6"/>
  <c r="AB141" i="6"/>
  <c r="AB143" i="6" s="1"/>
  <c r="Y141" i="6"/>
  <c r="X141" i="6"/>
  <c r="R141" i="6"/>
  <c r="Q141" i="6"/>
  <c r="O141" i="6"/>
  <c r="O143" i="6" s="1"/>
  <c r="N141" i="6"/>
  <c r="N143" i="6" s="1"/>
  <c r="M141" i="6"/>
  <c r="M143" i="6" s="1"/>
  <c r="L141" i="6"/>
  <c r="K141" i="6"/>
  <c r="J141" i="6"/>
  <c r="R140" i="6"/>
  <c r="Q140" i="6"/>
  <c r="O140" i="6"/>
  <c r="N140" i="6"/>
  <c r="M140" i="6"/>
  <c r="L140" i="6"/>
  <c r="K140" i="6"/>
  <c r="H140" i="6"/>
  <c r="R139" i="6"/>
  <c r="Q139" i="6"/>
  <c r="O139" i="6"/>
  <c r="N139" i="6"/>
  <c r="M139" i="6"/>
  <c r="L139" i="6"/>
  <c r="K139" i="6"/>
  <c r="H139" i="6"/>
  <c r="R134" i="6"/>
  <c r="Q134" i="6"/>
  <c r="P134" i="6"/>
  <c r="O134" i="6"/>
  <c r="N134" i="6"/>
  <c r="M134" i="6"/>
  <c r="L134" i="6"/>
  <c r="K134" i="6"/>
  <c r="J134" i="6"/>
  <c r="H134" i="6"/>
  <c r="R133" i="6"/>
  <c r="Q133" i="6"/>
  <c r="P133" i="6"/>
  <c r="O133" i="6"/>
  <c r="N133" i="6"/>
  <c r="M133" i="6"/>
  <c r="L133" i="6"/>
  <c r="K133" i="6"/>
  <c r="J133" i="6"/>
  <c r="H133" i="6"/>
  <c r="R128" i="6"/>
  <c r="Q128" i="6"/>
  <c r="P128" i="6"/>
  <c r="O128" i="6"/>
  <c r="N128" i="6"/>
  <c r="M128" i="6"/>
  <c r="L128" i="6"/>
  <c r="K128" i="6"/>
  <c r="J128" i="6"/>
  <c r="H128" i="6"/>
  <c r="R127" i="6"/>
  <c r="Q127" i="6"/>
  <c r="O127" i="6"/>
  <c r="N127" i="6"/>
  <c r="M127" i="6"/>
  <c r="L127" i="6"/>
  <c r="K127" i="6"/>
  <c r="J127" i="6"/>
  <c r="H127" i="6"/>
  <c r="R122" i="6"/>
  <c r="Q122" i="6"/>
  <c r="O122" i="6"/>
  <c r="N122" i="6"/>
  <c r="M122" i="6"/>
  <c r="L122" i="6"/>
  <c r="K122" i="6"/>
  <c r="J122" i="6"/>
  <c r="H122" i="6"/>
  <c r="R121" i="6"/>
  <c r="Q121" i="6"/>
  <c r="P121" i="6"/>
  <c r="O121" i="6"/>
  <c r="N121" i="6"/>
  <c r="M121" i="6"/>
  <c r="L121" i="6"/>
  <c r="K121" i="6"/>
  <c r="J121" i="6"/>
  <c r="H121" i="6"/>
  <c r="P120" i="6"/>
  <c r="P122" i="6" s="1"/>
  <c r="R116" i="6"/>
  <c r="Q116" i="6"/>
  <c r="P116" i="6"/>
  <c r="O116" i="6"/>
  <c r="N116" i="6"/>
  <c r="M116" i="6"/>
  <c r="L116" i="6"/>
  <c r="K116" i="6"/>
  <c r="H116" i="6"/>
  <c r="R115" i="6"/>
  <c r="Q115" i="6"/>
  <c r="P115" i="6"/>
  <c r="O115" i="6"/>
  <c r="N115" i="6"/>
  <c r="M115" i="6"/>
  <c r="L115" i="6"/>
  <c r="K115" i="6"/>
  <c r="J115" i="6"/>
  <c r="H115" i="6"/>
  <c r="K113" i="6"/>
  <c r="R110" i="6"/>
  <c r="Q110" i="6"/>
  <c r="P110" i="6"/>
  <c r="O110" i="6"/>
  <c r="N110" i="6"/>
  <c r="M110" i="6"/>
  <c r="L110" i="6"/>
  <c r="K110" i="6"/>
  <c r="H110" i="6"/>
  <c r="R109" i="6"/>
  <c r="Q109" i="6"/>
  <c r="P109" i="6"/>
  <c r="O109" i="6"/>
  <c r="N109" i="6"/>
  <c r="M109" i="6"/>
  <c r="L109" i="6"/>
  <c r="K109" i="6"/>
  <c r="H109" i="6"/>
  <c r="R104" i="6"/>
  <c r="Q104" i="6"/>
  <c r="P104" i="6"/>
  <c r="O104" i="6"/>
  <c r="N104" i="6"/>
  <c r="M104" i="6"/>
  <c r="L104" i="6"/>
  <c r="K104" i="6"/>
  <c r="J104" i="6"/>
  <c r="R103" i="6"/>
  <c r="Q103" i="6"/>
  <c r="P103" i="6"/>
  <c r="O103" i="6"/>
  <c r="N103" i="6"/>
  <c r="M103" i="6"/>
  <c r="L103" i="6"/>
  <c r="K103" i="6"/>
  <c r="J103" i="6"/>
  <c r="H103" i="6"/>
  <c r="H104" i="6"/>
  <c r="R98" i="6"/>
  <c r="Q98" i="6"/>
  <c r="P98" i="6"/>
  <c r="O98" i="6"/>
  <c r="N98" i="6"/>
  <c r="M98" i="6"/>
  <c r="L98" i="6"/>
  <c r="K98" i="6"/>
  <c r="H98" i="6"/>
  <c r="R97" i="6"/>
  <c r="Q97" i="6"/>
  <c r="P97" i="6"/>
  <c r="O97" i="6"/>
  <c r="N97" i="6"/>
  <c r="M97" i="6"/>
  <c r="L97" i="6"/>
  <c r="K97" i="6"/>
  <c r="H97" i="6"/>
  <c r="R92" i="6"/>
  <c r="Q92" i="6"/>
  <c r="P92" i="6"/>
  <c r="O92" i="6"/>
  <c r="N92" i="6"/>
  <c r="M92" i="6"/>
  <c r="L92" i="6"/>
  <c r="K92" i="6"/>
  <c r="H92" i="6"/>
  <c r="R91" i="6"/>
  <c r="Q91" i="6"/>
  <c r="O91" i="6"/>
  <c r="N91" i="6"/>
  <c r="M91" i="6"/>
  <c r="L91" i="6"/>
  <c r="K91" i="6"/>
  <c r="H91" i="6"/>
  <c r="R86" i="6"/>
  <c r="Q86" i="6"/>
  <c r="P86" i="6"/>
  <c r="O86" i="6"/>
  <c r="N86" i="6"/>
  <c r="M86" i="6"/>
  <c r="L86" i="6"/>
  <c r="K86" i="6"/>
  <c r="H86" i="6"/>
  <c r="R85" i="6"/>
  <c r="Q85" i="6"/>
  <c r="O85" i="6"/>
  <c r="N85" i="6"/>
  <c r="M85" i="6"/>
  <c r="L85" i="6"/>
  <c r="K85" i="6"/>
  <c r="H85" i="6"/>
  <c r="R80" i="6"/>
  <c r="Q80" i="6"/>
  <c r="P80" i="6"/>
  <c r="O80" i="6"/>
  <c r="N80" i="6"/>
  <c r="M80" i="6"/>
  <c r="L80" i="6"/>
  <c r="K80" i="6"/>
  <c r="H80" i="6"/>
  <c r="R79" i="6"/>
  <c r="Q79" i="6"/>
  <c r="P79" i="6"/>
  <c r="O79" i="6"/>
  <c r="N79" i="6"/>
  <c r="M79" i="6"/>
  <c r="L79" i="6"/>
  <c r="K79" i="6"/>
  <c r="H79" i="6"/>
  <c r="R74" i="6"/>
  <c r="Q74" i="6"/>
  <c r="O74" i="6"/>
  <c r="N74" i="6"/>
  <c r="M74" i="6"/>
  <c r="L74" i="6"/>
  <c r="K74" i="6"/>
  <c r="H74" i="6"/>
  <c r="R73" i="6"/>
  <c r="Q73" i="6"/>
  <c r="P73" i="6"/>
  <c r="O73" i="6"/>
  <c r="N73" i="6"/>
  <c r="M73" i="6"/>
  <c r="L73" i="6"/>
  <c r="K73" i="6"/>
  <c r="H73" i="6"/>
  <c r="P72" i="6"/>
  <c r="P74" i="6" s="1"/>
  <c r="R68" i="6"/>
  <c r="Q68" i="6"/>
  <c r="P68" i="6"/>
  <c r="O68" i="6"/>
  <c r="N68" i="6"/>
  <c r="M68" i="6"/>
  <c r="L68" i="6"/>
  <c r="K68" i="6"/>
  <c r="R67" i="6"/>
  <c r="Q67" i="6"/>
  <c r="O67" i="6"/>
  <c r="N67" i="6"/>
  <c r="M67" i="6"/>
  <c r="L67" i="6"/>
  <c r="K67" i="6"/>
  <c r="H67" i="6"/>
  <c r="H68" i="6"/>
  <c r="P63" i="6"/>
  <c r="P67" i="6" s="1"/>
  <c r="R62" i="6"/>
  <c r="Q62" i="6"/>
  <c r="P62" i="6"/>
  <c r="O62" i="6"/>
  <c r="N62" i="6"/>
  <c r="M62" i="6"/>
  <c r="L62" i="6"/>
  <c r="K62" i="6"/>
  <c r="J62" i="6"/>
  <c r="R61" i="6"/>
  <c r="Q61" i="6"/>
  <c r="P61" i="6"/>
  <c r="O61" i="6"/>
  <c r="N61" i="6"/>
  <c r="M61" i="6"/>
  <c r="L61" i="6"/>
  <c r="K61" i="6"/>
  <c r="J61" i="6"/>
  <c r="H61" i="6"/>
  <c r="R56" i="6"/>
  <c r="Q56" i="6"/>
  <c r="O56" i="6"/>
  <c r="N56" i="6"/>
  <c r="M56" i="6"/>
  <c r="L56" i="6"/>
  <c r="R55" i="6"/>
  <c r="Q55" i="6"/>
  <c r="P55" i="6"/>
  <c r="O55" i="6"/>
  <c r="N55" i="6"/>
  <c r="M55" i="6"/>
  <c r="L55" i="6"/>
  <c r="K55" i="6"/>
  <c r="H55" i="6"/>
  <c r="P52" i="6"/>
  <c r="H52" i="6" s="1"/>
  <c r="H56" i="6" s="1"/>
  <c r="R50" i="6"/>
  <c r="Q50" i="6"/>
  <c r="O50" i="6"/>
  <c r="N50" i="6"/>
  <c r="M50" i="6"/>
  <c r="L50" i="6"/>
  <c r="K50" i="6"/>
  <c r="H50" i="6"/>
  <c r="R49" i="6"/>
  <c r="Q49" i="6"/>
  <c r="O49" i="6"/>
  <c r="N49" i="6"/>
  <c r="M49" i="6"/>
  <c r="L49" i="6"/>
  <c r="K49" i="6"/>
  <c r="H49" i="6"/>
  <c r="R44" i="6"/>
  <c r="Q44" i="6"/>
  <c r="P44" i="6"/>
  <c r="O44" i="6"/>
  <c r="N44" i="6"/>
  <c r="M44" i="6"/>
  <c r="L44" i="6"/>
  <c r="H44" i="6"/>
  <c r="P43" i="6"/>
  <c r="O43" i="6"/>
  <c r="N43" i="6"/>
  <c r="M43" i="6"/>
  <c r="L43" i="6"/>
  <c r="H43" i="6"/>
  <c r="R38" i="6"/>
  <c r="Q38" i="6"/>
  <c r="P38" i="6"/>
  <c r="O38" i="6"/>
  <c r="N38" i="6"/>
  <c r="M38" i="6"/>
  <c r="L38" i="6"/>
  <c r="K38" i="6"/>
  <c r="J38" i="6"/>
  <c r="R37" i="6"/>
  <c r="Q37" i="6"/>
  <c r="O37" i="6"/>
  <c r="N37" i="6"/>
  <c r="M37" i="6"/>
  <c r="L37" i="6"/>
  <c r="K37" i="6"/>
  <c r="J37" i="6"/>
  <c r="H37" i="6"/>
  <c r="H38" i="6"/>
  <c r="R32" i="6"/>
  <c r="Q32" i="6"/>
  <c r="O32" i="6"/>
  <c r="N32" i="6"/>
  <c r="M32" i="6"/>
  <c r="L32" i="6"/>
  <c r="K32" i="6"/>
  <c r="J32" i="6"/>
  <c r="R31" i="6"/>
  <c r="Q31" i="6"/>
  <c r="O31" i="6"/>
  <c r="N31" i="6"/>
  <c r="M31" i="6"/>
  <c r="L31" i="6"/>
  <c r="K31" i="6"/>
  <c r="J31" i="6"/>
  <c r="H31" i="6"/>
  <c r="P30" i="6"/>
  <c r="P28" i="6"/>
  <c r="H28" i="6" s="1"/>
  <c r="H32" i="6" s="1"/>
  <c r="P27" i="6"/>
  <c r="P31" i="6" s="1"/>
  <c r="R26" i="6"/>
  <c r="Q26" i="6"/>
  <c r="O26" i="6"/>
  <c r="N26" i="6"/>
  <c r="M26" i="6"/>
  <c r="L26" i="6"/>
  <c r="K26" i="6"/>
  <c r="R25" i="6"/>
  <c r="Q25" i="6"/>
  <c r="P25" i="6"/>
  <c r="O25" i="6"/>
  <c r="N25" i="6"/>
  <c r="M25" i="6"/>
  <c r="L25" i="6"/>
  <c r="H25" i="6"/>
  <c r="P22" i="6"/>
  <c r="R20" i="6"/>
  <c r="Q20" i="6"/>
  <c r="P20" i="6"/>
  <c r="O20" i="6"/>
  <c r="N20" i="6"/>
  <c r="M20" i="6"/>
  <c r="L20" i="6"/>
  <c r="K20" i="6"/>
  <c r="R19" i="6"/>
  <c r="Q19" i="6"/>
  <c r="P19" i="6"/>
  <c r="O19" i="6"/>
  <c r="N19" i="6"/>
  <c r="M19" i="6"/>
  <c r="L19" i="6"/>
  <c r="K19" i="6"/>
  <c r="H19" i="6"/>
  <c r="R14" i="6"/>
  <c r="Q14" i="6"/>
  <c r="O14" i="6"/>
  <c r="N14" i="6"/>
  <c r="M14" i="6"/>
  <c r="L14" i="6"/>
  <c r="K14" i="6"/>
  <c r="J14" i="6"/>
  <c r="H14" i="6"/>
  <c r="R13" i="6"/>
  <c r="Q13" i="6"/>
  <c r="P13" i="6"/>
  <c r="O13" i="6"/>
  <c r="N13" i="6"/>
  <c r="M13" i="6"/>
  <c r="L13" i="6"/>
  <c r="K13" i="6"/>
  <c r="J13" i="6"/>
  <c r="H13" i="6"/>
  <c r="Q14" i="5"/>
  <c r="K143" i="6" l="1"/>
  <c r="AD143" i="6"/>
  <c r="L143" i="6"/>
  <c r="Q143" i="6"/>
  <c r="P142" i="6"/>
  <c r="AC143" i="6"/>
  <c r="P141" i="6"/>
  <c r="P143" i="6" s="1"/>
  <c r="H22" i="6"/>
  <c r="H141" i="6" s="1"/>
  <c r="H143" i="6" s="1"/>
  <c r="P56" i="6"/>
  <c r="X143" i="6"/>
  <c r="P26" i="6"/>
  <c r="H62" i="6"/>
  <c r="P32" i="6"/>
  <c r="Y143" i="6"/>
  <c r="R143" i="6"/>
  <c r="H20" i="6"/>
  <c r="J143" i="6"/>
  <c r="H2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astrid.romero</author>
  </authors>
  <commentList>
    <comment ref="W17" authorId="0" shapeId="0" xr:uid="{00000000-0006-0000-0000-000001000000}">
      <text>
        <r>
          <rPr>
            <b/>
            <sz val="9"/>
            <color indexed="81"/>
            <rFont val="Tahoma"/>
            <family val="2"/>
          </rPr>
          <t>astrid.romero:</t>
        </r>
        <r>
          <rPr>
            <sz val="9"/>
            <color indexed="81"/>
            <rFont val="Tahoma"/>
            <family val="2"/>
          </rPr>
          <t xml:space="preserve">
Falta que SPCI nos indique la respuesta a la solicitud enviada a la SDP para ajustar la magnitud del indicador a 100 ha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astrid.romero</author>
    <author>sonia.sanabria</author>
  </authors>
  <commentList>
    <comment ref="R22" authorId="0" shapeId="0" xr:uid="{00000000-0006-0000-0100-000001000000}">
      <text>
        <r>
          <rPr>
            <b/>
            <sz val="9"/>
            <color indexed="81"/>
            <rFont val="Tahoma"/>
            <family val="2"/>
          </rPr>
          <t>astrid.romero:</t>
        </r>
        <r>
          <rPr>
            <sz val="9"/>
            <color indexed="81"/>
            <rFont val="Tahoma"/>
            <family val="2"/>
          </rPr>
          <t xml:space="preserve">
Se solicita reprogramación</t>
        </r>
      </text>
    </comment>
    <comment ref="S22" authorId="0" shapeId="0" xr:uid="{00000000-0006-0000-0100-000002000000}">
      <text>
        <r>
          <rPr>
            <b/>
            <sz val="9"/>
            <color indexed="81"/>
            <rFont val="Tahoma"/>
            <family val="2"/>
          </rPr>
          <t>astrid.romero:</t>
        </r>
        <r>
          <rPr>
            <sz val="9"/>
            <color indexed="81"/>
            <rFont val="Tahoma"/>
            <family val="2"/>
          </rPr>
          <t xml:space="preserve">
Se solicita reprogramación</t>
        </r>
      </text>
    </comment>
    <comment ref="T22" authorId="0" shapeId="0" xr:uid="{00000000-0006-0000-0100-000003000000}">
      <text>
        <r>
          <rPr>
            <b/>
            <sz val="9"/>
            <color indexed="81"/>
            <rFont val="Tahoma"/>
            <family val="2"/>
          </rPr>
          <t>astrid.romero:</t>
        </r>
        <r>
          <rPr>
            <sz val="9"/>
            <color indexed="81"/>
            <rFont val="Tahoma"/>
            <family val="2"/>
          </rPr>
          <t xml:space="preserve">
Se solicita reprogramación</t>
        </r>
      </text>
    </comment>
    <comment ref="V27" authorId="1" shapeId="0" xr:uid="{00000000-0006-0000-0100-000004000000}">
      <text>
        <r>
          <rPr>
            <b/>
            <sz val="9"/>
            <color indexed="81"/>
            <rFont val="Tahoma"/>
            <family val="2"/>
          </rPr>
          <t>sonia.sanabria:</t>
        </r>
        <r>
          <rPr>
            <sz val="9"/>
            <color indexed="81"/>
            <rFont val="Tahoma"/>
            <family val="2"/>
          </rPr>
          <t xml:space="preserve">
Pendiente discutir este indicador</t>
        </r>
      </text>
    </comment>
    <comment ref="P72" authorId="0" shapeId="0" xr:uid="{00000000-0006-0000-0100-000005000000}">
      <text>
        <r>
          <rPr>
            <b/>
            <sz val="9"/>
            <color indexed="81"/>
            <rFont val="Tahoma"/>
            <family val="2"/>
          </rPr>
          <t>astrid.romero:</t>
        </r>
        <r>
          <rPr>
            <sz val="9"/>
            <color indexed="81"/>
            <rFont val="Tahoma"/>
            <family val="2"/>
          </rPr>
          <t xml:space="preserve">
Liberación de servicios públicos facturas que pago corporativa, (2324,670) más 22,692 de el contrato de serviconfor No.280 de 2012.</t>
        </r>
      </text>
    </comment>
  </commentList>
</comments>
</file>

<file path=xl/sharedStrings.xml><?xml version="1.0" encoding="utf-8"?>
<sst xmlns="http://schemas.openxmlformats.org/spreadsheetml/2006/main" count="1608" uniqueCount="585">
  <si>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</si>
  <si>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</si>
  <si>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</si>
  <si>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</si>
  <si>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</si>
  <si>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</si>
  <si>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</si>
  <si>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</si>
  <si>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</si>
  <si>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</si>
  <si>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</si>
  <si>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</si>
  <si>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</si>
  <si>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</si>
  <si>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</si>
  <si>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</si>
  <si>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</si>
  <si>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</si>
  <si>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</si>
  <si>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</si>
  <si>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</si>
  <si>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</si>
  <si>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</si>
  <si>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</si>
  <si>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</si>
  <si>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</si>
  <si>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</si>
  <si>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</si>
  <si>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</si>
  <si>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</si>
  <si>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TOTAL PONDERACIÓN</t>
  </si>
  <si>
    <t>EJECUTADO</t>
  </si>
  <si>
    <t>126PG01-PR 02-FAX-V.9</t>
  </si>
  <si>
    <t>ID Meta</t>
  </si>
  <si>
    <t>Magnitud Vigencia</t>
  </si>
  <si>
    <t>Barrios Unidos</t>
  </si>
  <si>
    <t>Recursos Vigencia</t>
  </si>
  <si>
    <t>Magnitud Reservas</t>
  </si>
  <si>
    <t>Reservas Presupuestales</t>
  </si>
  <si>
    <t>TOTALES - PROYECTO</t>
  </si>
  <si>
    <t>Total Recursos Vigencia - Proyecto</t>
  </si>
  <si>
    <t>Total  Recursos Reservas - Proyecto</t>
  </si>
  <si>
    <t>1, COD. META</t>
  </si>
  <si>
    <t>2, Meta Proyecto</t>
  </si>
  <si>
    <t>3, Nombre -Punto de inversión (Localidad, Especial, Distrital)</t>
  </si>
  <si>
    <t>6, ACTUALIZACIÓN</t>
  </si>
  <si>
    <t>6,1 Actualización Marzo</t>
  </si>
  <si>
    <t>7, SEGUIMIENTO META</t>
  </si>
  <si>
    <t>7,1 Seguimiento Marzo</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</si>
  <si>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</si>
  <si>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</si>
  <si>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</si>
  <si>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</si>
  <si>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</si>
  <si>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</si>
  <si>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</si>
  <si>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</si>
  <si>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</si>
  <si>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</si>
  <si>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</si>
  <si>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</si>
  <si>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</si>
  <si>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</si>
  <si>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</si>
  <si>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</si>
  <si>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</si>
  <si>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</si>
  <si>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</si>
  <si>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</si>
  <si>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</si>
  <si>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</si>
  <si>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</si>
  <si>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</si>
  <si>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</si>
  <si>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</si>
  <si>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</si>
  <si>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</si>
  <si>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</si>
  <si>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</si>
  <si>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</si>
  <si>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</si>
  <si>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</si>
  <si>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</si>
  <si>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</si>
  <si>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</si>
  <si>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</si>
  <si>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</si>
  <si>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</si>
  <si>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</si>
  <si>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</si>
  <si>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</si>
  <si>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</si>
  <si>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</si>
  <si>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</si>
  <si>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</si>
  <si>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</si>
  <si>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</si>
  <si>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</si>
  <si>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</si>
  <si>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</si>
  <si>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</si>
  <si>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</si>
  <si>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</si>
  <si>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</si>
  <si>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</si>
  <si>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</si>
  <si>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</si>
  <si>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</si>
  <si>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</si>
  <si>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</si>
  <si>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DE  ACTUALIZACIÓN Y SEGUIMIENTO A LA TERRITORIALIZACIÓN DE LA INVERSIÓN</t>
  </si>
  <si>
    <t>FORMATO DE ACTUALIZACIÓN Y SEGUIMIENTO AL COMPONENTE DE INVERSIÓN</t>
  </si>
  <si>
    <t xml:space="preserve">FORMATO DE ACTUALIZACIÓN Y SEGUIMIENTO AL COMPONENTE DE GESTIÓN 
</t>
  </si>
  <si>
    <t>FORMATO DE ACTUALIZACIÓN Y SEGUIMIENTO A LAS ACTIVIDADES</t>
  </si>
  <si>
    <t xml:space="preserve">2. Un territorio que enfrenta el cambio climático y se ordena alrededor del agua. </t>
  </si>
  <si>
    <t>Dirección de Gestión Ambiental - Subdirección de Ecosistemas y Ruralidad</t>
  </si>
  <si>
    <t>821 “Fortalecimiento de la gestión ambiental para la restauración, conservación, manejo y uso sostenible de los ecosistemas urbanos y de las áreas rurales del Distrito Capital.</t>
  </si>
  <si>
    <t>Recuperación,  rehabilitación y restauración de la Estructura Ecológica Principal y de los espacios del agua</t>
  </si>
  <si>
    <t>RECUPERACIÓN Y RENATURALIZACIÓN DE LOS ESPACIOS DEL AGUA</t>
  </si>
  <si>
    <t>Recuperación ecológica y paisajística de 57 Km. de rondas y ZMPA de las microcuencas de los ríos Fucha, Salitre, Tunjuelo y Torca</t>
  </si>
  <si>
    <t>Número de Km. intervenidos integralmente</t>
  </si>
  <si>
    <t>Suma</t>
  </si>
  <si>
    <t>Constante</t>
  </si>
  <si>
    <t>Creciente</t>
  </si>
  <si>
    <t>Intervenir mediante procesos de recuperación ambiental y paisajística 8 hectáreas de la ronda del río Tunjuelo en áreas urbanas</t>
  </si>
  <si>
    <t>Número de hectáreas intervenidas</t>
  </si>
  <si>
    <t xml:space="preserve">Km. </t>
  </si>
  <si>
    <t>Recuperar integralmente 40 hectáreas de humedales</t>
  </si>
  <si>
    <t>Número de hectáreas de humedales recuperadas</t>
  </si>
  <si>
    <t>Hectáreas</t>
  </si>
  <si>
    <t>Recuperar ecológicamente áreas estratégicas para el abastecimiento de 12 acueductos veredales con participación comunitaria</t>
  </si>
  <si>
    <t>Número de hectáreas recuperadas por microcuenca abastecedora de acueductos veredales</t>
  </si>
  <si>
    <t>Recuperación ecológica participativa de 520 hectáreas en suelo de protección</t>
  </si>
  <si>
    <t>Número de hectáreas del suelo de protección recuperadas con procesos de restauración, rehabilitación y recuperación participativa</t>
  </si>
  <si>
    <t>Número de organizaciones vinculadas a los procesos de restauración, rehabilitación y recuperación</t>
  </si>
  <si>
    <t>Organizaciones</t>
  </si>
  <si>
    <t>Definición de alternativas para establecer mecanismos de gestión en las zonas identificadas como estratégicas para la conectividad del corredor de borde de la Reserva Forestal Tomas Van der Hammen</t>
  </si>
  <si>
    <t>Alternativas para establecer mecanismos de gestión en las zonas identificadas como estratégicas para la conectividad del corredor de borde de la Reserva Forestal Tomas Van der Hammen definidas</t>
  </si>
  <si>
    <t>Alternativas</t>
  </si>
  <si>
    <t>Adecuar 14 Km. del borde de Cerros Orientales</t>
  </si>
  <si>
    <t>Número de Km. del borde de Cerros Orientales adecuados</t>
  </si>
  <si>
    <t>Formular 4 modelos de ocupación en la franja de transición</t>
  </si>
  <si>
    <t>Modelo de ocupación territorial campesino construido social e interinstitucionalmente en el Borde Sur del Distrito Capital</t>
  </si>
  <si>
    <t>Modelos</t>
  </si>
  <si>
    <t>FRANJAS DE TRANSICIÓN PARA LOS BORDES URBANO-RURALES</t>
  </si>
  <si>
    <t>Administración y manejo institucional de 100 hectáreas de suelo de protección del Distrito</t>
  </si>
  <si>
    <t>Número de hectáreas de suelo de protección administradas</t>
  </si>
  <si>
    <t>APROPIACIÓN AMBIENTAL Y GOBERNANZA DEL AGUA</t>
  </si>
  <si>
    <t>CONOCIMIENTO PARA EL USO SOSTENIBLE DE LA BIODIVERSIDAD</t>
  </si>
  <si>
    <t>500 familias campesinas en proceso de reconversión de sistemas productivos, afines a la conservación de la biodiversidad, los suelos y el agua</t>
  </si>
  <si>
    <t>Número de familias campesinas con sistemas productivos afines a la conservación de la biodiversidad los suelos y el agua</t>
  </si>
  <si>
    <t>Familias</t>
  </si>
  <si>
    <t>Definir lineamientos en la orientación de la reconversión de los sistemas productivos hacia sistemas sostenibles ambientales</t>
  </si>
  <si>
    <t>Lineamientos en la orientación de la reconversión de los sistemas productivos hacia sistemas sostenibles ambientales definidos</t>
  </si>
  <si>
    <t>Lineamientos</t>
  </si>
  <si>
    <t>N.A.</t>
  </si>
  <si>
    <t>Mejoramiento de la calidad ambiental y la sostenibilidad de las acciones implementadas en procesos anteriores, con la recuperación de suelos, conectividad ecológica y conservación de la biodiversidad (recurso flora y fauna).</t>
  </si>
  <si>
    <t>Se está avanzando en la construccion de una visión compartida para las zonas de borde, lo cual brinda insumos para consolidar un modelo en el borde sur, donde se espera consolidar un territorio rural con beneficio a las familias campesinas ubicadas en las localidades de Usme y Ciudad Bolívar</t>
  </si>
  <si>
    <t>La continuidad en los procesos de administración y manejo institucional en los sectores de la Estructura Ecológia Princpial como son el  Parque Ecológicos Distrital de Montaña Entrenubes, los Parques Ecológicos Distrital de Humedal (2 administrados directamente y 5 administrados bajo el convenio 020 de 2011); garantizando las condiciones óptimas de éstos espacios y su disponibilidad en la oferta ambiental de la ciudad.
En los cerros orientales se continuan procesos de control de especies invasoras como parte de la estrategia de prevención  y mitigación de incendios.
En cuanto a zonas de alto riesgo no mitigable se aporta a la Apropiación territorial por parte de la comunidad aledaña a las zonas de riesgo y mayor reconocimiento de la gestión de la autoridad ambiental</t>
  </si>
  <si>
    <t>Informes de gestión,actas de reunión de comites de coordinación, técnicos y operativos del  convenio de asociación
 No. 009 de 2012.
Informes de  administración del PEDHSML (Contrato 154 de 2013)
Convenio 020/2011 de Administración Humedales (SDA-EAAB):
Minuta del convenio No. 946 de 2013 y el documento de acta de inico.
Contratos administradores: 
- Contrato N° 0093 de 2013 (Administradora Parque Mirador de los Nevados)
- Contrato N° 0177 de 2013 (Administradora del PEDM Entrenubes)
- Contrato N° 0228 de 2013 (Administrador de Soratama) 
Contrato Arquitecto:
- Contrato No. 0911 de 2013
Contratos de consultoria:
- Contrato No. 057 de 2013 (Diseños de redes hidraúlicas y sanitarias para el Parque Mirador de los Nevados).
- Contrato 658 de 2013 (Diseños de recuperación morfológicas para procesos de remoción en masa en Soratama y Mirador de los Nevados).
- Contrato No. 800 de 2013 (Interventoría para los contratos 057 y 658).
Documentos soporte de la ejecución del Convenio 733/12 y 956/13.
Informes de gestión del plan de accion integral en altos de la estancia</t>
  </si>
  <si>
    <t>Se inició la estructuración de un modelo de intervención de la SDA en la ruralidad, basado en el enfoque de planificación de paisaje rural, lo cual aporta en la consolidación de los lineamientos ambientales para reconversión de sistemas productivos</t>
  </si>
  <si>
    <t>Línea 1: Gestión en el sistema hídrico del Distrito Capital</t>
  </si>
  <si>
    <t>DEFINIR 5.00 SUBUNIDADES DE PLANIFICACIÓN PARTICIPATIVA EN SUBCUENCAS URBANAS PARA SU RECUPERACIÓN, REHABILITACIÓN, RESTAURACIÓN Y/O CONSERVACIÓN.</t>
  </si>
  <si>
    <t>APOYAR LA GESTIÓN EN 28.00 HECTÁREAS PARA LA ADQUISICIÓN Y/O SANEAMIENTO PREDIAL DE LAS RONDAS HIDRÁULICAS Y/O ZMPA DE TRAMOS DE SUBUNIDADES DE SUBCUENCAS URBANAS.</t>
  </si>
  <si>
    <t>GENERAR EN 234.30 HECTÁREAS PROCESOS DE RECUPERACIÓN, REHABILITACIÓN, RESTAURACIÓN Y/O CONSERVACIÓN DE LAS ZONAS DE RONDA HIDRÁULICA Y/O ZMPA DE TRAMOS DE QUEBRADAS</t>
  </si>
  <si>
    <t>GESTIONAR 40.00 HECTÁREAS DE LAS ZONAS DE RONDA HIDRÁULICA Y/O ZONAS DE MANEJO Y PROTECCIÓN AMBIENTAL - ZMPA DE TRAMOS DE  HUMEDALES, PARA SU RECUPERACIÓN, REHABILITACIÓN Y/O RESTAURACIÓN.</t>
  </si>
  <si>
    <t>RECUPERAR, REHABILITAR Y/O RESTAURAR 8.00 HECTÁREAS DE LA ZONA DE RONDA HIDRÁULICA Y/O ZMPA EN UN TRAMO DE LA CUENCA MEDIA DEL RÍO TUNJUELO</t>
  </si>
  <si>
    <t>CONSERVAR Y MANEJAR SOSTENIBLEMENTE EL 100.00 % DE LAS HECTÁREAS RECUPERADAS, REHABILITADAS Y/O RESTAURADAS DEL RÍO TUNJUELO.</t>
  </si>
  <si>
    <t>FORTALECER Y/O CONSTRUIR 4.00 VIVEROS PARA LA PRODUCCIÓN DE MATERIAL VEGETAL POR TIPO DE ECOSISTEMA REPRESENTATIVO EN EL DISTRITO CAPITAL.</t>
  </si>
  <si>
    <t>AVANZAR LA GESTIÓN EN 260.00 HECTÁREAS PARA LA ADQUISICIÓN PREDIAL EN SUELO DE PROTECCIÓN DEL D.C.</t>
  </si>
  <si>
    <t>GESTIONAR EN 520.00 HECTÁREAS DE SUELO DE PROTECCIÓN, SU RECUPERACIÓN, REHABILITACIÓN Y/O RESTAURACIÓN.</t>
  </si>
  <si>
    <t>CONSERVAR  Y MANEJAR SOSTENIBLEMENTE 5.00 SECTORES DE PARQUES ECOLÓGICOS DISTRITALES DE MONTAÑA Y ÁREAS DE INTERÉS AMBIENTAL DEL DISTRITO CAPITAL</t>
  </si>
  <si>
    <t>GENERAR 2.00 ACCIONES INTEGRALES DE ORDENAMIENTO TERRITORIAL DE  BORDES URBANOS-RURALES EN EL SUELO DE PROTECCIÓN.</t>
  </si>
  <si>
    <t>EJECUTAR EN 120.00 HECTÁREAS DE ZONAS DE ALTO RIESGO NO MITIGABLE O ALTA AMENAZA, ACCIONES SOCIOAMBIENTALES Y/O ACCIONES DE ADMINISTRACIÓN, MANEJO Y CUSTODIA DE INMUEBLES RECIBIDOS</t>
  </si>
  <si>
    <t>GENERAR 3.00 ACCIONES DE GESTIÓN PARA EL MANEJO INTEGRAL EN LA PREVENCIÓN Y MITIGACIÓN DE INCENDIOS FORESTALES.</t>
  </si>
  <si>
    <t>MEJORAR AL 95.00 % LOS TIEMPOS DE RESPUESTA A EMERGENCIAS AMBIENTALES COMPETENCIA Y JURISDICCIÓN DE LA SDA.</t>
  </si>
  <si>
    <t>PROMOCIONAR  Y/O IMPLEMENTAR EN 500.00 FAMILIAS CAMPESINAS ACCIONES DE RECONVERSIÓN DE SISTEMAS PRODUCTIVOS AFINES A LA CONSERVACIÓN Y USO SOSTENIBLE DE LA BIODIVERSIDAD, LOS SUELOS Y EL AGUA.</t>
  </si>
  <si>
    <t>INTERVENIR 100.00 HECTÁREAS ESTRATÉGICAS ASOCIADAS AL ABASTECIMIENTO DE ACUEDUCTOS VEREDALES CON ACCIONES DE GESTIÓN AMBIENTAL</t>
  </si>
  <si>
    <t>GENERAR 2.00 LINEAMIENTOS AMBIENTALES ENFOCADOS A LA RECONVERSIÓN DE LOS SISTEMAS PRODUCTIVOS.</t>
  </si>
  <si>
    <t>DESARROLLAR 1.00 SISTEMA DE SEGUIMIENTO Y EVALUACIÓN A LA IMPLEMENTACIÓN DE LA  NORMATIVIDAD, POLÍTICAS, PLANES, PROGRAMAS E INICIATIVAS DE PROYECTOS AMBIENTALES</t>
  </si>
  <si>
    <t>GESTIONAR EN EL 100.00 % DE LOS INSTRUMENTOS DE GESTIÓN AMBIENTAL PRIORIZADOS, ACCIONES PARA SU IMPLEMENTACIÓN</t>
  </si>
  <si>
    <t>GENERAR 1.00 MODELO DE OCUPACIÓN EN EL BORDE SUR DEL SUELO DE PROTECCIÓN</t>
  </si>
  <si>
    <t>0.4</t>
  </si>
  <si>
    <t>INTERVENIR 14.00 KILÓMETROS DEL CORREDOR ECÓLOGICO DE CERROS ORIENTALES</t>
  </si>
  <si>
    <t>2.6</t>
  </si>
  <si>
    <t>234.3</t>
  </si>
  <si>
    <t>46.61</t>
  </si>
  <si>
    <t>48.61</t>
  </si>
  <si>
    <t>218.97</t>
  </si>
  <si>
    <t>3.5</t>
  </si>
  <si>
    <t>0.8</t>
  </si>
  <si>
    <t>113.22</t>
  </si>
  <si>
    <t>92.7</t>
  </si>
  <si>
    <t>1.2</t>
  </si>
  <si>
    <t>Consolidación de una metodología de producción  eficiente y oportuna del material requerido para el proceso de restauración en los ecosistemas del D.C.
Definición de acciones para fortalecer la producción de material vegetal por parte de la SDA utilizando criterios de costo efectividad y promoviendo las especies nativas</t>
  </si>
  <si>
    <t>Consolidar la gobernanza del Parque Ecológica Distrital de Montaña, el cual hace parte de la Estructura Ecológica Principal del Distrito Capital.</t>
  </si>
  <si>
    <t>x</t>
  </si>
  <si>
    <t>Apoyar la gestión en 28 hectáreas para la adquisición y/o saneamiento predial de las rondas hidráulicas y/o ZMPA de tramos de Subunidades de Subcuencas urbanas.</t>
  </si>
  <si>
    <t xml:space="preserve">Generar en 234,30hectáreas procesos de recuperación, rehabilitación, restauración y/o conservación de las zonas de ronda hidráulica y/o ZMPA de tramos de quebradas.
</t>
  </si>
  <si>
    <t xml:space="preserve">Gestionar 40 hectáreas de las zonas de ronda hidráulica y/o zonas de manejo y protección ambiental - ZMPA de tramos de  humedales, para su recuperación, rehabilitación </t>
  </si>
  <si>
    <t xml:space="preserve">Conservar  y manejar sosteniblemente 6 Parques Ecológicos Distritales de humedal </t>
  </si>
  <si>
    <t>Recuperar, rehabilitar y/o restaurar 8 hectáreas de las zonas de ronda hidráulica y/o ZMPA de tramos de la cuenca media del rio Tunjuelo.</t>
  </si>
  <si>
    <t>Línea 2: Gestión en el sistema orográfico del Distrito Capital</t>
  </si>
  <si>
    <t>Fortalecer y/o construir 4 viveros para la producción de material vegetal por tipo de ecosistema representativo en el Distrito Capital.</t>
  </si>
  <si>
    <t xml:space="preserve">Avanzar la gestión en 260 hectáreas para la adquisición predial en suelo de protección del D.C.
</t>
  </si>
  <si>
    <t>Gestionar en 520 hectáreas de suelo de protección, su recuperación, rehabilitación y/o restauración.</t>
  </si>
  <si>
    <t>Conservar y manejar sosteniblemente 5 sectores de Parques Ecológicos Distritales de montaña y áreas de interés ambiental del Distrito Capital.</t>
  </si>
  <si>
    <t>Generar 2 acciones integrales de ordenamiento territorial de  bordes urbanos-rurales en el suelo de protección.</t>
  </si>
  <si>
    <t>Generar un modelo de ocupación en el borde sur del suelo de protección</t>
  </si>
  <si>
    <t xml:space="preserve">Intervenir 14 Kilometros del corredor ecólogico de cerros orientales </t>
  </si>
  <si>
    <t>Generar 3 acciones de gestión para el manejo integral en la prevención y mitigación de incendios forestales.</t>
  </si>
  <si>
    <t>Mejorar al 95% los tiempos de respuesta a emergencias ambientales competencia y jurisdicción de la SDA.</t>
  </si>
  <si>
    <t>Línea 3:  Gestión para la sostenibilidad en la Ruralidad del Distrito Capital</t>
  </si>
  <si>
    <t xml:space="preserve">Promocionar y/o implementar en 500 familias campesinas, acciones de reconversión de sistemas productivos afines a la conservación y uso sostenible de la biodiversidad, los suelos y el agua. </t>
  </si>
  <si>
    <t>Intervenir 100 hectáreas estratégicas asociadas al abastecimiento de acueductos veredales con acciones de gestión ambiental.</t>
  </si>
  <si>
    <t>Generar 2 lineamientos ambientales enfocados a la reconversión de los sistemas productivos.</t>
  </si>
  <si>
    <t>Línea 4:  Gestión para la implementación de  la normatividad, políticas,  planes, programas e iniciativas de proyectos ambientales</t>
  </si>
  <si>
    <t xml:space="preserve">Desarrollar 1 Sistema de seguimiento y evaluación a la implementación de la  normatividad , políticas, planes, programas e iniciativas de proyectos ambientales.
</t>
  </si>
  <si>
    <t xml:space="preserve">Gestionar en el 100% de los instrumentos de gestión ambiental priorizados, acciones para su implementación </t>
  </si>
  <si>
    <t>2.,08%</t>
  </si>
  <si>
    <t>Ejecutar en 120 hectáreas de zonas de alto riesgo no mitigable o alta amenaza, acciones socioambientales y/o acciones de administración, manejo y custodia de inmuebles recibidos.</t>
  </si>
  <si>
    <t>Kennedy</t>
  </si>
  <si>
    <t>Timiza</t>
  </si>
  <si>
    <t>Sector Boita II</t>
  </si>
  <si>
    <t>Subcuenca Tunjuelo</t>
  </si>
  <si>
    <t>Vulnerable a los impacto ambientales</t>
  </si>
  <si>
    <t>Todos</t>
  </si>
  <si>
    <t>Parque Ecológico de Humedal Capellanía</t>
  </si>
  <si>
    <t>Fontibón</t>
  </si>
  <si>
    <t>Capellania</t>
  </si>
  <si>
    <t>Humedal Capellanía</t>
  </si>
  <si>
    <t>Sin definir</t>
  </si>
  <si>
    <t>No identifica grupos étnicos</t>
  </si>
  <si>
    <t>Subcuenca del Río Tunjuelo</t>
  </si>
  <si>
    <t xml:space="preserve">Subcuencas  Torca </t>
  </si>
  <si>
    <t>Subcuencas   Salitre</t>
  </si>
  <si>
    <t>Subcuenca  Fucha</t>
  </si>
  <si>
    <t>Usaquén/Chapinero</t>
  </si>
  <si>
    <t>Microcuencas y rondas hídricas</t>
  </si>
  <si>
    <t xml:space="preserve">Usaquén – 1
Chapinero - 2
Santa Fé - 3
Engativá - 10
Suba - 11
Barrios Unidos – 12
Teusaquillo - 13
</t>
  </si>
  <si>
    <t xml:space="preserve"> San Cristóbal, Santa Fe, La Candelaria, Los Mártires, Antonio Nariño, Rafael Uribe Uribe, Puente Aranda, Teusaquillo, Kennedy y Fontibón</t>
  </si>
  <si>
    <t>Tunjuelito, Usme, Ciudad Bolívar, Bosa</t>
  </si>
  <si>
    <t>Distrital</t>
  </si>
  <si>
    <t xml:space="preserve">Parques Ecológicos Distritales de Humedales </t>
  </si>
  <si>
    <t>Parque Ecológico Distrital de Humedal Santa María del Lago</t>
  </si>
  <si>
    <t>Parque Ecológico Distrital de Humedal La Conejera</t>
  </si>
  <si>
    <t>Parque Ecológico Distrital de Humedal La Isla</t>
  </si>
  <si>
    <t xml:space="preserve">Parque Ecológico Distrital de Humedal Salitre </t>
  </si>
  <si>
    <t xml:space="preserve">Subcuenca Torca </t>
  </si>
  <si>
    <t>Recursos Vigencia Ajustados</t>
  </si>
  <si>
    <t>Subcuenca Fucha</t>
  </si>
  <si>
    <t>Subcuenca Salitre</t>
  </si>
  <si>
    <t xml:space="preserve">Calle 73 A # 77A – 01 </t>
  </si>
  <si>
    <t xml:space="preserve">Engativá
</t>
  </si>
  <si>
    <t xml:space="preserve">UPZ Boyacá Real </t>
  </si>
  <si>
    <t>Suba</t>
  </si>
  <si>
    <t xml:space="preserve"> UPZ 71
Tibabuyes</t>
  </si>
  <si>
    <t>Compartir-Suba, Londres, Las Acacias, Salitre I, II, III, Villa Hermosa, El Cerezo, Los Monarcas, Alaska, Villa Esperanza, Prados Salitre, Villa del Campo I y II.</t>
  </si>
  <si>
    <t>Carrera 141 A BIS con Calle 150</t>
  </si>
  <si>
    <t>C. Bolivar: Barrios:   Atlanta, La Coruña, Arborizadora Baja, El Chircal Sur, Las Acacias.</t>
  </si>
  <si>
    <t>Ciudad Bolivar /Tunjuelito</t>
  </si>
  <si>
    <t>Antigua zona de inundación del río Tunjuelo</t>
  </si>
  <si>
    <t>UPZ 65 Arborizadora/UPZ 66 San Francisco</t>
  </si>
  <si>
    <t>Bosa</t>
  </si>
  <si>
    <t xml:space="preserve">UPZ 
Apogeo 49 </t>
  </si>
  <si>
    <t>San Bernandino XXII, San Bernandino XXII Urbano, San Bernandino XXV Urbano</t>
  </si>
  <si>
    <t>UPZ Parque Salitre  103
Doce de Octubre  22</t>
  </si>
  <si>
    <t>Parque Popular Salitre, José Joaquín Vargas</t>
  </si>
  <si>
    <t>Sector conocido como San Bernardino</t>
  </si>
  <si>
    <t>Parque Recreodeportivo El Salitre, entre las carreras 68 y 60, de la calle 64 a la 63.</t>
  </si>
  <si>
    <t>Torca I Y Casablanca Suba7Niza Sur, Niza-Córdoba, Niza VIII, Lagos de Córdoba,Santa Cecilia y Lisboa,Ciudad Hunza, Almirante Colón y Bachué, al sur con El Cortijo, Bolivia, Bachué y Ciudadela Colsubsidio</t>
  </si>
  <si>
    <t>Zonas de ronda y ZMPA del humedal</t>
  </si>
  <si>
    <t>Parques Ecológicos Distritales de Humedal</t>
  </si>
  <si>
    <t xml:space="preserve">humedales de Torca, Guaymaral y Conejera, </t>
  </si>
  <si>
    <t>Fontibón/Kennedy</t>
  </si>
  <si>
    <t>Niza</t>
  </si>
  <si>
    <t xml:space="preserve">humedal de Tibanica </t>
  </si>
  <si>
    <t>Villa Anny I,Charles de Gaulle y José María Carbonell</t>
  </si>
  <si>
    <t>Bosa Central</t>
  </si>
  <si>
    <t>Humedales de Córdoba, Juan Amarillo o Tibabuyes y Jaboque</t>
  </si>
  <si>
    <t>Suba/Engativa</t>
  </si>
  <si>
    <t>Cordoba: Niza Sur, Niza-Córdoba, Niza VIII y Lagos de Córdoba; Jaboque: Bolivia, El Gaco, La Faena, La Riviera, San Antonio Engativa y  Villa Del Mar; Juan Amarillo: Bolivia Oriental, Ciudadela Colsubsidio, El Dorado, La Carolina De Suba, Santa Teresa De Suba, Tibabuyes</t>
  </si>
  <si>
    <t>Humedal Capellanía/Burro, La Vaca y Techo/ Meandro del Say</t>
  </si>
  <si>
    <t>Capellania, Modelia y Fontibón,  
 Chucua De La Vaca III,Ciudad Techo II Y Tintalá,El Vergel Oriental Y Nuevo Techo
El Charco Rural, El Charco I, Moravia, Zona Franca,</t>
  </si>
  <si>
    <t>UPZ- de Modelia, Fontibón y Capellanía, Ciudad Techo II Y Tintalá;  Zona Franca</t>
  </si>
  <si>
    <t>Boita II</t>
  </si>
  <si>
    <t xml:space="preserve">Zonas de ronda y ZMP en las Planicies de inundación o de desborde del río Tunjuelo y terrazas aluviales
</t>
  </si>
  <si>
    <t>Viveros de la SDA en el PEDMEN</t>
  </si>
  <si>
    <t>Viveros de la SDA en el Parque Soratama</t>
  </si>
  <si>
    <t>Usme</t>
  </si>
  <si>
    <t>060-Parque Entrenubes</t>
  </si>
  <si>
    <t xml:space="preserve"> Arrayanes, Bolonia, El Bosque Central, El Nuevo Portal II, El Refugio I, La Esperanza Sur, Los Olivares, Pepinitos, Tocaimita Oriental, Tocaimita Sur</t>
  </si>
  <si>
    <t>Zonas de restauración en el suelo de protección</t>
  </si>
  <si>
    <t>Soratama</t>
  </si>
  <si>
    <t>San Cristóbal Norte</t>
  </si>
  <si>
    <t>Carrera 2 ESTE # 167 – 42.</t>
  </si>
  <si>
    <t>Parque Ecológico  Distrital de Montaña-Entrenubes</t>
  </si>
  <si>
    <t>Estructura Ecológica Principal del D.C.</t>
  </si>
  <si>
    <t>Zonas  en proceso de recuperación, rehabilitación y/o restauración en el suelo de protección.</t>
  </si>
  <si>
    <t>Cerro Juan Rey/Cuchilla del Gavilán</t>
  </si>
  <si>
    <t xml:space="preserve"> Chisacá- Subcuenca Tunjuelito</t>
  </si>
  <si>
    <t>Predio La Australia-Bitter- Subcuenca Tunjuelito</t>
  </si>
  <si>
    <t>Parque Ecológico Distrital de Montaña Entrenubes</t>
  </si>
  <si>
    <t xml:space="preserve">Arborizadora Alta
</t>
  </si>
  <si>
    <t xml:space="preserve">Cerros Orientales </t>
  </si>
  <si>
    <t>Enclave Subxerofítico-Relleno Doña Juana</t>
  </si>
  <si>
    <t>Vereda El Hato</t>
  </si>
  <si>
    <t>Zonas de manejo y preservación ambiental y zonas de ronda del Embalse de Chisacá</t>
  </si>
  <si>
    <t>Embalse de Chisacá_Predios del acueducto de Bogotá</t>
  </si>
  <si>
    <t>Vereda El Destino</t>
  </si>
  <si>
    <t>Predio La Australia-Biter 13</t>
  </si>
  <si>
    <t>Área de Restauración de Santa Bárbara</t>
  </si>
  <si>
    <t>Ciudad Bolívar</t>
  </si>
  <si>
    <t>El tersoro, Jerusalen e Ismael Perdomo</t>
  </si>
  <si>
    <t>Parque Ecológico de Montaña Cerro Seco- Arborizadora Alta</t>
  </si>
  <si>
    <t xml:space="preserve">Torca, Sierras del Chicó, Parque Nacional </t>
  </si>
  <si>
    <t>San Cristóbal, Santa Fe, Chapinero y Usaquén</t>
  </si>
  <si>
    <t>Vereda Mochuelo Bajo</t>
  </si>
  <si>
    <t xml:space="preserve">relictos de vegetación muy 
reducidos o pequeñas manchas de bosque seco montano bajo o selva andina 
tropical, esparcidas a lo largo de los drenajes y en la parte alta de la subcuenca 
(área de influencia indirecta), donde se encuentra un bosque o selva andina 
tropical relativamente conservada. </t>
  </si>
  <si>
    <t>Zona VIII del Relleno Doña Juana</t>
  </si>
  <si>
    <t>Mirador de los Nevados</t>
  </si>
  <si>
    <t xml:space="preserve">Cerro Seco - Arborizadora Alta
</t>
  </si>
  <si>
    <t>Usaquén</t>
  </si>
  <si>
    <t>Usme/Rafael Uribe Uribe/San Cristobal</t>
  </si>
  <si>
    <t>Carrera 86 con Calle 145</t>
  </si>
  <si>
    <t>Flanco occidental de los cerros de Suba</t>
  </si>
  <si>
    <t>Suba Cerros</t>
  </si>
  <si>
    <t>Veredas Torca Rural 1, Torca rural 2 y Tibabita rural. Los desarrollos urbanos son Torca 1 y Torca 2. Para el desarrollo de la compilación y actualización de la información de Usaquén se toma como base el Diagnóstico Local de Usaquén de la Secretaría de Salud (2004) y Planeación Distrital.</t>
  </si>
  <si>
    <t xml:space="preserve">Veredas Barajas norte, La Lomita, Tuna Rural, Las Mercedes Suba Rural, Guaymaral, Casa Blanca Suba Rural 1 y Casablanca Suba Rural 2 y Casa Blanca Suba y las UPZ con los desarrollos urbanos legalizados de Casa Blanca Suba urbano 1 y 2, la Candelaria, La Conejera, Las Mercedes Suba y Nuestra Señora del Rosario. 
</t>
  </si>
  <si>
    <t>Reserva Forestal Tomas van Der Hammen</t>
  </si>
  <si>
    <t>Paseo de los Libertadores</t>
  </si>
  <si>
    <t>La Academia,  Guaymaral, El Prado  y Tibabuyes</t>
  </si>
  <si>
    <t>Rafael Uribe</t>
  </si>
  <si>
    <t xml:space="preserve">Ciudad Bolívar
</t>
  </si>
  <si>
    <t>UPZ 69 Ismael Perdomo</t>
  </si>
  <si>
    <t>Diana Turbay, 
Rincón del Valle y el Parque Ecológico Distrital Entre Nubes - PEDEN</t>
  </si>
  <si>
    <t>Santa Viviana, La Carbonera, Santo Domingo, Santa Helena, San 
Antonio del Mirador, El Espino, Cerro El Diamante, Mirador de la Estancia, Rincón del 
Porvenir y San Rafael</t>
  </si>
  <si>
    <t>Cerros Orientales y Zona rural  de Bogota D.C.</t>
  </si>
  <si>
    <t>San Cristóbal, Santa Fe, Chapinero, Usaquén, Suba y Sumapaz</t>
  </si>
  <si>
    <t>UPZ Rurales</t>
  </si>
  <si>
    <t>Torca, Sierras del Chicó, Parque Nacional + UPZ rurarales</t>
  </si>
  <si>
    <t>Todas</t>
  </si>
  <si>
    <t xml:space="preserve">Sitios que presentes emergencias ambientales </t>
  </si>
  <si>
    <t>Distrito</t>
  </si>
  <si>
    <t>Distriital</t>
  </si>
  <si>
    <t xml:space="preserve">Suelo rural de la localidades de Usme Cuenca media del Río Tunjuelo </t>
  </si>
  <si>
    <t xml:space="preserve">Suelo rural de la localidades de Ciudad Bolivar </t>
  </si>
  <si>
    <t>Suelo rural de la localidades de Sumapaz</t>
  </si>
  <si>
    <t xml:space="preserve">Usme </t>
  </si>
  <si>
    <t>Sumapaz</t>
  </si>
  <si>
    <t>Cuenca media del Río Tunjuelo</t>
  </si>
  <si>
    <t xml:space="preserve"> Cuenca Rio Blanco</t>
  </si>
  <si>
    <t xml:space="preserve">Veredas La Unión, Los Andes, Las Margaritas, Olarte, El Destino, El Hato, Arrayanes, Soches, El Destino, Curubital,
</t>
  </si>
  <si>
    <t>Las Mercedes, Santa Rosa, Pasquillita, Pasquilla, Santa Barbará, Mochuelo Alto, Quiba Alto.</t>
  </si>
  <si>
    <t xml:space="preserve">Suelo rural de la localidad de   Ciudad Bolívar </t>
  </si>
  <si>
    <t>Suelo rural de la localidad de   Usme</t>
  </si>
  <si>
    <t>Suelo rural de Sumapaz</t>
  </si>
  <si>
    <t xml:space="preserve"> Ciudad Bolívar</t>
  </si>
  <si>
    <t>Zonas de abastecimiento de acueductos veredales</t>
  </si>
  <si>
    <t xml:space="preserve"> Zona rural del Distrito Capital </t>
  </si>
  <si>
    <t>Zonas estrategicas para la conservación del agua, el suelo y la biodiversidad</t>
  </si>
  <si>
    <t>Localidad de Usme</t>
  </si>
  <si>
    <t>Localidad de  Ciudad Bolívar</t>
  </si>
  <si>
    <t xml:space="preserve"> Ciudad Boliívar</t>
  </si>
  <si>
    <t xml:space="preserve">Veredas Chisacá, La Unión, Arrayanes, Curubital,  Andes,  El Destino, Agualinda-Chiguaza, El Uval, Corinto Cerro Redondo, La Requilina,  Los Soches, Olarte, Tibaque y Usme Centro
</t>
  </si>
  <si>
    <t>Zonans de borde urbano-rural</t>
  </si>
  <si>
    <t>Reserva Forestal THomas van Der Hammen/cerro de Torca</t>
  </si>
  <si>
    <t>INTERVENIR 14 KILÓMETROS DEL CORREDOR ECÓLOGICO DE CERROS ORIENTALES.</t>
  </si>
  <si>
    <t>CONSERVAR  Y MANEJAR SOSTENIBLEMENTE 6.00 PARQUES ECOLÓGICOS DISTRITALES DE HUMEDAL</t>
  </si>
  <si>
    <t>2.00</t>
  </si>
  <si>
    <t xml:space="preserve">Cr63 57 G 47 Sur </t>
  </si>
  <si>
    <t>Las veredas Mochuelo Alto y Mochuelo Bajo Pasquilla</t>
  </si>
  <si>
    <t>Veredas Auras Animas y nazareth</t>
  </si>
  <si>
    <t>1800 usuarios de acueductos asoporquera y acupiedraparada Fuente ACODAL</t>
  </si>
  <si>
    <t>1380 usuarios de acueductos  de aguasdoradas Fuente ACODAL</t>
  </si>
  <si>
    <t>111 usuarios de acueducto Asouan Fuente ACODAL</t>
  </si>
  <si>
    <t>No se han presentado</t>
  </si>
  <si>
    <t>SUBA - ENGATIVÁ - BOSA - USAQUEN - BARRIOS UNIDOS - KENNEDY - FONTIBON</t>
  </si>
  <si>
    <t>LOCALIDADES DEL D.C CON HUMEDALES</t>
  </si>
  <si>
    <t>Engativá: 414666
Suba: 544454
Bosa: 307600
Usaquen: 227071
Kennedy: 514716
Fontibon: 175668
Barrios unidos: 114441
Total: 2300416</t>
  </si>
  <si>
    <t>Engativá: 452053
Suba: 602531
Bosa: 321466
Usaquen: 262455
Kennedy: 540134
Fontibon: 195308
Barrios Unidos: 123939
Total: 2497886</t>
  </si>
  <si>
    <t>Engativá: 866719
Suba: 1146985
Bosa: 629066
Usaquen: 489526
Kennedy: 1054850
Fontibon: 370976
Barrios Unidos: 238380
Total: 4796502</t>
  </si>
  <si>
    <t>Número de hectáreas de zonas de rondas hidráulicas y/o de manejo y protección ambiental de humedales gestionados</t>
  </si>
  <si>
    <t>N/A</t>
  </si>
  <si>
    <t>6,4 Actualización Diciembre</t>
  </si>
  <si>
    <t>7,2 Seguimiento Junio</t>
  </si>
  <si>
    <t>7,3 Seguimiento Septiembre</t>
  </si>
  <si>
    <t>7,4 Seguimiento Diciembre</t>
  </si>
  <si>
    <t xml:space="preserve">Timiza </t>
  </si>
  <si>
    <t>Upz 55 Diana Turbay</t>
  </si>
  <si>
    <t>6,2 Actualización Septiembre</t>
  </si>
  <si>
    <t>Total Meta</t>
  </si>
  <si>
    <r>
      <t xml:space="preserve">Usaquen, </t>
    </r>
    <r>
      <rPr>
        <b/>
        <sz val="8"/>
        <color theme="4" tint="-0.249977111117893"/>
        <rFont val="Arial"/>
        <family val="2"/>
      </rPr>
      <t>Suba</t>
    </r>
    <r>
      <rPr>
        <sz val="8"/>
        <rFont val="Arial"/>
        <family val="2"/>
      </rPr>
      <t>, Engativa</t>
    </r>
  </si>
  <si>
    <t>Total Metal</t>
  </si>
  <si>
    <t xml:space="preserve"> Guadalupe y Sector de Jacquelin</t>
  </si>
  <si>
    <t>Vivero en el Humedal La Vaca</t>
  </si>
  <si>
    <t>kennedy</t>
  </si>
  <si>
    <t>CORABASTOS</t>
  </si>
  <si>
    <t>Chucua De La Vaca III</t>
  </si>
  <si>
    <t>Humedal La VACa</t>
  </si>
  <si>
    <t>Ecosistemas de humedal</t>
  </si>
  <si>
    <t>n.d</t>
  </si>
  <si>
    <t>nd</t>
  </si>
  <si>
    <t>Total meta</t>
  </si>
  <si>
    <t>veredas Animas, Auras, Raizal, Nazareth ,Taquecitos, Raizal y los Rios</t>
  </si>
  <si>
    <t>Vereda Soches , Corinto, Uva,  Chiguaza y Requilina</t>
  </si>
  <si>
    <t>Total Proyecto</t>
  </si>
  <si>
    <t>TOTAL MP1</t>
  </si>
  <si>
    <t>Total Magnitud MP1</t>
  </si>
  <si>
    <t>Total Recursos Vigencia MP1</t>
  </si>
  <si>
    <t>Total Reservas MP1</t>
  </si>
  <si>
    <t>Las acciones adelantadas contribuyen a la consolidación de los espacios del agua, toda vez que permiten que luego de adquiridos los predios se puedan emprender acciones de recuperación y manejo del humedal</t>
  </si>
  <si>
    <t>Manejo ambiental de zonas de alto riesgo no mitigable.
Prevención frente a la ocupación ilegal de estas zonas.
Apropiación territorial por parte de la comunidad aledaña a las zonas de riesgo. 
Mayor reconocimiento de la gestión de la autoridad ambiental.
Fortalecimiento de la gestión social y ambiental en el territorio.</t>
  </si>
  <si>
    <t>Mejoramiento del tiempo de respuesta frente a las emergencias en las que se activa la SDA, con lo cual se brinda un mejor servicio a la ciudadanía y se minimizan riesgos.</t>
  </si>
  <si>
    <t xml:space="preserve">5, PONDERACIÓN HORIZONTAL AÑO: 2015  </t>
  </si>
  <si>
    <t>1. Supervisar y apoyar  la gestión  de adquisición de predios por parte de la EAAB en el marco del convenio 030 del 2009, en el PEDH Capellanía</t>
  </si>
  <si>
    <t>PROGRAMADO</t>
  </si>
  <si>
    <t>2. Desarrollar la recuperación integral de quebrada (diagnosticos biofisico-social, gestión social, diseños, intervencion) en las Subcuencas de Torca, Salitre, Tunjuelo y Fucha.</t>
  </si>
  <si>
    <t>3. Generar los conceptos tecnicos encaminados a revisar y aprobar los estudios de alinderamiento de los cuerpos de agua vinculados a la Estructuta Ecologica Principal elaborados y remitidos por la Empresa de Acueducto y Alcantarillado de Bogotá. De acuerdo con lo establecido en el Decreto 190 de 2004.</t>
  </si>
  <si>
    <t xml:space="preserve">4. Participar en las mesas de trabajo organizadas por la CAR en la formulación de los planes de manejo ambiental de las microcuencas. </t>
  </si>
  <si>
    <t>5. Mantener  las áreas restauradas de  ronda hidraúlica y ZMPA en quebradas intervenidas por la SDA</t>
  </si>
  <si>
    <t>6. Evaluar y hacer seguimiento de los procesos de intervención físico-biótica desarrollados en PEDH.</t>
  </si>
  <si>
    <t>7. Generar los insumos técnicos para aprobación y seguimiento de PMA, Alertas Ambientales, Medidas de Protección,identificación y ampliaciones en áreas de ecosistemas humedal.</t>
  </si>
  <si>
    <t>8. Adelantar la administración de los parques ecológicos distritales de humedal en el marco de las politicas establecidas, desarrollando acciones para promover el uso público y la gestión del conocimiento</t>
  </si>
  <si>
    <t>9. Desarrollar acciones operativas y de restauración ecológica dirigidas al manejo y mantenimiento de   los ecosistemas de humedal.</t>
  </si>
  <si>
    <t>10. Realizar acciones de recuperación ecológica en la Subcuenca Tunjuelo.</t>
  </si>
  <si>
    <t>X</t>
  </si>
  <si>
    <t>Conservar y manejar sosteniblemente el 100.00 % de las hectáreas recuperadas, rehabilitadas y/o restauradas del río Tunjuelo.</t>
  </si>
  <si>
    <t>11. Desarrollar acciones operativas y de restauración ecológica dirigidas al manejo y mantenimiento en las áreas intervenidas en el río Tunjuelo.</t>
  </si>
  <si>
    <t>12. Implementar las acciones orientadas a la producción de material vegetal en los viveros de la SDA y los estudios para el mejoramiento del modelo de gestión actual</t>
  </si>
  <si>
    <t>13. Adelantar las acciones requeridas para la adecuación, mejoramiento y mantenimiento de los viveros administrados por la SDA.</t>
  </si>
  <si>
    <t>14. Desarrollar los procesos de gestion predial para su adquisición a partir de los avaluos existentes y realizar la priorización y gestión para el avalúo de nuevos predios</t>
  </si>
  <si>
    <t>15. Realizar el mantenimiento, implementación y monitoreo de acciones para conservación , restauración, rehabilitación y/o recuperación en suelo de protección del Distrito Capital.</t>
  </si>
  <si>
    <t>16. Realizar las acciones de administración integral del PEDM Entrenubes y las áreas de interés ambiental Parque Mirador de los Nevados y Soratama, incluyendo aquellas para la promoción del uso público.</t>
  </si>
  <si>
    <t>17. Adelantar las gestiones técnicas  necesarias para adelantar acciones de administración del Parque Ecológico Distrital de Montaña Cerro Seco - Arborizadora Alta y otro sector de interés ambiental.</t>
  </si>
  <si>
    <t>18. Participar en el proceso de concertación del Plan de Manejo Ambiental – PMA – de la Reserva Forestal Regional Productora del Norte de Bogotá D.C., “Thomas Van der Hammen liderado por la CAR y desarrollar procesos de gestión relacionados con el tema.</t>
  </si>
  <si>
    <t xml:space="preserve">19.Apoyar el seguimiento a la formulación del Plan de Manejo Ambiental de Cerro de Torca </t>
  </si>
  <si>
    <t>20. Adelantar la concertación interinstitucional y gestiones necesarias para el fortalecimiento local y regional del modelo de ocupación campesino del territorio borde sur, como estrategia para detener la expansión urbana sobre el suelo de protección y la ruralidad del D.C.</t>
  </si>
  <si>
    <t>21. Realizar la implementación de un tramo del corredor ecológico de cerros orientales selecionado entre los tramos 5, 6 y 7 de los diseños y propuestas previamente elaborados por la SDP y SDH.</t>
  </si>
  <si>
    <t>22. Desarrollar acciones socio ambientales para aportar en la recuperacdión ecológica de zonas de alto riesgo no mitigable en las localidades de Rafael Uribe Uribe y Ciudad Bolívar.</t>
  </si>
  <si>
    <t>23. Desarrollar acciones interinstitucionales, técnicas y sociales orientadas a la gesti ón de riesgo por incendio forestal.</t>
  </si>
  <si>
    <t>24. Responder a las emergencias ambientales para las cuales se activa a la SDA, por parte de las entidades del SDGR-CC, el NUSE y la comunidad.</t>
  </si>
  <si>
    <t>25.Adelantar acciones de planificación de paisaje y caracterización de sistemas productivos y formas de apropiación del territorio, como base para vincular familias campesinas a procesos de Ordenamiento Agroambiental de la Finca</t>
  </si>
  <si>
    <t>26. Implementar acciones de ordenamiento predial, restauración y reconversión de sistemas productivos afines a la conservación de los recursos naturales en los predios priorizados  para 2013 y los gestionados en 2012, fortaleciendo redes sociales y mercados</t>
  </si>
  <si>
    <t>27. Adelantar acciones integrales orientadas a la restauración, recuperación, rehabilitación o conservación en las zonas abastecedoras de acueductos veredales (incluye el mantenimiento de coberturas vegetales establecidas con anterioridad y la gestión social e institucional)</t>
  </si>
  <si>
    <t>28. Generar un documento de lineamientos para gestión en la ruralidad, así como los conceptos y documentos técnicos de apoyo y que se requieran en el marco de las diferentes instancias de gestión  donde se participe</t>
  </si>
  <si>
    <t xml:space="preserve">29. Implementar y hacer siguimiento a la herramienta de registro (fichas descriptivas) de los instrumentos de gestión ambiental </t>
  </si>
  <si>
    <t>30. Implementación del esquema de  seguimiento y evaluación a la implementación de los instrumentos de gestión e iniciar su implementación.</t>
  </si>
  <si>
    <t>31. Adelantar acciones de coordinación con las diferentes dependencias de la SDA para apoyar la formulación y la implementación de los diferentes instrumentos de gestión: 1) Departamentos de Gestión Ambiental, 2) Plan Distrital y Adaptación Cambio Climático, 3) Plan Distrital de silvicultura urbana, 4) Plan Decenal en fuentes moviles y fijas en desarrollo al Plan de Descontaminación de Aire, 5) Plan Institucional de Gestión Ambiental a nivel Distrital y 6) Plan de Accion Cuatrienal Ambiental PACA a nivel de la SDA y 7) Certificados del Estado de Conservación Ambiental</t>
  </si>
  <si>
    <t xml:space="preserve">Las quebradas de la Subucuenca Salitre y Torca, ubicadas en los Cerros Orientales de Bogotá, son ecosistemas estratégicos  para mejorar la calidad de vida  de los capitalinos.  Las quebradas intervenidas presentan altos valores ecológicos y paisajisticos por su dinámicas territoriales. 
La apropiación de los proyectos se generó mediante la participación activa de la comunidad en los procesos  de recuperación y mantenimiento de las obras realizadas. </t>
  </si>
  <si>
    <t>Informe de gestión  del convenio 1201 de 2013
Informe de gestión 1525 de 2014</t>
  </si>
  <si>
    <t>Con la plantación de 5.613 árboles, se recuperaron, rehabilitaron y/o restauraron 1.7 hectáreas de la zona de ronda hidráulica y/o zmpa en un tramo de la cuenca media del río Tunjuelo, específicamente en los sectores de Biota, Jaqueline, Villa del Río y Guadalupe. Con esto, se cumple al 100% la meta de 8 ha Río Tunjuelo.</t>
  </si>
  <si>
    <t xml:space="preserve">Las zona de Boíta, Jacqueline y Villa del Río, se encuentra ubicada a márgenes del rio Tunjuelo, cuenca que hace parte de la estructura ecológica principal del Distrito; estos espacios al no tener intervención, ni cercado de ningún tipo, se habían convertido en una zona de descargue de basuras y escombros, de igual manera en foco de inseguridad; por lo anterior las acciones de preparación de terreno, plantación en diseños de Restauración Ecológica y mantenimiento, han mejorado el estado de las zonas aledañas, como su visualización y apropiación por parte de los residencias aledañas.
Dentro de los criterios técnicos tenidos en cuenta en el diseño están la definición de barreras de olores y núcleos hexagonales constituidos por especies nativas, resistentes a inundaciones, las cuales también competirán por el espacio con los pastos y las Acacias plantadas en la zona y atraerán las aves. </t>
  </si>
  <si>
    <t>Informes de gestión del convenio 999 de 2013 con la Fundación Natura.</t>
  </si>
  <si>
    <t>Indicador finalizado en el año 2014</t>
  </si>
  <si>
    <t>Los 12 Parques Ecológicos Distritales de Humedal declarados, cuentan con Plan de Manejo Ambiental aprobado,  instrumentos de planificación que orientan la gestión en dichos ecosistemas hacia el logro de sus objetivos de conservación, a partir de una mirada de largo, mediano y corto plazo, enmarcada en las realidades naturales, socioculturales e institucionales y las dinámicas territoriales en las que se encuentran inmersos los humedales</t>
  </si>
  <si>
    <t>Resoluciones Conjuntas CAR-SDA 01(PEDH JABOQUE), 02 (PEDH TORCA-GUAYMARAL) y 03 (MEANDRO DEL SAY)</t>
  </si>
  <si>
    <t>Restauración ecológica como estrategia de prevención y mitigación de impactos de contaminación y de deterioro en áreas que abastecen los acueductos veredales, con apropiación por parte de la comunidad participativa.</t>
  </si>
  <si>
    <t>Informes presentados por los contratos 391/15, 1049/14 y 815/15</t>
  </si>
  <si>
    <t>Informes de gestión del convenio 999 de 2013.</t>
  </si>
  <si>
    <t>La organización "Amigos Garden" y "Banco de Semillas" participaron en la adecuación y puesta en marcha del Vivero del humedal La Vaca, donde se producira material vegetal propios de los ecosistemas de humedales. Las actividades desarrolladas correspondieron a la adecuación de la infraestructua del invernadero, instalación de los elementos de protección, construcción de mesones para germinación y pozetas para producción de material vegetal acuático. Así mismo, participaron con el apoyo al componente social en la apropiación del espacio.</t>
  </si>
  <si>
    <t>Contar con un vivero en Bogotá con producción de material vegetal propio de los ecosistemas de humedal</t>
  </si>
  <si>
    <t>Registros fotograficos.</t>
  </si>
  <si>
    <t xml:space="preserve">Se fortaleció la institucionalidad regional con la gestión conjunta en la formulación del  PMA de la Reserva Forestal Thomas Van der Hammen, y se continua con la intervención en forma concertada para la adquisición de predios en el borde Norte, como estrategia para consolidar el corredor entre los cerros orientales y el río Bogotá. 
Paralelamente, esta en trámite la adopción del PMA del Cerro de Torca, que aporta los lineamientos para el direccionamiento de los recursos y la priorización de proyectos que consolidan la protección, conservación y recuperación del área.
</t>
  </si>
  <si>
    <t>Actas de reunión de las jornadas realizadas y documentos generados.
Estudios previos para diseñar herramientas de manejo de paisaje en zonas de borde sur</t>
  </si>
  <si>
    <t xml:space="preserve">Implementación acciones de reconversión productiva en la ruralidad distrital: uso del árbol dentro del sistema productivo, acciones de protección del bosque, buenas prácticas productivas, uso de fertilizantes orgánicos en praderas y cultivos (compostaje y/o lombricultivo) y acciones sobre la seguridad alimentaria y autoabastecimiento. </t>
  </si>
  <si>
    <t>Contrato 1151 de 2014
Informe de actividades de los equipos de trabajo contratados bajo esta meta.</t>
  </si>
  <si>
    <t xml:space="preserve">Contrato 801 de 2015
</t>
  </si>
  <si>
    <t>Con la plantación de 5.613 árboles, se recuperaron, rehabilitaron y/o restauraron 1.7 hectáreas de la zona de ronda hidráulica y/o zmpa en un tramo de la cuenca media del río Tunjuelo, específicamente en los sectores de Biota, Jaqueline, Villa del Río y Guadalupe. Con esto, se cumple al 100% la meta en 8 ha Río Tunjuelo.</t>
  </si>
  <si>
    <t xml:space="preserve">Se cuenta con un análisis técnico del área el cual soporta la intervención de restauración y su valor como área de interés para la conservación. </t>
  </si>
  <si>
    <t xml:space="preserve">Se conservaron y manejaron sosteniblemente 7 hectáreas de las 8 recuperadas, rehabilitadas y/o restauradas del río Tunjuelo, lo que equivale a un 88%. En estas hectáreas se realizó la plantación de un total de 5.383 individuos en los siguientes sectores:
a. Primer ciclo de mantenimiento en el sector de Boitá 1 con la plantación de 2.001.  
b. Plantación de 1.183 árboles en el sector de Jackeline
c. Plantación de 2.202 árboles en el sector de villa del Río.
</t>
  </si>
  <si>
    <t>Las zona de Boíta, Jacqueline y Villa del Río, se encuentra ubicada a márgenes del rio Tunjuelo, cuenca que hace parte de la estructura ecológica principal del Distrito; estos espacios al no tener intervención, ni cercado de ningún tipo, se habían convertido en una zona de descargue de basuras y escombros, de igual manera en foco de inseguridad; por lo anterior las acciones de preparación de terreno, plantación en diseños de Restauración Ecológica y mantenimiento, han mejorado el estado de las zonas aledañas, como su visualización y apropiación por parte de los residencias aledañas</t>
  </si>
  <si>
    <t xml:space="preserve">Informes de gestión del equipo de viveros
</t>
  </si>
  <si>
    <t>Escrituras Públicas, Comunicaciones, Estudio de Titulos, Acta de Inicio, Actas de comité y actas de reunión.</t>
  </si>
  <si>
    <t>No Aplica</t>
  </si>
  <si>
    <t>No Aplica.</t>
  </si>
  <si>
    <t>La administración directa de las siguientes áreas: Parque Ecológico Distrital de Montaña Entrenubes, Soratama, Parque Mirador de los Nevados y área de interés ambiental Arborizadora Alta.</t>
  </si>
  <si>
    <t>Convenio 1478 de 2014.
Contrato de obra pública No. 1528 de 2014.
Contrato de consultoría No. 1529 de 2014.
Contrato de consultoría No. 1513 de 2013.</t>
  </si>
  <si>
    <t>1. Informes mensuales de ejecución de Convenios
2. Informe final del Contrato de Consultoría 1193 de 2013
3. Presentación institucional de los vances del Plan de Acción Institucional de Altos de la Estancia</t>
  </si>
  <si>
    <t>*Disminución del riesgo de pérdidas (ambientales, humanas y económicas) por la ocurrencia de incendios forestales. 
*Gestión permanente para control del retamo, lo cual minimiza el riesgo de ocurrencia de incendios.
*Vinculación de población en la prevención de incendios forestales.</t>
  </si>
  <si>
    <t>*Actas de reunión de la CDPMIF.
*Informe de gestión 2014.
*Actas de reunión del Comité Técnico del Convenio 1526/14.</t>
  </si>
  <si>
    <t xml:space="preserve">Los tiempos de respuesta a emergencias ambientales competencia y jurisdicción de la SDA se miden a través de un indicador que finalizó, a 17 de marzo de 2015, en 91,2%. 
En lo corrido del año se han atendido 185 emergencias,  de las cuales, 184 se atendieron oportunamente (tiempo máximo de 16 horas) y 1, se atendió por fuera de este rango de tiempo.
*  Para el trimestre (enero - marzo 17) los eventos activados, corresponden a:
- ENERO: 74 eventos: 71 relacionados con árboles en riesgo y/o caídos y 3 incidentes relacionados con materiales peligrosos.
 - FEBRERO: 63 eventos: 58 relacionados con árboles en riesgo y/o caídos, 4 incidentes relacionados con materiales peligrosos y 1 incendio forestal.
 - MARZO 17: 48 eventos: 47 relacionados con árboles en riesgo y/o caídos y 1 incidente relacionado con materiales peligrosos.
* Este trimestre (enero - marzo 17) se articuló la atención de las emergencias con las entidades del SDGR-CC, así:
- ENERO: 50 emergencias, solicitando apoyo a CODENSA, UAESP y EAB-ESP.
- FEBRERO: 33 emergencias, solicitando apoyo a CODENSA, UAESP, IDRD y EAB-ESP.
- MARZO 17: 24 emergencias, solicitando apoyo a BOMBEROS Y UAESP.
</t>
  </si>
  <si>
    <t>1 evento atendido por fuera del rango de tiempo, debido a múltiples eventos surgidos el mismo día.</t>
  </si>
  <si>
    <t>Contar con más personal para atender las emergencias cuando se presentan de forma simultánea</t>
  </si>
  <si>
    <t xml:space="preserve">*Reporte actualizado 2015.
*Formatos de respuesta a emergencias. </t>
  </si>
  <si>
    <t xml:space="preserve">Implementación acciones de reconversión productiva en la ruralidad distrital: uso del árbol dentro del sistema productivo, acciones de protección de áreas de bosque y espacios del agua, buenas prácticas productivas y acciones sobre la seguridad alimentaria y autoabastecimiento. </t>
  </si>
  <si>
    <t>Apoyar o realizar un acompañamiento a la implementación de los instrumentos priorizados.
Se detectan alertas que pueden apoyar el proceso de revisión y eventualmente de re formulación de instrumentos, para hacer más eficiente la implementación y los alcances.</t>
  </si>
  <si>
    <t>Fichas finales.  Sistema ajustado durante el mes de enero de 2015.
Desarrollo de reuniones de trabajo y registros en actas y listados.</t>
  </si>
  <si>
    <t>Se daría inicio a la implementación de instrumentos importantes para el Plan de Desarrollo y para la Ciudad.</t>
  </si>
  <si>
    <t>Informe Trimestral de actividades, actas de reuniones, listados de asistencia, propuestas para el desarrollo de acciones desde los diferentes instrumentos.</t>
  </si>
  <si>
    <t>Gestión en la Subcuenca Salitre . Con el convenio de asociación 1201 en el 2014 se realizó la implementación, seguimiento y monitoreo a las acciones de restauración ecológica planificadas para las quebradas  Puente Piedra (0,53 km; 1.22 ha). . Gestion en la Subcuenca Tunjuelo. Se adelantó la intervención con los vigias del agua con acciones de preparación del terremo en  0,085 ha en el río Tunjuelo en el sector de Villa luz.</t>
  </si>
  <si>
    <t xml:space="preserve">Se han atendido 188 procesos, de los cuales: 27 corresponden a quejas, 7 a enlaces del concejo, 59 memorandos internos, 88 oficios externos, 4 Permisos de ocupación de cauce y3 solicitudes de información por afectaciones de zampa a predios particulares. Dentro de estos cabe resaltar que se analizó la información suministrada por la EAB-ESP para el proceso de alinderamiento del Caño Galindo en la Localidad de C. Bolivar, donde se oficio a la EAB, para que entregara información adicional. Se genero el Informe técnico, sobre afectación al Corredor Ecológico de Ronda de la Quebrada el Chuscal por el Conjunto Residencial San Geronimo del Yuste. Se realizo el informe técnico sobre el encerramiento del Parque Ecológico Distrital de Humedal de Tibanica.  
Se realizaron 2 informes técnicos sobre la afectación al Corredor Ecológico de Ronda del Río Tunjuelo en inmediaciones del Barrio Guadalupe.
Se genero Informe Técnico dando los lineamientos para el desarrollo de la Planta de Tratamiento de lodos de la EAB-ESP en el Predio San Luis.
Se adelantaron los Informes Técnicos de los Permisos de Ocupación de Cauce de la EAB-ESP, para las Quebradas Trompeta, Zanjon de la Estrella, Infierno y Limas.
</t>
  </si>
  <si>
    <t>No reporta.</t>
  </si>
  <si>
    <t>Subcuenca Salitre En la quebrada Morací se hizo la recolección de  0,8 toneladas deresiduos sólido, eliminación de rebrote de acacia y  corte de césped 0,0067 ha, plateo y retutorado de  420 árboles y repique de material vegetal 0,07 toneladas.  Subcuenca Tunjuelo Se realizó el primer ciclo de mantenimiento a los 3.485 árboles plantados en la zona de ronda de la Q. Palestina (Predio 90 PEDMEN)</t>
  </si>
  <si>
    <t xml:space="preserve">Se mantuvo la administración directa del Parque Ecológico Distrital de Humedal Santa María del Lago (10,8), mediante el convenio 1478 de 2014 se han realizado las acciones de mantenimiento con resultados como: siembra de enriquecimiento en estrato rasante de 5953 unidades, plateo de 30 árboles, riego de coberturas en 11906 m2,  control de especies invasoras en 5117 m2, recolección de 106,2 kg de residuos sólidos, extracción de azolla en 1044 m2 y extracción de macrófitas en 12818 m2.
En el humedal La Conejera (58,98 ha) durante estre primier trimestre de 2015, la SDA apoya la coordinación de la mesa interinstitucional del PEDH La Conejera donde se tratan diferentes problemáticas presentes en el ecosistema y por solicitudes de la comunidad, se realizó la socialización del Plan de Manejo Ambiental del Humedal La Conejera. Se han entregado insumos desde las competencias de la SER, para el Alcalde ad hoc con respecto al proyecto Reserva Fontanar, el cual se encuentra cercano al PEDH La Conejera.
Paralelo a lo anterior, la SDA ha venido conformando un equipo de profesionales que realizan acciones de coordinación interinstitucional  para el manejo y conservación de los siguientes humedales:
En el Parque Ecológico Distrital de Humedal “Juan Amarillo”-PEDHJA (222,58 ha), donde se  ejecutaron las  cuatro (4) líneas de acción para su administración y conservación: vigilancia, mantenimiento, monitoreo y gestión social. Desde Noviembre del 2014, se vienen adelantando las mesas de participación entre entidades y la comunidad, con relación a las obras del brazo del humedal. Esta mesa es convocada por la Alcaldía de Suba, de forma mensual. Desde diciembre del 2014 se viene trabajando en la implementación del Aula Ambiental (OPEL/SDA) en conjunto con la comunidad aledaña al brazo del humedal y se incluirá en el proceso a la comunidad educativa de los colegios distritales Alvaro Gomez Hurtado, Nueva Colombia y Gonzalo Arango. La SDA viene trabajando de la mano de la MEBOG, mediante capacitaciones en las diferentes estaciones de Policía, con relación a la importancia de los ecosistemas de humedal y las infracciones que normalmente se cometen allí, lo que da lugar para imponer los comparendos ambientales. 
En el Parque Ecológico Distrital de Humedal Tibanica (28.8 ha) se establecieron acciones a corto y mediano plazo, las cuales responden a las necesidades del ecosistema en aspectos hidrológicos, biológicos y sociales. Con base en el Decreto 494 de 2014, "Por medio del cual se declara el Estado Crítico o Alerta Naranja en el Parque Ecológico Distrital de Humedal Tibanica y se dictan otras disposiciones", con el apoyo de entidades como la Empresa de Acueducto, Alcantarillado y Aseo de Bogotá (EAB-ESP), Aguas de Bogotá, Jardín Botánico José Celestino Mutis (JBB), el Instituto Distrital de Gestión del Riesgo y Cambio Climático (IDIGER), la Alcaldía local de Bosa, la Alcaldía Municipal de Soacha y La Corporación Autónoma Regional de Cundinamarca (CAR), entre otras, se formuló el Plan para la Atención Prioritaria al Déficit Hídrico del PEDH Tibanica. Este plan se enmarca en una dinámica de cooperación interinstitucional donde cada entidad aportará el recurso humano y los insumos necesarios para su desarrollo
En el Parque Ecológico Distrital de Humedal Jaboque - PEDHJ (151.91ha) se adelantó la construcción de plan de acción para la recuperación del humedal atendiendo las líneas de: Planeación Ambiental y Urbana, Obras de Recuperación y Protección Ambiental, Gestión Social y Educación Ambiental, Monitoreo Biótico, Social y del recurso Hídrico, Evaluación, Control y seguimiento de Factores de Tensión, protección, Vigilancia y Seguridad. Se logró adelantar la Resolución Conjunta No 01 de 2015 por la cual se aprueba el Plan de Manejo Ambiental del PEDH, el Documento Técnico de soporte No 0078 Justificación técnica de la necesidad de ampliación del Parque Ecológico Distrital de Humedal Jaboque (Fincas Junca, Montecitos y Maranta en  la Localidad de Engativá)
</t>
  </si>
  <si>
    <t xml:space="preserve">Con el grupo de vigías del agua se adelantaron acciones de manejo en el Humedal Salitre (2,8 ha) con la recolección de 0,025 toneladas de residuos sólidos, Extracción manual de especies invasoras (Calabaza, kikuyo) en 0,195 ha y Corte de césped 0,03 ha. Y el Humedal Tunjo (33,2 ha) con la recolección de 5,072 Toneladas de residuos sólidos, Retiro y control de especies invasoras (calabaza, ojo de poeta) en 1, 88 ha </t>
  </si>
  <si>
    <t>Se terminó la plantación de 5,613 árboles en los sectores de Biota, Jaqueline, Villa del Río y Guadalupe.</t>
  </si>
  <si>
    <t xml:space="preserve">Se realizó el  primer ciclo de mantenimiento en el sector de Boitá 1 con la plantación de 2.001, Jackeline con la plantación de Jackeline1.183 y villa del Río von 2.202 para un total de 5. 383 árboles plantados en 7 hectáreas. </t>
  </si>
  <si>
    <t xml:space="preserve">Durante este primer trimestre 2015 se adelantaron las siguientes acciones en el suelo de protección:
1. Restauración Ecológica en el bosque seco: se adelantó la Intervención de 2, 23 ha nuevas, con actividades como: eliminación de rebrote de acacia y desinfestación de retamo liso en el sector de Arborizadora Alta y se concluyó la etapa de plantación en 7 hectáreas  reportadas en el trimestre anterior.
2. Sostenibilidad de procesos de restauración ecológica: 
En el Parque Ecológico de Montaña Entrenubes se realizó el tercer ciclo de mantenimiento en 20, 2 hectáreas en los predios: 15, 57, 58, 90, 107, 109, 117, 118, 120, 121, 175.
En el marco de la meta se ha consolidado la intervención en  120,52 ha nuevas en el suelo de protección y se ha realizado dos ciclos de mantenimiento en 176.4 hectáreas de las cuales se reportaron 122.5 de procesos anteriores a Bogotá Humana y resto corresponde a intervenciones ya reportadas como nuevas en el marco de este Plan de Desarrollo
</t>
  </si>
  <si>
    <t xml:space="preserve">En el primer trimestre de 2015, se han ejecutado acciones de administración (vigilancia, mantenimiento, gestión social, educación ambiental) en: Parque Ecológico Distrital de Montaña Entrenubes, Soratama, Parque Mirador de los Nevados y área de interés ambiental Arborizadora Alta.  A través del convenio 1478 de 2014, se están desarrollando actividades de mantenimiento y recuperación de los ecosistemas administrados con resultados como: siembras de coberturas en 81 m2, plateo de 2931 m2, control de retamo espinoso en 6742 m2, producción de 886 kg de compost, limpieza de 3052 ml de canales, barrido de 6450 m2 de senderos.
Se está ejecutando el contrato de obra pública No. 1528 de 2014, que tiene por objeto la construcción de nuevas redes hidráulicas de suministros de agua potable, redes de riego, redes de recolección de aguas sanitarias y pluviales y obras complementarias del Parque Mirador de los Nevados.
Así mismo, se ha ejecutado en un 60% el contrato de consultoría No. 1513 de 2012 que tiene por objeto el diseño arquitectónico de las Aulas Ambientales en el Mirador de Juan Rey del Parque Entrenubes y del Aula Ambiental Soratama, así como los senderos peatonales en el Parque Entrenubes.
</t>
  </si>
  <si>
    <t>Se encuentra en revisión los estudios previos para la suscripción del contrato de comodato entre la SDA y IDRD con el fin de recibir oficialmente las 30 ha del sector de Arborizadora Alta donde se realiza acciones de conservación y manejo del bosque seco.  Se  encuentra en  proceso de liquidación el contrato de consultoría No. 643 de 2014 cuyo objeto es “Realizar el diagnóstico de los elementos del ecosistema seco o xerofita andina en el Borde Sur del D.C.'',   y se han aprobado los siguientes productos: Documento de análisis de aspectos socio económicos,Registro de los predios (propietario, ubicación, chip, destino económico) y el archivo fotográfico digital documentado</t>
  </si>
  <si>
    <t xml:space="preserve">En el primer trimestre se aprobaron los productos del PMA del PEDM Cerro de Torca  y se remitieron a la CAR para su aprobación, mediante radicado No. </t>
  </si>
  <si>
    <t>VARIABLE</t>
  </si>
  <si>
    <t>5, Programación 2015</t>
  </si>
  <si>
    <t>Humedal Tunjo (anteriormente Ubaguaya)</t>
  </si>
  <si>
    <t>Serranía El Zuque o otra area de interes ambiental</t>
  </si>
  <si>
    <t>Curubital, Margaritas, Arrayanes, Olarte, El Hato, La Unión, El Destino, el uval y Corinto Cerrorerondo</t>
  </si>
  <si>
    <t>Santa Rosa, Pasquilla, Pasquillita, Quiba Alto, Mochuelo Alto, Mochuelo Bajo, Quiba Bajo y Santa Bárbara</t>
  </si>
  <si>
    <t xml:space="preserve">Animas, Auras, Raizal, Nazareth ,Taquecitos, Raizal y los Rios. </t>
  </si>
  <si>
    <t>Zona franja de borde cerros</t>
  </si>
  <si>
    <t>PROYECTO:</t>
  </si>
  <si>
    <t>PERIODO:</t>
  </si>
  <si>
    <t>Cuarto trimestre</t>
  </si>
  <si>
    <t>6,1 Actualización Junio</t>
  </si>
  <si>
    <t>Revsión Territorialización-vs CI)</t>
  </si>
  <si>
    <t>Diferencia</t>
  </si>
  <si>
    <t>Vivero en el predio La Australia-Bitter 13</t>
  </si>
  <si>
    <t>Reservas Presupuestales revisión</t>
  </si>
  <si>
    <t>EJECUTAR EN 140.00 HECTÁREAS DE ZONAS DE ALTO RIESGO NO MITIGABLE O ALTA AMENAZA, ACCIONES SOCIOAMBIENTALES Y/O ACCIONES DE ADMINISTRACIÓN, MANEJO Y CUSTODIA DE INMUEBLES RECIBIDOS</t>
  </si>
  <si>
    <t>Zonas de Alto riesgo no mitiga ble Rafael Uribe Uribe.</t>
  </si>
  <si>
    <t>Sector de Nueva Esperanza,San
Martin,
San
Ignacio,
La
Reconquista
y/o
Granjas
de
San
Pablo</t>
  </si>
  <si>
    <t xml:space="preserve">Microcuenca de la quebrada denominada 
Hoya del Güira, afluente de la quebrada Chiguaza </t>
  </si>
  <si>
    <t xml:space="preserve">Zonas de Alto riesgo no mitigable Ciudad Bolívar  </t>
  </si>
  <si>
    <t xml:space="preserve">Sector de Altos de Estancia, Caracolí
</t>
  </si>
  <si>
    <t>Quebradas Carbonera, Rosales o Santo Domingo y 
Santa Rita, en cuyas microcuencas se han desarrollado múltiples fenómenos de inestabilidad 
de variadas proporciones,</t>
  </si>
  <si>
    <t>UPZ 67 Lucero</t>
  </si>
  <si>
    <t>Bella Flor</t>
  </si>
  <si>
    <t>Bella Flor Sector A</t>
  </si>
  <si>
    <t>Quebrada Limas</t>
  </si>
  <si>
    <t>Acueducto Asoporquera predios La Rivera (11 Ha) y Buenos Aires (20 Ha), acueducto Asopiedraparada predio El Recuerdo (13 Ha) ), acueducto Pasquilla Centro predio La Palma (3.3 Ha)</t>
  </si>
  <si>
    <t>acueducto Aguas Doradas predios Uval 01 y Uval La Toscana (11 Ha), acueducto Agualinda Chiguaza en el predio San Luis (4.5 Ha), acueducto Aguas Claras Olarte en Centro de Instrucción y Entrenamiento Militar (0,7), acueductos El Destino y Corinto Cerroredondo predio Montebello (23.26 Ha), acueducto Acuamarg en los predios El Horizonte (0.18 Ha), La Palma (0.25 Ha), Delirios (0.1 Ha), Manantial (0.01 Ha) y acueducto Arrayanes Argentina predio Jamaica (1.5 Ha)</t>
  </si>
  <si>
    <t>Acueducto Asouan predio La Pradera (0.72 Ha).</t>
  </si>
  <si>
    <t xml:space="preserve">Arborizadora Alta, Veredas Pasquilla,Mochuelo Alto,  Mochuelo Bajo, Pasquillita, Quiba Alta, Quiba Baja, Santa Bárbara, Las Mercedes y Santa Rosa.
</t>
  </si>
  <si>
    <t>7, OBSERVACIONES AVANCE TRIMESTRE II  DE 2015</t>
  </si>
  <si>
    <t>Informes de Contrato 1151 de 2014
Informe de actividades de los equipos de trabajo :
979 de 2015
358 de 2015
761 de 2015
Contrato de insumos 1514 de 2014 y 1516 de 2014</t>
  </si>
  <si>
    <t xml:space="preserve">Entre abril y junio de 2015 se realizaron sesiones de trabajo entre entidades de Distrito, (MESA DISTRITAL DE SEGUIMIENTO AL PMA) y del Distrito con la CAR (MESA CAR - DISTRITO), en las cuales se identificaron acciones y/o aportes de las partes relacionadas con el avance en la ejecución del PMA de la Reserva y se establecieron compromisos puntuales para cada parte. 
1. Recursos:
Se identificaron las acciones y recursos comprometidos o en proceso de comprometerse por el D.C. y por la CAR  por un monto de  $ 1.477.000.000 pesos de la vigencia 2015, para ejecutar proyectos contenidos en el PMA (Reunión mayo 13 de 2015). Al respecto, la CAR informó sobre presupuestos aproximados comprometidos para la vigencia 2015:
• Diseño de la Reserva: 390 millones
• Amojonamiento: 300 millones
• Divulgación: 95 millones
• Uso público: 230 millones
El Distrito presentó a la CAR una síntesis de los recursos ejecutados, comprometidos o por comprometer para las gestiones del Distrito dentro de la Reserva:
• Implementación de sistemas de enriquecimiento para el bosque de Las Mercedes: intervenciones del Jardín Botánico por valor de $ 797.000.000, entre 2013 y 2015.
• Compra de predios para la conservación: Recursos de la EAB por 21.000 millones de pesos y de la SDA a través del Fondiger por valor de 90.000 millones de pesos.
Esto para un valor de $ 797.000.000 pesos invertidos y $ 111.000.000.000  para ejecutar en adquisición predial.
A partir de la información obtenida en las reuniones entre la CAR y el Distrito, se elaboró una herramienta de seguimiento a los proyectos del PMA (Documento anexo).
2. Coordinación
La SDA se comprometió a elaborar un documento base para la conformación de la Mesa Técnica de Coordinación CAR – DC, de manera que se formalicen los avances y compromisos por cada instancia -CAR – DC- (Documento anexo).
3. Actividades en proceso de trabajo
• Se concertó con la CAR que trabajará el proyecto de reglamento del Comité CAR – DC. (Pendiente)
• La SDA y SDP trabajarán en un cuadro de presupuestos estimados y/o en ejecución del PMA. (Elaborado).
• La SDA averiguará si es posible hacer un análisis multitemporal del Humedal El Conejito. (En proceso de elaboración).
• Tanto la CAR como la SDA solicitarán información sobre los sancionatorios en predios de la Reserva. (La SER solicitó la información a la DLA de la SDA).
• La SDA elaborará propuesta de conformación de la Mesa Técnica de Coordinación CAR – DC (Elaborada).
4. Acciones o procesos relacionados con la conectividad del Borde Norte
• Se culminó DTS para la aprobación del PMA del PEDM Cerro La Conejera. 
• Se culminó DTS para la medida de protección de los Cerros de Suba, según ajustes finales propuestos por la DGA.
Con respecto al cerro Torca:  No se han recibido aportes de la CAR con respecto al PMA radicado en esa Corporación para su aprobación.
</t>
  </si>
  <si>
    <t>Actas de reunión de las jornadas realizadas y documentos generados.
Informe final del contrato 615 de 204.</t>
  </si>
  <si>
    <t>No se reporta avance en este semestre</t>
  </si>
  <si>
    <t>Actas de reunión de las jornadas realizadas y documentos generados.
Contrato 886 de 2015, Contrato 026 de 2015 y Contrato 1174 de 2015</t>
  </si>
  <si>
    <t>A junio de 2015, se tienen los siguientes avances:
A la fecha la entidad ha vinculado 283 familias, (134 familias en la localidad de Usme y 95 familias en la zona rural de Ciudad Bolívar y 54 en Sumapaz) las cuales  quienes cuentan con registro, plan finca y con análisis de los Indicadores de sostenibilidad Ambiental, con la cual se verificará el estado y avance de las familias vinculadas por la SDA al proceso. Con las acciones de capacitación, asesoría y/o validación de acciones de reconversión de sistemas productivos articulando las herramientas de manejo del paisaje aplicables a aspectos productivos se presenta avance en los indicadores de sostenibilidad ambiental a Junio de 2015, de la siguiente forma: 
Dentro de los avances que se han logrado en las acciones de reconversión del sistema productivo en las familias de la cuenca del Tunjuelo (134 familias en la localidad de Usme y 95 familias en la zona rural de Ciudad Bolívar) para la conservación de la Biodiversidad, el suelo y el agua, se destaca:
• Liberación de 10,42 hectáreas de producción para la conservación de la biodiversidad, el suelo y el agua (bosque) con 386 metros lineales en aislamiento de bosque,  5779.09 metros lineales en aislamiento Rondas Hídricas (incluyendo nacederos y demás cuerpos de agua), 
• 99 familias capacitadas en el uso del árbol y buenas practicas productivas, 
• 4352 metros lineales de cerca vivas, 
• 77 huertas caseras fortalecidas,
• 13 familias apoyadas con prácticas de uso eficiente del recurso hídrico,
• 14  invernaderos establecidos o mejorados para la seguridad alimentaria y con inclusión de especies promisorias y 
• 42 familias con mejoramiento de instalaciones pecuarias para minimización de impactos ambientales y con acciones de Buenas Practicas Productivas.
Con respecto a la cuenca del Rio Blanco en Sumapaz y las 54 familias vinculadas, se reporta para el trimestre el avance en 
• Protección del recurso hídrico sobre nacederos y ronda hídrica (2600 metros cuadrados) y la protección con cerca en ronda hídrica en 10 familias (3400 metros cuadrados). 
• En acciones de protección de parches de bosques, se ha trabajado con dos familias con acciones de protección con cerca (350.16 metros lineales de cerca).
• En acciones de buenas prácticas productivas  con énfasis en la protección del recurso hídrico con  la entrega de bebederos a 6 familias de bebederos  
• Aclarado en ocho familias de 2566 metros de zanjas de drenaje.
• Seguridad alimentaria y autoabastecimiento se reporta la de entrega de tubérculos ancestrales y legumbres a 5 familias para reproducir el material, igualmente se avanza en el apoyo  con mano de obra para la adecuación de infraestructura de la huerta casera y entrega de abonos.</t>
  </si>
  <si>
    <t>Informes de Contrato 1151 de 2014
Informe de actividades de los equipos de trabajo contratados bajo esta meta. 090 de 2015, 308 de 2015, 1124 de 2015,  822 de 2015, 897 de 2015,441 de 2015
Contrato de insumos 1514 de 2014 y 1516 de 2014</t>
  </si>
  <si>
    <t>Se cuenta con un documento técnico en el cual se han incorporado las  observaciones hechas por la Dirección de Gestión Ambiental y la Subdirección de Políticas de la SDA y la CAR , se  remitió dicho documento al Jefe de Parque Nacional  el día 16 de marzo 2015, sin que se hayan recibido observaciones al respecto.</t>
  </si>
  <si>
    <r>
      <t xml:space="preserve">Durante el segundo trimestre de 2015 se adelantó la siguiente gestión  en:
</t>
    </r>
    <r>
      <rPr>
        <b/>
        <sz val="12"/>
        <rFont val="Arial"/>
        <family val="2"/>
      </rPr>
      <t>Subcuenca Torca</t>
    </r>
    <r>
      <rPr>
        <sz val="12"/>
        <rFont val="Arial"/>
        <family val="2"/>
      </rPr>
      <t xml:space="preserve">: En la quebrada Aguas Calientes se realizó el mantenimiento con extracción manual de buchón 0.7 Ton, corte de pasto kikuyo  0,03 Ton, recuperación de espejo de agua 0,053 Km, plateo de árboles 34 árboles, retutorado de árboles 34 árboles.
</t>
    </r>
    <r>
      <rPr>
        <b/>
        <sz val="12"/>
        <rFont val="Arial"/>
        <family val="2"/>
      </rPr>
      <t>Subcuenca Salitre:</t>
    </r>
    <r>
      <rPr>
        <sz val="12"/>
        <rFont val="Arial"/>
        <family val="2"/>
      </rPr>
      <t xml:space="preserve"> Se adelantaron acciones de restauración en la </t>
    </r>
    <r>
      <rPr>
        <b/>
        <sz val="12"/>
        <rFont val="Arial"/>
        <family val="2"/>
      </rPr>
      <t>quebrada Doña Pepa (Afluente de Santa Ana/Rueda Pardo)</t>
    </r>
    <r>
      <rPr>
        <sz val="12"/>
        <rFont val="Arial"/>
        <family val="2"/>
      </rPr>
      <t>, con la revegetalizacion 0,25 ha, preparación del terreno 0,35, trazado 700 puntos, ahoyado 700 (hoyos), enriquecimiento vegetal de claros en los relictos de bosque nativo 0,1 ha, control de rebrotes de especies exóticas pino 0,076 ha, limpieza y adecuación de cauce 0,2 km, limpieza y adecuación de cauce  0,12 ha,</t>
    </r>
    <r>
      <rPr>
        <b/>
        <sz val="12"/>
        <rFont val="Arial"/>
        <family val="2"/>
      </rPr>
      <t xml:space="preserve"> tramo intervenido 0,676 km, área intervenida 0,82 ha;</t>
    </r>
    <r>
      <rPr>
        <sz val="12"/>
        <rFont val="Arial"/>
        <family val="2"/>
      </rPr>
      <t xml:space="preserve"> adicionalmente en este afluente se precisaron diseños en: El Guaque (0,9 km-2,2 ha), La Paz (0,59km - 1,6 ha), La Guatecana (0,72 km-1,8 ha), La Serena (0,61km-1,7ha), Madremonte (1,65 km-6 ha y MIlhojas (0,2km-1 ha); quebrada Pozo Claro, se realizó el diseño de restauración de 1 km (2,3 ha), y se adelantó  la recolección de residuos sólidos de 1.5  Ton; quebrada  Puente Piedra, se realizó el mantenimiento con el plateo de 112 árboles; retutorado de 112 árboles, recolección de 2,75 Ton de residuos sólidos; quebrada Sureña, se realizó el diagnóstico y diseño de restauración de 0.97 km (2 ha)  y se adelantó la recolección de 3 Ton de residuos sólidos; quebrada Morací:  se realizó el mantenimiento con la recolección de residuos sólidos 0,3 Ton, plateo de árboles  420 unidades, retutorado de árboles 420 árboles, tramo intervenido  0,452 ha, limpieza de cauce 0,452 km.
Subcuenca Tunjuelo:  Se adelantó la preparación del terreno en el sector de Villa del Rio-Río Tunjuelo, con el trazado de 1,252 puntoss, ahoyado de 1045 puntos, Plantación 36 árboles y corte de césped  en 2,61 ha gestinadas.
Más la gestión adelantada en los periodos anteriores:
Subcuenca Torca (gestión en 86,81 ha) e intervención en la quebrada Aguas Calientes</t>
    </r>
    <r>
      <rPr>
        <b/>
        <sz val="12"/>
        <rFont val="Arial"/>
        <family val="2"/>
      </rPr>
      <t xml:space="preserve"> 1,59 km.</t>
    </r>
    <r>
      <rPr>
        <sz val="12"/>
        <rFont val="Arial"/>
        <family val="2"/>
      </rPr>
      <t xml:space="preserve">
Subcuenca Salitre (gestión en 88,29ha) e intervención en la Q. Morací-Usaquén 0,72 km, Q. Puente Piedra 0,53 km, Q. Morací-Chapinero 0,357 km, El Chulo 1,3 km, Delicias 1,3 km. Para un total intervenido en periodos anteriores de</t>
    </r>
    <r>
      <rPr>
        <b/>
        <sz val="12"/>
        <rFont val="Arial"/>
        <family val="2"/>
      </rPr>
      <t xml:space="preserve"> 4,21 km.</t>
    </r>
    <r>
      <rPr>
        <sz val="12"/>
        <rFont val="Arial"/>
        <family val="2"/>
      </rPr>
      <t xml:space="preserve">
Subcuenca Tunjuelo (gestión en 23,21 ha )  e intervención en la Q.- Carbonera 0,91 km, Q. Santa Rita 0,97 km, Q. Santa Domingo 0,91 km, Q. La Guairita 2,9 km, La Palestina 0,15 km y La Porquera 0,53 km. Para un total intervenido en periodos anteriores de</t>
    </r>
    <r>
      <rPr>
        <b/>
        <sz val="12"/>
        <rFont val="Arial"/>
        <family val="2"/>
      </rPr>
      <t xml:space="preserve"> 6,36 km.</t>
    </r>
    <r>
      <rPr>
        <sz val="12"/>
        <rFont val="Arial"/>
        <family val="2"/>
      </rPr>
      <t xml:space="preserve">
Subcuenca Fucha (gestión en 20,11 ha ) e intervención en las Q. Padre de Jesús 0,29 km, Q. Mochón del Diablo 0,31 km y San Bruno 0,22 km.  Para un total intervenido de</t>
    </r>
    <r>
      <rPr>
        <b/>
        <sz val="12"/>
        <rFont val="Arial"/>
        <family val="2"/>
      </rPr>
      <t xml:space="preserve"> 0,82 km.
</t>
    </r>
    <r>
      <rPr>
        <sz val="12"/>
        <rFont val="Arial"/>
        <family val="2"/>
      </rPr>
      <t xml:space="preserve">Otras gestiones que se adelantaron en el Distrito,, principalmente en la ruralidad con los vigias del agua, que sumaron </t>
    </r>
    <r>
      <rPr>
        <b/>
        <sz val="12"/>
        <rFont val="Arial"/>
        <family val="2"/>
      </rPr>
      <t>0,97 km</t>
    </r>
  </si>
  <si>
    <r>
      <t xml:space="preserve">Durante el segundo trimestre de 2015 se realizaron las siguientes actividades: -Informe Técnico desde la Subdirección de Ecosistemas y Ruralidad sobre los diseños presentados por la Alcaldía Local de Suba para la implementación del sistema de biotratamiento en el brazo del PEDH Juan Amarillo </t>
    </r>
    <r>
      <rPr>
        <b/>
        <sz val="12"/>
        <rFont val="Arial"/>
        <family val="2"/>
      </rPr>
      <t>(5,5 ha</t>
    </r>
    <r>
      <rPr>
        <sz val="12"/>
        <rFont val="Arial"/>
        <family val="2"/>
      </rPr>
      <t xml:space="preserve">). - Se realizó el acompañamiento por parte de la SDA en la entrega de las obras de la fase 3 de la reconformación hidrogeomorfológica del PEDH El Burro. Acompañamiento con visitas técnicas para la propuesta de adecuación en el humedal. (3,5 ha). -Informe Técnico sobre el manejo de lodos y RCD producto de la excavación en el PEDH El Burro (1 ha). - Acompañamientos con visitas técnicas por parte de la SER para la propuesta de reconformación hidrogeomorfológica y rehabilitación de hábitats acuáticos en PEDH Jaboque </t>
    </r>
    <r>
      <rPr>
        <b/>
        <sz val="12"/>
        <rFont val="Arial"/>
        <family val="2"/>
      </rPr>
      <t xml:space="preserve">(6 ha).  </t>
    </r>
    <r>
      <rPr>
        <sz val="12"/>
        <rFont val="Arial"/>
        <family val="2"/>
      </rPr>
      <t xml:space="preserve">- Insumos Técnicos para la modificación del Acuerdo 487 de 2011. - Informe de avance al cumplimiento del plan de acción de la Alerta Naranja declarada para el PEDH Tibanica.  - Seguimiento a los  Planes de acción de las alertas Naranja y Amarilla. - Elaboración de Planes Operativos por PEDH para el seguimiento de las acciones de recuperación. - Revisión y ajustes a los Estudios Previos para la contratación de la formulación de los PMA de los PEDH El Salitre, Tunjo y La Isla.  - Elaboración de Estudios Previos para la recolección de RCDS en el PEDH Jaboque. - Apoyo Técnico en la elaboración del Plan de Acción de la Política de Humedales del Distrito Capital. - Apoyo Técnico a la construcción del Plan de Consolidación de la Estructura Ecológica Principal del D.C.  - Coordinación de los eventos desarrollados en el marco de la campaña "Al Alma del Humedal".
</t>
    </r>
  </si>
  <si>
    <r>
      <t xml:space="preserve">Durante este trimestre se avanza en: 1. Adecuación de cinco (5) áreas de abastecimiento de Acueductos veredales con el levantamiento de cercas de protección y ahoyado para siembra de árboles, en los siguientes sitios: • Inicio ahoyado para siembra en el predio Montebello (acueductos El Destino y Corinto Cerroredondo) y predios Horizonte, Delirios, La Palma y Manantial (acueducto Acuamarg), por parte de los vigías del agua en la localidad de Usme. • Ahoyado e hincado de 180 postes para cerca (450 m) en la nueva área del predio San Luis, acueducto Agualinda Chiguaza localidad de Usme, por parte de los vigías del agua.  • Ahoyado e hincado de 249 postes para cerca (622 m) en las tres nuevas áreas del predio La Pradera, acueducto ASOUAN localidad de Sumapaz, por parte de los vigías del agua. • Firma de las actas de intervención y concertación del acueducto veredal Pasquilla Centro en la localidad de Ciudad Bolívar, por parte del Subdirector de la SER. • Firma por parte del presidente del acueducto veredal Las Margaritas (localidad de Usme), las actas de concertación de los predios El Horizonte, La Palma, Delirios y Manantial. • Firma por parte del propietario del predio La Pradera, acueducto ASOUAN (L. de Sumapaz), el acta de intervención de las nuevas áreas correspondiente a 0.52 Ha. • Entrega al propietario del predio La Palma, 420 m de cerca realizado por el Consorcio Asoprosabana Bogotá en la zona abastecedora el acueducto veredal Pasquilla Centro (Localidad de Ciudad Bolívar). 2. Mantenimiento a las acciones establecidas a través de la distribución de insumos provenientes del contrato 1516 de 2015 a los diferentes acueductos: • Fertilización del material vegetal del acueducto Asoporquera (ciudad Bolivar) y Aguas Claras Olarte (L. Usme). • Distribución de insumos  al Acueducto Agualinda Chiguaza (L. de Usme): 1 bulto cal, 1 bulto roca fosfórica, 2 bultos humus, 5 quintales alambre de púas, 5 cajas de grapa.
• Distribución de insumos  al Acueducto La Porquera (Ciudad Bolívar): 4 bultos humus, 6 bultos micorriza.
• Distribución de insumos  al Acueducto Aguas Claras Olarte (Usme): 2 bultos humus, 2 bultos micorriza, 2 bultos de cal, 2 bultos roca fosfórica.
• Distribución de insumos  al Acueducto El Destino (Usme): 15 bultos humus, 15 bultos micorriza, 15 bultos de cal, 15 bultos roca fosfórica, 2 bultos nitrato de potasio.
• Distribución de insumos  al Acueducto Pasquilla Centro  (Ciudad Bolívar): 5 bultos humus, 4 bultos roca fosfórica.
• Distribución de insumos  al Acueducto Acuamarg (Usme): 5 bultos humus, 3 bultos micorriza, 6 bultos de cal, 6 bultos roca fosfórica.
• Distribución de insumos  al Acueducto Piedraparada (Ciudad Bolívar): 4 bultos humus, 5 bultos micorriza, 35 postes.
• Distribución de insumos  al Acueducto Asouan (Sumapaz): 3 bultos humus, 3 bultos micorriza, 3 bultos de cal, 3 bultos roca fosfórica, 1 bulto de nitrato de potasio, 7 quintales alambre de púa, 7 cajas de grapa.
3. La entidad realizó acercamientos con juntas de Acueductos Veredales y propietarios de predios ubicados en áreas abastecedoras de acueductos veredales para establecer acuerdos de implementación de actividades de recuperación ecológica participativa. Esta acción se ha ejecutados sobre diecinueve (19) acueductos veredales: El Destino, Corinto Cerroredondo, Aguas Claras Olarte, Agualinda, Aguas Doradas, Acuamarg, Arrayanes Argentina, Asoquiba, Aguas Calientes, Aacupasa, Asocerritoblanco, Asoporquera, Acuavida, Acuepiedraparada, Pasquilla Centro, Asocristalina, El Saltonal, Asoperabeca y Asouan.
4. Se tiene adelantado la sensibilización, formación para la conservación y la concertación de acuerdos de intervención con la comunidad  de áreas abastecedora, así: acueducto Asoporquera predios La Rivera (11 Ha) y Buenos Aires (20 Ha), acueducto Aguas Doradas predios Uval 01 y Uval La Toscana (11 Ha), acueducto Agualinda Chiguaza en el predio San Luis (4.5 Ha), acueducto Asouan predio La Pradera (0.72 Ha), acueducto Aguas Claras Olarte en Centro de Instrucción y Entrenamiento Militar (0,7), acueducto Asopiedraparada predio El Recuerdo (13 Ha), acueductos El Destino y Corinto Cerroredondo predio Montebello (23.26 Ha), acueducto Acuamarg en los predios El Horizonte (0.18 Ha), La Palma (0.25 Ha), Delirios (0.1 Ha) y Manantial (0.01 Ha), acueducto Pasquilla Centro predio La Palma (3.3 Ha), acueducto Arrayanes Argentina predio Jamaica (1.5 Ha), </t>
    </r>
    <r>
      <rPr>
        <b/>
        <sz val="12"/>
        <rFont val="Arial"/>
        <family val="2"/>
      </rPr>
      <t>TOTAL 89.52 Ha</t>
    </r>
    <r>
      <rPr>
        <sz val="12"/>
        <rFont val="Arial"/>
        <family val="2"/>
      </rPr>
      <t xml:space="preserve">.
5. Firma de actas para intervención en  40.39 ha con: i) Acueducto Aguas Doradas, en los predios Uval 01 y Uval La Toscana 11 Ha; ii). Acueducto Acuepiedraparada, en el predio El Recuerdo 13 ha; y iii)  Acueducto Asoporquera en el predio Buenos Aires y la Rivera 1.7 Ha; iv) Acueducto Agualinda Chiguaza en el predio San Luis 8 Ha; v) Acueducto Asouan en el predio La Pradera 0,72 Ha, vi) Acueducto Acuamarg predio Horizonte y La Palma 0.43 Ha, vii) Acueducto Pasquilla Centro predio La Palma 3.3 Ha, viii) Acueducto Arrayanes Argentina predio Jamaica 1.5 Ha.
6. Apoyo y seguimiento a la formulación de los Programas de Uso Eficiente y Ahorro del Agua (PUEAA) a los acueductos de Quiba, Pasquilla Centro, Soches y Aguas Doradas.
7. Restauración ecológica participativa en 29.46 hectáreas en zonas abastecedoras de seis (6) acueductos veredales, consolidados de la siguiente manera:
• Año 2015: Asouan 0.06 Ha (Sumapaz), Acuepiedraparada 4.4 Ha (Ciudad Bolívar).
• Año 2014: Asoporquera 0.2 Ha (Ciudad Bolívar), Agualinda Chiguaza 2.8 Ha (Usme), Asouan 0.2 Ha (Sumapaz), Aguas Claras Olarte 0.7 Ha (Usme) y Acuepiedraparada 8.6 Ha (Ciudad Bolívar).
• Año 2013: Aguas Doradas 11 Ha (Usme).
• Año 2012: Asoporquera 1.5 Ha (Ciudad Bolívar).
</t>
    </r>
  </si>
  <si>
    <r>
      <t xml:space="preserve">Durante el segundo trimestre de 2015 se adelanta la recuperación ecológica en el sector de Arborizadora Alta (30ha) con las siguientes acciones: eliminación de  rebrotes, poda  y aclareo de la plantación de acacias en 1.26 ha, eliminación de especies invasoras (crasuláceas y retamo liso) de 2.88 ha, eliminación de especies invasoras (retamo liso y crasuláceas) en  2,88 ha y preparación de material vegetal (repique) de 35.77 ton para la construcción de cama de compostaje 0,0030 ha. Adicionalmente se inició la  implementación de los diseños de restauración con el trazado y ahoyado  2.107 puntos y plantación de 60 árboles. Total de área intervenida 1.91 ha  En el Parque Ecológico Distrital de Montaña Entrenubes-PEDMEN en el predio 84 se adelantó la preparación del terreno con el trazado de 873 puntos, ahoyado en 831 puntos y la siembra de 456 árboles, para un total de área intervenida de 1.5 ha. Más la gestión adelantada en periodos anteriores en: PEDMEN se han desarrollado procesos de restauración ecológica en 53.90 ha, el área de interés ambiental Arborizadora Alta se gestionó 30 ha y la intervención de recuperación ecológica sobre 18,11 ha, el predio la Australia en 29,30 ha, Parque Arboleda en San Cristobal en 13.94 ha, Parque El Virrey-San Cristobal en 2.17 ( el cual no estaba reportada como gestión nueva anteriormente y en este reporte se actualiza), en Los predios Padre Pio en 0.84 ha, Cerro El Cable en 1.33 ha, Los Alpes en 3.12 ha. 
Para un total de hectáreas intervenidas nuevas de </t>
    </r>
    <r>
      <rPr>
        <b/>
        <sz val="12"/>
        <rFont val="Arial"/>
        <family val="2"/>
      </rPr>
      <t xml:space="preserve">126,11. </t>
    </r>
    <r>
      <rPr>
        <sz val="12"/>
        <rFont val="Arial"/>
        <family val="2"/>
      </rPr>
      <t xml:space="preserve">A esto se suma el mantenimiento realizado en intervenciones realizadas en el Plan de Desarrollo de Bogotá Posiva en 122.5 ha, más la gestión restante del polígono de Arborizadora Alta de 9.98 ha. Para un total de hectáreas gestionadas de 258,59.
</t>
    </r>
  </si>
  <si>
    <r>
      <t>Durante este trimestre, se ajustó el documento  "Propuesta de lineamientos ambientales para el modelo de ocupación de la franja de transición del borde sur de Bogotá", según recomendaciones recibidas de la Dirección de Gestión Ambiental y se incorporó información de los últimos productos aprobados del Convenio 1275 de 2014. 
En relación a las acciones realizadas en el trimestre, estas se establecen por espacios de trabajo así:
-</t>
    </r>
    <r>
      <rPr>
        <b/>
        <sz val="12"/>
        <rFont val="Arial"/>
        <family val="2"/>
      </rPr>
      <t>Mesa interinstitucional de concertación de borde de la localidad de Usme, (SDA, SDDE, SDHT).</t>
    </r>
    <r>
      <rPr>
        <sz val="12"/>
        <rFont val="Arial"/>
        <family val="2"/>
      </rPr>
      <t xml:space="preserve">
Se elaboró la agenda pública de bordes, liderada por la SDDE con aportes de la comunidad, SDA  y SDHT. Este documento  se encuentra terminado en su formulación y listo validación con la comunidad. La SDA aportó en la construcción del Documento “Plan de vida y desarrollo campesino”, como insumo para la construcción de la figura de gestión social y administración del territorio de zona de borde que adelanta la SDDE, en temas de cartografía social y recorridos por el territorio para levantamiento de información social.
-</t>
    </r>
    <r>
      <rPr>
        <b/>
        <sz val="12"/>
        <rFont val="Arial"/>
        <family val="2"/>
      </rPr>
      <t>POZ USME.</t>
    </r>
    <r>
      <rPr>
        <sz val="12"/>
        <rFont val="Arial"/>
        <family val="2"/>
      </rPr>
      <t xml:space="preserve">
Se han efectuado varias jornadas de trabajo, recorridos y georeferenciación de zonas como corredor agroambiental de la Fucha, las zonas dotacionales, y modelo de ocupación campesino,   para complementar los usos y reglamentación de cada una de estas  zonas. Este trabajo con el fin de retroalimentar la propuesta para la modificación del Decreto 252 de 2007, POZ Usme y el borrador de  documento técnico que elabora la SDHT y Metrovivienda  como soporte. 
-</t>
    </r>
    <r>
      <rPr>
        <b/>
        <sz val="12"/>
        <rFont val="Arial"/>
        <family val="2"/>
      </rPr>
      <t xml:space="preserve">Hallazgo Arqueológico. </t>
    </r>
    <r>
      <rPr>
        <sz val="12"/>
        <rFont val="Arial"/>
        <family val="2"/>
      </rPr>
      <t>En cuanto a este tema se han abierto unos espacios de reunión y socialización comunitaria, en donde intervienen la Secretaria de Cultura, Alcaldía Local, Metrovivienda para el seguimiento al mandato ciudadano de las comunidades de Usme, mediante el cual se logró la declaración de la hacienda el Carmen, como zona de protección arqueológica y patrimonial. Se acompañan los procesos de  firma del comodato que dio Metrovivienda a la Alcaldía Local de Usme  de la hacienda el Carmen para su Administración.  A su vez la alcaldía Local de Usme está  en proceso de firmar un convenio con la universidad Nacional  para la ejecución de 2.000  millones de pesos que se destinaran, para la construcción del aula museal, continuar con el proceso de investigación Arqueológica y un proceso de divulgación y  socialización  del hallazgo Arqueológico.   -</t>
    </r>
    <r>
      <rPr>
        <b/>
        <sz val="12"/>
        <rFont val="Arial"/>
        <family val="2"/>
      </rPr>
      <t xml:space="preserve">Declaratoria de área protegida Cerro Seco </t>
    </r>
    <r>
      <rPr>
        <sz val="12"/>
        <rFont val="Arial"/>
        <family val="2"/>
      </rPr>
      <t>Es un polígono de 358 has (224 has urbanas y 137 has  rurales) para ser declarado bajo la categoría de Parque Ecológico Distrital de Montaña. En esta línea, durante el último trimestre se revisó y se presentaron observaciones al Documento técnico de la propuesta del proyecto de Acuerdo formulado por la SDA y ha presentado las observaciones correspondientes al proyecto de acuerdo presentado por el Concejal Diego García.
-</t>
    </r>
    <r>
      <rPr>
        <b/>
        <sz val="12"/>
        <rFont val="Arial"/>
        <family val="2"/>
      </rPr>
      <t>Implementación de herramientas del paisaje. (Iniciativas Tempranas)</t>
    </r>
    <r>
      <rPr>
        <sz val="12"/>
        <rFont val="Arial"/>
        <family val="2"/>
      </rPr>
      <t xml:space="preserve">
 La SDA como estrategia para el fortalecimiento del modelo de ocupación campesino,  en el marco del Convenio 1275 de 2013 apoyó con recursos económicos 2 iniciativas de  procesos organizados en zona de borde de la localidad de Usme, para este caso se hace seguimiento a la inversión y apoyo técnico de los procesos que se relacionan a continuación. 
La Corporación Agroambiental y cultural de Usme.   Esta corporación  está desarrollando  una propuesta  de  construcción de un vivero  y producción de material vegetal Nativo  y un   invernadero para producción de tomate de guiso orgánico, hortaliza y plantas medicinales, dentro de un proceso de reconversión productiva y aplicación de herramientas del paisaje. En esta organización participan 14 familias ubicadas en las veredas del Uval y la Requilina.
La Corporación Campesina Mujer y Tierra. Quienes adelantan un proceso de Agroturismo y  están desarrollando un proyecto de cosecha de aguas mediante la adecuación de canales y tanques de almacenamiento para manejo de aguas lluvias. Además de Desarrollo de recorridos agro turísticos para visibilizar la propuesta de borde urbano rural e intercambio de productos agropecuarios mediante el desarrollo de Trueques. En este proceso participan 13 familias de la vereda la Requilina.
</t>
    </r>
    <r>
      <rPr>
        <b/>
        <sz val="12"/>
        <rFont val="Arial"/>
        <family val="2"/>
      </rPr>
      <t xml:space="preserve">Otras acciones de Borde </t>
    </r>
    <r>
      <rPr>
        <sz val="12"/>
        <rFont val="Arial"/>
        <family val="2"/>
      </rPr>
      <t xml:space="preserve">
Se realizó la presentación del proyecto de consolidación del centro de gestión integral de la biodiversidad y los servicios ecosistémicos -  GIBSE para el  ecosistema subxerofítico en la Mesa Urbanística de cable aéreo y  participó en varias reuniones convocadas por la Secretaria de Desarrollo Económico y la Secretaria Distrital de Movilidad, para la articulación de este proyecto y la  formulación conjunta de  estrategias  de  desarrollo económico y apropiación del territorio para las comunidades de base.
</t>
    </r>
  </si>
  <si>
    <t xml:space="preserve">1. ADMINISTRACIÓN DE ÁREAS PROTEGIDAS Y OTRAS ÁREAS DE INTERES AMBIENTAL.Se continua con la administración directa del Parque Ecológico Distrital de Humedal Santa María del Lago (10,8), desarrollando las cuatro líneas de acción (vigilancia, mantenimiento, monitoreo y gestión interinstitucional y social). Las acciones de mantenimiento se realizan a través del convenio 1478 de 2014, obteniendo los siguientes resultados: siembra de enriquecimiento en estrato rasante de 5.953 unidades, plateo de 30 árboles, riego de coberturas en 11.906 m2,  control de especies invasoras en 5.117 m2, recolección de 106,2 kg de residuos sólidos, extracción de azolla en 1044 m2 y extracción de macrófitas en 12818 m2. En el marco del Convenio No. 1525 de 2014 se adelanta las acciones de manejo en: el Parque Ecológico Distrital de Humedal El Tunjo (33,2 ha) se hizo el cerramiento en 1,78 km con alambre de púas y ahoyado e instalación de 84 postes; en el Parque Ecológico Distrital de Humedal Salitre  (33,2 ha) se adelantó la recuperación del espejo del agua 0,56 ha, Extracción manual de especies invasoras (Calabaza, Elodea y pasto kikuyo) – ZV en 0.28 hay  Erradicación de Retamo liso (Genista monspessulana) – ZV en 0,014 ha. En mantenimiento se realizó recolección de residuos sólidos - ZMPA Y RCH de 0,06 Toneladas y corte de césped en 0,02 ha. Con el equipo directo de profesionales de la SER (3 profesiones por cada humedal) se adelantan las líneas de acción de  articulación de la gestión ambiental  y de monitoreo en 14 PEDH ( Torca - Guaymaral, Conejera, Córdoba, Juan Amarillo, Jaboque, Salitre, Capellanía, Meandro del Say, Techo, El Burro, La Vaca, Tunjo, Tibanica y La Isla), quienes apoyaron la formulación de los Planes Operativos de los PEDH del Distrito Capital.
En los ecosistemas de montaña, se han ejecutado acciones de administración (vigilancia, mantenimiento, gestión social, educación ambiental) en: Parque Ecológico Distrital de Montaña Entrenubes (258.91 ha), Soratama (6 ha), Parque Mirador de los Nevados (6 ha) y área de interés ambiental Arborizadora Alta (30 ha). 
2. MANEJO SOCIOAMBIENTAL EN ZONAS DE ALTO RIESGO NO MITIGABLE En lo corrido del Plan de Desarrollo, se han adelantado acciones socioambientales en 120,8 ha en zonas de alto riesgo no mitigable en el marco de los Convenio 1374/14 , 956/13 y el Contrato 1193/13, de las cuales 5.8 son hectáreas nuevas reportadas para este trimestre, así: • Localidad de Ciudad Bolívar: 1. Altos de La Estancia: 16 jornadas de sensibilización social y 33 jornadas de sensibilización a los estudiantes de los colegios; 81 jornadas de apoyo al mantenimiento de huertas comunitarias; limpieza de 12.623 m. de canales. Como parte de la adecuación de predios, se han recolectado 312.152 kg. de desechos sólidos y 15.4 ton. de escombros; plateo y fertilización de 1722 individuos vegetales. Restauración ecológica en 2,76 ha. de las cuáles 0.8 ha son nuevas para este trimestre, donde se implementaron 79 módulos de restauración (1250 árboles sembrados). Plantación de 498 árboles en zonas en proceso de restauración. Para la vigilancia y alerta oportuna sobre posibles ocupaciones ilegales, se hicieron 462 recorridos de campo. 2. Caracolí: Se realizaron 36 recorridos para alerta temprana de posibles ocupaciones ilegales, en 3.5 nuevas hectáreas, de los cuales 16 se realizaron en este trimestre. 3. Bella Flor: Restauración ecológica de ronda de quebradas en 0,25 ha nuevas, donde se implementaron 8 módulos de restauración (150 árboles sembrados); delimitación de 1.25 ha nuevas con cerca viva (400 m.) en áreas en proceso de restauración (198 árboles sembrados) y realización de una jornada comunitaria para la plantación de árboles • Localidad Rafael Uribe Uribe 1. Nueva Esperanza: Se realizó el plateo de 17.930 individuos vegetales, la fertilización de 13.080 y la poda de 47.8 ha, incluyendo zonas colindantes; recolección de 33.740 kg de desechos sólidos. Se han cerrado 14 puntos de vertimiento de agua. En las rondas de las quebradas se han plateado 720 individuos arbóreos, de los cuales 450 se han realizado en este trimestre y 2550 árboles en zonas diferente a ronda de quebradas. Se ha realizado el mantenimiento de 4120 m. de cerca y de 29 jardineras. Para la vigilancia y alerta para prevenir la ocupación ilegal de predios, se han realizado 164 recorridos. Adecuación de 1400 m. de senderos y limpieza de 10.719 m de zanjas.
</t>
  </si>
  <si>
    <t xml:space="preserve">Con los recursos de la reserva en la Subunidad de Planificación en la Quebrada La Chorrera y sus afluentes (reportada en el 2014), se precisaron los diseños florísticos de las siguientes quebradas:  La Sureña,  Pozo Claro, en el predio Bosques de Santa Ana, que incluyen Doña Pepa, El Guaque, La Paz, Madremonte, Santa Bibiana, Milhojas, La Guatecana y La Serena para su implementación en esta vigencia.
</t>
  </si>
  <si>
    <t xml:space="preserve">Se continúan con los comités de seguimiento técnico y jurídico del Convenio 030 de 2009 SDA-EAB realizados el número 36 el 20 de abril de 2015 y número 37 del 21 de mayo de 2015, en el cual se determinó como compromisos por parte del EAB,  proyectar las resoluciones de expropiación por vía administrativa y notificar antes del 30 de junio de 2015.
En el marco del programa de Recuperación y Renaturalización de Espacios del Agua en el Distrito, la Dirección de Gestión Ambiental de la SDA, viene apoyando y colaborando entre otras, a las Alcaldías Locales de Kennedy, Suba y San Cristóbal, en las actividades propias de la adquisición predial por motivos de utilidad pública e interés general.
En desarrollo de esta tarea, la DGA, en el periodo comprendido entre los meses de abril y junio de 2015, asistió a las siguientes mesas de trabajo: a) dos (2) reuniones con la Alcaldía Local de Suba para tratar temas relacionados con la adquisición predial con fines de restauración ecológica en el brazo derecho de Juan amarillo y la quebrada La Salitrosa; b) tres (3) reuniones con la Alcaldía Local de Kennedy para la adquisición predial con fines de restauración ecológica en los humedales de Techo y Vaca Norte; c) tres (3) reuniones con la Alcaldía Local de San Cristóbal para la adquisición predial con fines de restauración ecológica en la quebrada La Nutria.
</t>
  </si>
  <si>
    <t>Demoras en la notificación para la expropiación por vía administrativa.</t>
  </si>
  <si>
    <t xml:space="preserve">Plan de trabajo con el área administrativa para agilizar los pagos y cumplir con los términos de ley </t>
  </si>
  <si>
    <t>Actas de Comité del convenio 030 de 2009
Comunicaciones
Actas de Reunión  de los comités de las mesas de trabajo con las localidades Programa del Agua..</t>
  </si>
  <si>
    <t xml:space="preserve"> Durante el segundo trimestre de 2015 se adelantó la siguiente gestión  en: Subcuenca Torca: En la quebrada Aguas Calientes se realizó el mantenimiento con extracción manual de buchón 0.7 Ton, corte de pasto kikuyo  0,03 Ton, recuperación de espejo de agua 0,053 Km, plateo de árboles 34 árboles, retutorado de árboles 34 árboles. Subcuenca Salitre: Se adelantaron acciones de restauración en la quebrada Doña Pepa (Afluente de Santa Ana/Rueda Pardo), con la revegetalizacion 0,25 ha, preparación del terreno 0,35, trazado 700 puntos, ahoyado 700 (hoyos), enriquecimiento vegetal de claros en los relictos de bosque nativo 0,1 ha, control de rebrotes de especies exóticas pino 0,076 ha, limpieza y adecuación de cauce 0,2 km, limpieza y adecuación de cauce  0,12 ha, tramo intervenido 0,676 km, área intervenida 0,82 ha; adicionalmente en este afluente se precisaron diseños en: El Guaque (0,9 km-2,2 ha), La Paz (0,59km - 1,6 ha), La Guatecana (0,72 km-1,8 ha), La Serena (0,61km-1,7ha), Madremonte (1,65 km-6 ha y MIlhojas (0,2km-1 ha); quebrada Pozo Claro, se realizó el diseño de restauración de 1 km (2,3 ha), y se adelantó  la recolección de residuos sólidos de 1.5  Ton; quebrada  Puente Piedra, se realizó el mantenimiento con el plateo de 112 árboles; retutorado de 112 árboles, recolección de 2,75 Ton de residuos sólidos; quebrada Sureña, se realizó el diagnóstico y diseño de restauración de 0.97 km (2 ha)  y se adelantó la recolección de 3 Ton de residuos sólidos; quebrada Morací:  se realizó el mantenimiento con la recolección de residuos sólidos 0,3 Ton, plateo de árboles  420 unidades, retutorado de árboles 420 árboles, tramo intervenido  0,452 ha, limpieza de cauce 0,452 km.
Subcuenca Tunjuelo:  Se adelantó la preparación del terreno en el sector de Villa del Rio-Río Tunjuelo, con el trazado de 1,252 puntoss, ahoyado de 1045 puntos, Plantación 36 árboles y corte de césped  en 2,61 ha gestinadas.
Más la gestión adelantada en los periodos anteriores:
Subcuenca Torca (gestión en 86,81 ha) e intervención en la quebrada Aguas Calientes 1,59 km.
Subcuenca Salitre (gestión en 88,29ha) e intervención en la Q. Morací-Usaquén 0,72 km, Q. Puente Piedra 0,53 km, Q. Morací-Chapinero 0,357 km, El Chulo 1,3 km, Delicias 1,3 km. Para un total intervenido en periodos anteriores de 4,21 km.
Subcuenca Tunjuelo (gestión en 20,6 ha con la disminuación de  1,4 ha reportadas doblemente en la Quebrada La Palestina).  e intervención en la Q.- Carbonera 0,91 km, Q. Santa Rita 0,97 km, Q. Santa Domingo 0,91 km, Q. La Guairita 2,9 km, La Palestina 0,15 km y La Porquera 0,53 km. Para un total intervenido en periodos anteriores de 6,36 km. 
Subcuenca Fucha (gestión en 20,11 ha ) e intervención en las Q. Padre de Jesús 0,29 km, Q. Mochón del Diablo 0,31 km y San Bruno 0,22 km.  Para un total intervenido de 0,82 km.
Otras gestiones que se adelantaron en el Distrito,, principalmente en la ruralidad con los vigias del agua, que sumaron 0,97 km</t>
  </si>
  <si>
    <t xml:space="preserve">Se continua con la administración directa del Parque Ecológico Distrital de Humedal Santa María del Lago , desarrollando las cuatro líneas de acción (vigilancia, mantenimiento, monitoreo y gestión interinstitucional y social). Las acciones de mantenimiento se realizan a través del convenio 1478 de 2014, obteniendo los siguientes resultados: siembra de enriquecimiento en estrato rasante de 5.953 unidades, plateo de 30 árboles, riego de coberturas en 11.906 m2,  control de especies invasoras en 5.117 m2, recolección de 106,2 kg de residuos sólidos, extracción de azolla en 1044 m2 y extracción de macrófitas en 12818 m2.
En el marco del Convenio No. 1525 de 2014 se adelanta las acciones de manejo en: el Parque Ecológico Distrital de Humedal El Tunjo se hizo el cerramiento en 1,78 km con alambre de púas y ahoyado e instalación de 84 postes; en el Parque Ecológico Distrital de Humedal Salitre   se adelantó la recuperación del espejo del agua 0,56 ha, Extracción manual de especies invasoras (Calabaza, Elodea y pasto kikuyo) – ZV en 0.28 hay  Erradicación de Retamo liso (Genista monspessulana) – ZV en 0,014 ha. En mantenimiento se realizó recolección de residuos sólidos - ZMPA Y RCH de 0,06 Toneladas y corte de césped en 0,02 ha  y en el Parque Ecológico Distrital de Humedal  La Isla se avanzó en la recuperación de espejo de agua en 0.004 h.
 Adicionalmente en estos humedales se adelanta la articulación interinstitucional, partiendo de la elaboración de un Plan de Acción Ambiental y del Plan Operativo Anual y la participación en las mesas interinstitucionales. Y en la línea de monitoreo se realizaron visitas de valoración del ecosistema con el objeto de identificar los sectores apropiados para el monitoreo desde cada uno de los taxa a evaluar, así como para análisis fisicoquímico. 
De igual manera, esta gestión se realiza en los en los humedales de Torca - Guaymaral, Conejera, Córdoba, Juan Amarillo, Jaboque, Capellanía, Meandro del Say, Techo, El Burro, La Vaca, Tunjo, Tibanica, con los equipos técnicos (3 profesionales por humedal) quienes apoyaron la formulación de los Planes Operativos de los PEDH del Distrito Capital  y  realizan el seguimiento para su implementación: 
Se destaca la gestión adelantada por los equipos en los PEDH Jaboque, Capellanía, Juan Amarillo, El Salitre y  Torca-Guaymaral, quienes coordinaron el desarrollo de las actividades enmarcadas en la campaña “Al Alma del Humedal” cuyo objeto es hacer visible en campo la gestión desarrollada en dichos ecosistemas:
• CAPELLANIA 21-may (Inauguración, Rueda de prensa al Alcalde Mayor, Reunión con la comunidad)
• JABOQUE  04-jun (Actividad lúdica con adulto mayor, Presentación de la gestión distrital en los humedales con participación de la comunidad educativa aledaña al humedal)
• JUAN AMARILO 12-jun (Informe de Gestión, Juego Concéntrese con acciones de manejo en el humedal)
• SALITRE 19-jun (Avistamiento de aves, Elaboración de semilleros, Charla sobre reciclaje, Recorrido guiado)
• TORCA GUAYMARAL 26-jun (Presentación de los trabajos de los niños de instituciones educativas sobre la fauna del humedal, Elaboración de billeteras con material    reciclable (tetrapack), programa basura cero).
Por su parte los PEDH que cuentan con Alerta Ambiental (Torca y Guaymaral, Capellanía, El Salitre, Juan Amarillo, Jaboque y Tibanica) han convocado y desarrollado las mesas de seguimiento al cumplimiento de los respectivos planes de acción, con verificación en campo.
La Conejera: Se ha venido apoyando el punto de control ambiental a obra del proyecto urbanístico Reserva Fontanar, donde se suministra información relacionada con humedales. Jornadas de concientización sobre usos del humedal, delito ambiental, comparendo ambiental y basura cero. Apoyo a la construcción del plan de acción en el marco de la Mesa Humedal La Conejera, ante solicitud de la comunidad. Apoyo a los compromisos generados por la secretaría ante el campamento conformado en contrapeso del mencionado proyecto urbanístico.
Capellanía: Se han desarrollado visitas de verificación sobre tensionantes como disposición de RCD, vertimientos y se ha adelantado la gestión para su control y seguimiento. Por su parte se ha participado en las mesas convocadas por la Mesa Ambiental de Fontibón. Socialización de los instrumentos de planificación aplicables a dicho ecosistema
El Burro: Se realizaron varias actividades relacionadas con el monitoreo de los humedales del Sur, empezando por una visita realizada con personal de SCAPS de la SDA para determinar la disposición de los lodos y sedimentos provenientes de las adecuaciones hidrogeomorfologicas realizadas al humedal El Burro por parte de la EAB.
La Vaca: Apoyo a la  jornada de recolección de Residuos de Construcción y Demolición RCD, perímetro del Humedal colindante con el Sector el Amparo, Actividad Interinstitucional (Hospital del Sur, Ciudad Limpia, Secretaria de Gobierno, Jardín Botánico, UAESP, Policía, y Alcaldía Local. Actividad enmarcada dentro de la celebración de la semana ambiental por el Humedal).
Córdoba: Seguimiento a las obras de recuperación de ZR y ZMPA, cerramiento y diseños a las obras de reconformación hidrogeomorfológica. Acompañamiento a las mesas de concertación y socialización de la gestión a desarrollar en el humedal.
En todos los PEDH se han realizado recorridos periódicos de verificación de tensionantes para desplegar la gestión requerida tanto a nivel interno como interinstitucional. De igual forma avistamiento y reconocimiento Inicial de avifauna, planeación de actividades bimensuales de monitoreo de vegetación, aves, mamíferos y anfibios.
</t>
  </si>
  <si>
    <t>Actualmente la SDA cuenta con 4 viveros activos: Soratama cuenta con una produccion de 21.500 individuos de 46 especies, de los cuales 13.278 están disponibles para plantación, Entrenubes con 28.000 individuos en produccion de 35 especies y con un total de 8.606 individuos para plantación, Humedal La Vaca el cual es el primer vivero dedicado a especies nativas de humedal  cuenta con 4.000 individuos de 15 especies en crecimiento y Vivero La Australia con 3.000 plántulas en producción de 1 especie.  En cuanto a las labores de fortalecimiento de los viveros en su infraestructura, se reacondicionaron algunas eras de crecimiento en el vivero Entrenubes,  y se inicio el proceso de traslado a otro en el PEDMEN. Para el vivero Soratama se adelantan las acciones que permitan mejorar el suministro de agua de forma permanente, ésta actividad es liderada por la administración del aula. En el humedal La Vaca se terminó la adecuación del sistema de riego para el área de invernadero y se adelanta la adecuación del área de crecimiento y rustificación de material vegetal.</t>
  </si>
  <si>
    <t xml:space="preserve">En el marco del contrato 1483 de 2014 con la Empresa Inmobiliaria Cundinamarquesa (EIC), se realizaron los avalúos comerciales corporativos de nueve (9) predios ubicados en el Parque Entrenubes Cerro de Juan Rey  identificados con los Registros topográficos 34, 39, 40, 41, 42, 46, 81, 122 178 con un área aproximada de  7 has 494,28 m2 (70494,28 m2) y para los cuales se realizó la respectiva revisión y aprobación y a la fecha se encuentra en proyección de la oferta formal de compra. 
Igualmente se solicitó  a la lonja Avaluadora la elaboración diez (10) avalúos comerciales y se apoyó en la visita de reconocimiento técnico de predios identificados con los  RT  29, 48, 79, 80, 82, 100, 105, 129, 137 y 177, con un área aproximada de 8 has 2087, 20 m2 (82.087,2 m2), los cuales están pendiente  de entrega.
Se ha continuado con la gestión para la adquisición de cuarenta y cuatro (44) predios que suman un área de 46,61 hectáreas en el Parque Ecológico Distrital de Montaña Entrenubes Cerro Juan Rey, a través  de Convenio Interadministrativo con el Instituto Distrital de Recreación y Deporte IDRD No. 0958 del 28 de junio del 2013, el cual se encuentra en ejecución. Durante el último trimestre se realizó el segundo y/o último pago de cuatro (4) predios RT 91, RT 126, RT 148 y RT 150.
Se realizaron los comités de seguimiento No. 09 del 8 de abril de 2015 y el No 10 del día 29 de mayo de 2015 al Convenio 958 de 2013.
Se inició la gestión para el acompañamiento técnico, jurídico, social y logístico para el proceso de adquisición de los predios ubicados en la Reserva Regional Forestal Productora del Norte de Bogotá D. C. “Thomas van Der Hammen”. De la misma manera se realizaron los estudios previos para realizar el contrato interadministrativo con la Unidad Administrativa Especial de Catastro Distrital para la ejecución de los avalúos comerciales, así como para la elaboración de los estudios topográficos, estudios de títulos y la gestión social en la mencionada reserva.
</t>
  </si>
  <si>
    <t xml:space="preserve">Durante el segundo trimestre de 2015, se han mantenido las acciones de administración (vigilancia, mantenimiento, monitoreo y gestión social e interinstitucional) en: Parque Ecológico Distrital de Montaña Entrenubes, Soratama y Parque Mirador de los Nevados. Para el caso del área de interés ambiental Arborizadora Alta se adelanta la vigilancia y acciones de mantenimiento con el equipo de vigías del agua. 
En desarrollo del convenio 1478 de 2014, se están realizado actividades de mantenimiento y recuperación de los ecosistemas administrados con resultados como: siembras de 180 árboles, siembra de coberturas en 408 m2, siembras de jardinería en 72 m2, plateo de 9.283 árboles, fertilización de 1.085 árboles, control de retamo espinoso en 18.442 m2, control de otras especies invasoras en 10.157 m2, corte de césped en 282.466 m2, limpieza de 16.928 ml de canales, recolección de 1.847,5 kg de residuos sólidos.
Continúa la ejecución del contrato de obra pública No. 1528 de 2014, que tiene por objeto la construcción de nuevas redes hidráulicas de suministros de agua potable, redes de riego, redes de recolección de aguas sanitarias y pluviales y obras complementarias del Parque Mirador de los Nevados.
Así mismo, sigue en ejecución el contrato de consultoría No. 1513 de 2012 que tiene por objeto el diseño arquitectónico de las Aulas Ambientales en el Mirador de Juan Rey del Parque Entrenubes y del Aula Ambiental Soratama, así como los senderos peatonales en el Parque Entrenubes.
</t>
  </si>
  <si>
    <t>Se realizaron 3 acciones de gestión, que corresponden a: 
1) Presidencia de la Comisión Distrital para la Prevención y Mitigación de Incendios Forestales (CDPMIF): *Asistencia a 4 reuniones ordinarias y 1 extraordinaria y revisión de sus actas. *Elaboración del informe de gestión de la SDA (año 2014), diligenciamiento de los indicadores del Plan. * Reporte de avance de las actividades del Plan de Acción 2012 - 2016 a cargo de la SDA, correspondiente al primer trimestre de 2015, *Visita para verificar el área afectada por incendio forestal sucedido el 23 de febrero de 2015, en Usme., *Apoyo a PMU por incendio forestal sucedido el 6 de mayo de 2015 en el Cerro Guadalupe.
2) Acciones de mitigación: Desarrolladas desde el Convenio 1526/14: Mantenimiento a 25,5 ha. controladas de retamo en el futuro Parque La Arboleda y en el Parque Nacional  y despeje de 6,9 km  de la vía a Ubaque. 
3) Elaboración de Documentos y capacitación: . *Capacitación en control y extinción de incendios forestales dirigida a los promotores ambientales del Parque Ecológico Distrital de Montaña Entrenubes.*Participación en la capacitación de prevención de incendios forestales dirigida a comunidad del Humedal Tibanica. *Participación en capacitación de gestión de riesgo por incendio forestal en el Distrito, dirigida a la comunidad de Asofloresta de la Sabana y comunidad de Engativá.</t>
  </si>
  <si>
    <r>
      <t xml:space="preserve">1. Se tiene adelantado la sensibilización, formación para la conservación y la concertación de acuerdos de intervención con la comunidad  de áreas abastecedora, así: acueducto Asoporquera predios La Rivera (11 Ha) y Buenos Aires (20 Ha), acueducto Aguas Doradas predios Uval 01 y Uval La Toscana (11 Ha), acueducto Agualinda Chiguaza en el predio San Luis (4.5 Ha), acueducto Asouan predio La Pradera (0.72 Ha), acueducto Aguas Claras Olarte en Centro de Instrucción y Entrenamiento Militar (0,7), acueducto Asopiedraparada predio El Recuerdo (13 Ha), acueductos El Destino y Corinto Cerroredondo predio Montebello (23.26 Ha), acueducto Acuamarg en los predios El Horizonte (0.18 Ha), La Palma (0.25 Ha), Delirios (0.1 Ha) y Manantial (0.01 Ha), acueducto Pasquilla Centro predio La Palma (3.3 Ha), acueducto Arrayanes Argentina predio Jamaica (1.5 Ha), TOTAL </t>
    </r>
    <r>
      <rPr>
        <b/>
        <sz val="11"/>
        <rFont val="Arial"/>
        <family val="2"/>
      </rPr>
      <t>89.52 Ha.</t>
    </r>
    <r>
      <rPr>
        <sz val="11"/>
        <rFont val="Arial"/>
        <family val="2"/>
      </rPr>
      <t xml:space="preserve">
2. En procesos de interveción nueva se adelata la adecuación de cinco (5) áreas de abastecimiento de Acueductos veredales con el levantamiento de cercas de protección y ahoyado para siembra de árboles, en los siguientes sitios:
• Inicio ahoyado para siembra en el predio Montebello (acueductos El Destino y Corinto Cerroredondo) y predios Horizonte, Delirios, La Palma y Manantial (acueducto Acuamarg), por parte de los vigías del agua en la localidad de Usme.
• Ahoyado e hincado de 180 postes para cerca (450 m) en la nueva área del predio San Luis, acueducto Agualinda Chiguaza localidad de Usme, por parte de los vigías del agua. 
• Ahoyado e hincado de 249 postes para cerca (622 m) en las tres nuevas áreas del predio La Pradera, acueducto ASOUAN localidad de Sumapaz, por parte de los vigías del agua.
• Firma de las actas de intervención y concertación del acueducto veredal Pasquilla Centro en la localidad de Ciudad Bolívar, por parte del Subdirector de la SER.
• Firma por parte del presidente del acueducto veredal Las Margaritas (localidad de Usme), las actas de concertación de los predios El Horizonte, La Palma, Delirios y Manantial.
• Firma por parte del propietario del predio La Pradera, acueducto ASOUAN (L. de Sumapaz), el acta de intervención de las nuevas áreas correspondiente a 0.52 Ha.
• Entrega al propietario del predio La Palma, 420 m de cerca realizado por el Consorcio Asoprosabana Bogotá en la zona abastecedora el acueducto veredal Pasquilla Centro (Localidad de Ciudad Bolívar).
3. Mantenimiento a las acciones establecidas a través de la distribución de insumos provenientes del contrato 1516 de 2015 a los diferentes acueductos:
• Fertilización del material vegetal del acueducto Asoporquera (ciudad Bolivar) y Aguas Claras Olarte (L. Usme).
• Distribución de insumos  al Acueducto Agualinda Chiguaza (L. de Usme): 1 bulto cal, 1 bulto roca fosfórica, 2 bultos humus, 5 quintales alambre de púas, 5 cajas de grapa.
• Distribución de insumos  al Acueducto La Porquera (Ciudad Bolívar): 4 bultos humus, 6 bultos micorriza.
• Distribución de insumos  al Acueducto Aguas Claras Olarte (Usme): 2 bultos humus, 2 bultos micorriza, 2 bultos de cal, 2 bultos roca fosfórica.
• Distribución de insumos  al Acueducto El Destino (Usme): 15 bultos humus, 15 bultos micorriza, 15 bultos de cal, 15 bultos roca fosfórica, 2 bultos nitrato de potasio.
• Distribución de insumos  al Acueducto Pasquilla Centro  (Ciudad Bolívar): 5 bultos humus, 4 bultos roca fosfórica.
• Distribución de insumos  al Acueducto Acuamarg (Usme): 5 bultos humus, 3 bultos micorriza, 6 bultos de cal, 6 bultos roca fosfórica.
• Distribución de insumos  al Acueducto Piedraparada (Ciudad Bolívar): 4 bultos humus, 5 bultos micorriza, 35 postes.
• Distribución de insumos  al Acueducto Asouan (Sumapaz): 3 bultos humus, 3 bultos micorriza, 3 bultos de cal, 3 bultos roca fosfórica, 1 bulto de nitrato de potasio, 7 quintales alambre de púa, 7 cajas de grapa.
4. La entidad realizó acercamientos con juntas de Acueductos Veredales y propietarios de predios ubicados en áreas abastecedoras de acueductos veredales para establecer acuerdos de implementación de actividades de recuperación ecológica participativa. Esta acción se ha ejecutados sobre diecinueve (19) acueductos veredales: El Destino, Corinto Cerroredondo, Aguas Claras Olarte, Agualinda, Aguas Doradas, Acuamarg, Arrayanes Argentina, Asoquiba, Aguas Calientes, Aacupasa, Asocerritoblanco, Asoporquera, Acuavida, Acuepiedraparada, Pasquilla Centro, Asocristalina, El Saltonal, Asoperabeca y Asouan.
5. Firma de actas para intervención en  40.39 ha con: i) Acueducto Aguas Doradas, en los predios Uval 01 y Uval La Toscana 11 Ha; ii). Acueducto Acuepiedraparada, en el predio El Recuerdo 13 ha; y iii)  Acueducto Asoporquera en el predio Buenos Aires y la Rivera 1.7 Ha; iv) Acueducto Agualinda Chiguaza en el predio San Luis 8 Ha; v) Acueducto Asouan en el predio La Pradera 0,72 Ha, vi) Acueducto Acuamarg predio Horizonte y La Palma 0.43 Ha, vii) Acueducto Pasquilla Centro predio La Palma 3.3 Ha, viii) Acueducto Arrayanes Argentina predio Jamaica 1.5 Ha.
6. Apoyo y seguimiento a la formulación de los Programas de Uso Eficiente y Ahorro del Agua (PUEAA) a los acueductos de Quiba, Pasquilla Centro, Soches y Aguas Doradas.
7. Restauración ecológica participativa en 29.46 hectáreas en zonas abastecedoras de seis (6) acueductos veredales, consolidados de la siguiente manera:
• Año 2015: Asouan 0.06 Ha (Sumapaz), Acuepiedraparada 4.4 Ha (Ciudad Bolívar).
• Año 2014: Asoporquera 0.2 Ha (Ciudad Bolívar), Agualinda Chiguaza 2.8 Ha (Usme), Asouan 0.2 Ha (Sumapaz), Aguas Claras Olarte 0.7 Ha (Usme) y Acuepiedraparada 8.6 Ha (Ciudad Bolívar).
• Año 2013: Aguas Doradas 11 Ha (Usme).
• Año 2012: Asoporquera 1.5 Ha (Ciudad Bolívar).</t>
    </r>
  </si>
  <si>
    <t>Se cuenta con un documento técnico en el cual se han incorporado las  observaciones hechas por la Dirección de Gestión Ambiental y la Subdirección de Políticas de la SDA y la CAR , se  remitió dicho documento al Jefe del Parque Nacional  el día 16 de marzo 2015, sin que se hayan recibido observaciones al respecto.</t>
  </si>
  <si>
    <t xml:space="preserve">Se ha avanzado en el ajuste de las fichas de seguimiento a los instrumentos de gestión ambiental, el cual es el componente principal del sistema de seguimiento a la implementación de los mismos con el fin de generar las alertas necesarias para su ejecución.
PIGA: La herramienta ha permitido conocer la trazabilidad de las acciones en las diferentes fases que contiene el instrumento como son: la formulación, implementación, evaluación y seguimiento. Esta herramienta nos ha mostrado un avance a través del tiempo en materia ambiental concerniente a las entidades del distrito capital y algunas de carácter voluntario de orden nacional. Genera alertas para ir evolucionando en temas como: la calidad de la información que debe reportar cada entidad del distrito, oportunidad en la entrega en cuanto a visitas de control y el enfoque y direccionamiento hacia las acciones de gestión que arrojen resultados tangibles en el desempeño ambiental de las entidades del distrito. 
PACA: Permite la trazabilidad en las diferentes fases que tiene el instrumento como son la formulación, implementación, evaluación y seguimiento frente al desarrollo del instrumento a nivel del distrito.
DEPARTAMENTOS DE GESTIÓN AMBIENTAL: Se continua con el ajuste de la ficha de reporte trimestral con los profesionales de la SEGAE, de acuerdo al consolidado de la base de datos registrada de la SEGAE que nos sirva como herramienta y apoyo en el reporte de radicados recibidos, atendidos, cuantas industrias registran nuevas a la SDA. Se solicitó la inclusión del Formato de Solicitud DGA a la plataforma de la SDA-Atención al Ciudadano.
CECA: Se continua con el ajuste a la ficha de reporte mensual  de este instrumento que  registra el las solicitudes, las visitas y los certificados expedidos en los predios ubicados total o parcialmente dentro del Sistema de Áreas Protegidas del Distrito Capital.
PLAN DECENAL DE DESCONTAMINACIÓN DEL AIRE PARA BOGOTA: Se realizó la revisión del instrumento, ajustando la ficha de seguimiento que incluye todas acciones definidas en el plan de acción. Esta ficha ajustada fue socializada al interior de la Entidad, específicamente la SCAAV, para validar el seguimiento y la trazabilidad de las acciones. 
PROGRAMA DE ECOCONDUCCION: Se realizó la revisión de los formatos reporte consumo de combustible para ajustarlo con la participación de grupo PIGA de la SPPA y así poder genera una alerta en los reportes.
CAMBIO CLIMÁTICO: Se ajustó la ficha de seguimiento a la resolución 6524 de 2011, donde se establecen las actividades que se ejecutan al interior de la entidad por parte de la DPSIA, OPEL y DGA que conforman el GICC en cuanto a la formulación, socialización y divulgación del Plan Distrital de Adaptación y Mitigación a la Vulnerabilidad al Cambio Climático. Así mismo con la participación de diferentes entidades públicas y la SDA se ejecutó el lanzamiento de la Campaña de Cambio Climático la cual continúe una agenda extensa que se ha venido desarrollando con el fin de mostrar la participación y el conocimiento del cambio climático.
</t>
  </si>
  <si>
    <t xml:space="preserve">Se continúa con el apoyo y el acompañamiento a la implementación de los instrumentos de gestión ambiental priorizados,  con diversas acciones: Los instrumentos PIGA, PACA, CECA, DGA´S, Plan Decenal, se apoya la implementación, mientras los instrumentos Cambio Climático y Plan de Silvicultura, se apoya el proceso de formulación. 
PIGA: Revisión y priorización de las necesidades de las entidades basándonos en el informe de control realizado vigencia 2013-2014, organización de la estrategia para abordar a las entidades, desarrollo de estrategias de coordinación con Hospitales Verdes y Asuntos Locales. Adicionalmente, se adelantaron  13  mesas de trabajo técnico encaminadas hacia las necesidades  que en materia ambiental presentan las entidades,  revisión de los requerimientos pendiente resultantes de las visitas de control, las dudas sobre los tramites que tienen pendientes y la actualización lo que en materia normativa ambiental en algunos temas importantes en materia ambiental.
PACA: Se continuó acompañando las visitas de avance de las metas PACA que vienen adelanto las entidades del Distrito en esta ocasión se participó en la visita al Jardín Botánico, se avanzó en los ajustes a PACA-SDA revisión realizada en conjunto con las Subdirecciones SPPA y SPCI, y se participó en la Mesa de instrumentos con las  entidades del Distrito para revisar las tareas en el marco del PACA.
DEPARTAMENTOS DE GESTIÓN AMBIENTAL: Se realizó una reunión de seguimiento-acompañamiento a implementación del  instrumento. Se revisó la base de datos enviada por la Secretaria de Salud, filtrando por grades y medianas empresas para establecer la ruta de seguimiento por parte de SEGAE. 
CECA: Se continúan acciones de seguimiento/acompañamiento a la implementación del instrumento. Se socializó alerta para la continuidad de la implementación del instrumento en el segundo semestre de 2015. Se continuará con el acompañamiento a las visitas técnicas con la finalidad de obtener información sobre metodología  y ajuste al procedimiento de esta actividad. De igualmente, se hizo solicitud a la Subdirección Legal Ambiental para la revisión del instrumentos para ampliar la fecha de reporte CECAS a Catastro Distrital por parte de la SDA.
CAMBIO CLIMÁTICO: Se celebró el lanzamiento de la Cumbre del Clima de Bogotá 2015 con la presencia del Alcalde Mayor Gustavo Petro y la Secretaria Distrital de Ambiente Susana Muhamad en la Alcaldía Mayor de Bogotá con el fin de darle paso al Bogotá Climate Summit 2015 y a la Conferencia de las Naciones Unidas sobre Cambio Climático que se llevará a cabo en París, donde el Alcalde Mayor y la Secretaria de Ambiente representarán a la ciudad, socializando la apuesta que tiene Bogotá, con respecto al desarrollo de su sostenibilidad y la lucha frente al cambio climático
PROGRAMA DE ECOCONDUCCION: Se han adelantado reuniones con SCAAV y SPPA en el reporte  a los formatos reporte de consumo de combustible a las entidades del distrito, para continuar con los ajuste a las casillas de reportes en autonomía, consumo y kilometraje y poder contar con unos datos reales.
</t>
  </si>
  <si>
    <t xml:space="preserve">Durante el trimestre, se ajustó el documento  "Propuesta de lineamientos ambientales para el modelo de ocupación de la franja de transición del borde sur de Bogotá", según recomendaciones recibidas de la Dirección de Gestión Ambiental y se incorporó información de los últimos productos aprobados del Convenio 1275 de 2014. 
En relación a las Acciones realizadas en el trimestre, estas se establecen por espacios de trabajo así:
Mesa interinstitucional de concertación de borde de la localidad de Usme, (SDA, SDDE, SDHT).
Se elaboró la agenda pública de bordes, liderada por la SDDE con aportes de la comunidad, SDA  y SDHT. Este documento  se encuentra terminado en su formulación y listo validación con la comunidad. La SDA aportó en la construcción del Documento “Plan de vida y desarrollo campesino”, como insumo para la construcción de la figura de gestión social y administración del territorio de zona de borde que adelanta la SDDE, en temas de cartografía social y recorridos por el territorio para levantamiento de información social.
POZ USME.
Se han efectuado varias jornadas de trabajo, recorridos y georeferenciación de zonas como corredor agroambiental de la Fucha, las zonas dotacionales, y modelo de ocupación campesino,   para complementar los usos y reglamentación de cada una de estas  zonas. Este trabajo con el fin de retroalimentar la propuesta para la modificación del Decreto 252 de 2007, POZ Usme y el borrador de  documento técnico que elabora la SDHT y Metrovivienda  como soporte. 
Hallazgo Arqueológico.
En cuanto a este tema se han abierto unos espacios de reunión y socialización comunitaria, en donde intervienen la Secretaria de Cultura, Alcaldía Local, Metrovivienda para el seguimiento al mandato ciudadano de las comunidades de Usme, mediante el cual se logró la declaración de la hacienda el Carmen, como zona de protección arqueológica y patrimonial. Se acompañan los procesos de  firma del comodato que dio Metrovivienda a la Alcaldía Local de Usme  de la hacienda el Carmen para su Administración.  A su vez la alcaldía Local de Usme está  en proceso de firmar un convenio con la universidad Nacional  para la ejecución de 2.000  millones de pesos que se destinaran, para la construcción del aula museal, continuar con el proceso de investigación Arqueológica y un proceso de divulgación y  socialización  del hallazgo Arqueológico.  
Declaratoria de área protegida Cerro Seco
Es un polígono de 358 has (224 has urbanas y 137 has  rurales) para ser declarado bajo la categoría de Parque Ecológico Distrital de Montaña. En esta línea, durante el último trimestre se revisó y se presentaron observaciones al Documento técnico de la propuesta del proyecto de Acuerdo formulado por la SDA y ha presentado las observaciones correspondientes al proyecto de acuerdo presentado por el Concejal Diego García.
Implementación de herramientas del paisaje. (Iniciativas Tempranas)
 La SDA como estrategia para el fortalecimiento del modelo de ocupación campesino,  en el marco del Convenio 1275 de 2013 apoyó con recursos económicos 2 iniciativas de  procesos organizados en zona de borde de la localidad de Usme, para este caso se hace seguimiento a la inversión y apoyo técnico de los procesos que se relacionan a continuación. 
La Corporación Agroambiental y cultural de Usme.   Esta corporación  está desarrollando  una propuesta  de  construcción de un vivero  y producción de material vegetal Nativo  y un   invernadero para producción de tomate de guiso orgánico, hortaliza y plantas medicinales, dentro de un proceso de reconversión productiva y aplicación de herramientas del paisaje. En esta organización participan 14 familias ubicadas en las veredas del Uval y la Requilina.
La Corporación Campesina Mujer y Tierra. Quienes adelantan un proceso de Agroturismo y  están desarrollando un proyecto de cosecha de aguas mediante la adecuación de canales y tanques de almacenamiento para manejo de aguas lluvias. Además de Desarrollo de recorridos agro turísticos para visibilizar la propuesta de borde urbano rural e intercambio de productos agropecuarios mediante el desarrollo de Trueques. En este proceso participan 13 familias de la vereda la Requilina.
Otras acciones de Borde 
Se realizó la presentación del proyecto de consolidación del centro de gestión integral de la biodiversidad y los servicios ecosistémicos -  GIBSE para el  ecosistema subxerofítico en la Mesa Urbanística de cable aéreo y  participó en varias reuniones convocadas por la Secretaria de Desarrollo Económico y la Secretaria Distrital de Movilidad, para la articulación de este proyecto y la  formulación conjunta de  estrategias  de  desarrollo económico y apropiación del territorio para las comunidades de base.
</t>
  </si>
  <si>
    <t>No tiene programación de ejecución de actividades en este semestre</t>
  </si>
  <si>
    <t xml:space="preserve">Se realizaron los comites de seguimiento al Convenio números 34 y 35 del 29 de enero y 19 de marzo de 2015, en el cual se determino como compromisos por parte del EAB, la designación de un profesional técnico y jurídico permanente y exclusivo, un informe detallado del proceso de cada predio y la problematica técnica (áreas de cesión) jurídica (procedimiento a realizar) como un plan y cronograma de trabajo que permita finiquitar el convenio en el marco de la presente anualidad.
Se remitieron las respectivas comunicaciones al EAB, en ejercicio de la supervisión, solicitando la información técnica y jurídica del proceso de adquisción del humedal capellania.
</t>
  </si>
  <si>
    <t>- Informe Técnico desde la Subdirección de Ecosistemas y Ruralidad sobre los diseños presentados por la Alcaldía Local de Suba para la implementación del sistema de biotratamiento en el brazo del PEDH Juan Amarillo.
- Se realizó el acompañamiento por parte de la SDA en la entrega de las obras de la fase 3 de la reconformación hidrogeomorfológica del PEDH El Burro. Acompañamiento con visitas técnicas para la propuesta de adecuación en el humedal. Acompañamiento con visitas técnicas para la propuesta de adecuación en el humedal.
Informe Técnico sobre el manejo de lodos y RCD producto de la excavación en el PEDH El Burro.
Acompañamientos con visitas técnicas por parte de la SER para la propuesta de reconformación hidrogeomorfológica y rehabilitación de hábitats acuáticos en PEDH Jaboque.</t>
  </si>
  <si>
    <t>Durante el segundo trimestre de 2015 se adelantó la siguiente gestión. 
1. Insumos Técnicos para la modificación del Acuerdo 487 de 2011.
2. Informe de avance al cumplimiento del plan de acción de la Alerta Naranja declarada para el PEDH Tibanica. 
3. Seguimiento a los  Planes de acción de las alertas Naranja y Amarilla.
4, Elaboración de Planes Operativos por PEDH para el segumiento de las acciones de recuperación.
5. Revisión y ajustes a los Estudios Previos para la contratación de la formulación de los PMA de los PEDH El Salitre, Tunjo y La Isla. 
6, Elaboración de Estudios Previos para la recolección de RCDS en el PEDH Jaboque.
7, Apoyo Técnico en la elaboración del Plan de Acción de la Política de Humedales del Distrito Capital.
8. Apoyo Técnico a la construcción del Plan de Consolidación de la Estructura Ecológica Principal del D.C. 
9, Coordinación de los eventos desarrollados en el marco de la campaña "Al Alma del Humedal".</t>
  </si>
  <si>
    <t xml:space="preserve">Actualmente la SDA cuenta con 4 viveros activos: Soratama cuenta con una produccion de 21.500 individuos de 46 especies, de los cuales 13.278 están disponibles para plantación, Entrenubes con 28.000 individuos en produccion de 35 especies y con un total de 8.606 individuos para plantación, Humedal La Vaca el cual es el primer vivero dedicado a especies nativas de humedal  cuenta con 4.000 individuos de 15 especies en crecimiento y Vivero La Australia con 3.000 plántulas en producción de 1 especie. </t>
  </si>
  <si>
    <t>En cuanto a las labores de fortalecimiento de los viveros en su infraestructura, se reacondicionaron algunas eras de crecimiento en el vivero Entrenubes,  y se inicio el proceso de traslado a otro en el PEDMEN. Para el vivero Soratama se adelantan las acciones que permitan mejorar el suministro de agua de forma permanente, ésta actividad es liderada por la administración del aula. En el humedal La Vaca se terminó la adecuación del sistema de riego para el área de invernadero y se adelanta la adecuación del área de crecimiento y rustificación de material vegetal.</t>
  </si>
  <si>
    <t xml:space="preserve">Entre abril y junio de 2015 se realizaron sesiones de trabajo entre entidades de Distrito, (MESA DISTRITAL DE SEGUIMIENTO AL PMA) y del Distrito con la CAR (MESA CAR - DISTRITO), en las cuales se identificaron acciones y/o aportes de las partes relacionadas con el avance en la ejecución del PMA de la Reserva y se establecieron compromisos puntuales para cada parte. 
1. Recursos:
Se identificaron las acciones y recursos comprometidos o en proceso de comprometerse por el D.C. y por la CAR  por un monto de  $ 1.477.000.000 pesos de la vigencia 2015, para ejecutar proyectos contenidos en el PMA (Reunión mayo 13 de 2015). Al respecto, la CAR informó sobre presupuestos aproximados comprometidos para la vigencia 2015:
• Diseño de la Reserva: 390 millones
• Amojonamiento: 300 millones
• Divulgación: 95 millones
• Uso público: 230 millones
El Distrito presentó a la CAR una síntesis de los recursos ejecutados, comprometidos o por comprometer para las gestiones del Distrito dentro de la Reserva:
• Implementación de sistemas de enriquecimiento para el bosque de Las Mercedes: intervenciones del Jardín Botánico por valor de $ 797.000.000, entre 2013 y 2015.
• Compra de predios para la conservación: Recursos de la EAB por 21.000 millones de pesos y de la SDA a través del Fondiger por valor de 90.000 millones de pesos.
Esto para un valor de $ 797.000.000 pesos invertidos y $ 111.000.000.000  para ejecutar en adquisición predial.
A partir de la información obtenida en las reuniones entre la CAR y el Distrito, se elaboró una herramienta de seguimiento a los proyectos del PMA (Documento anexo).
2. Coordinación
La SDA se comprometió a elaborar un documento base para la conformación de la Mesa Técnica de Coordinación CAR – DC, de manera que se formalicen los avances y compromisos por cada instancia -CAR – DC- (Documento anexo).
3. Actividades en proceso de trabajo
• Se concertó con la CAR que trabajará el proyecto de reglamento del Comité CAR – DC. (Pendiente)
• La SDA y SDP trabajarán en un cuadro de presupuestos estimados y/o en ejecución del PMA. (Elaborado).
• La SDA averiguará si es posible hacer un análisis multitemporal del Humedal El Conejito. (En proceso de elaboración).
• Tanto la CAR como la SDA solicitarán información sobre los sancionatorios en predios de la Reserva. (La SER solicitó la información a la DLA de la SDA).
• La SDA elaborará propuesta de conformación de la Mesa Técnica de Coordinación CAR – DC (Elaborada).
4. Acciones o procesos relacionados con la conectividad del Borde Norte
• Se culminó DTS para la aprobación del PMA del PEDM Cerro La Conejera. 
• Se culminó DTS para la medida de protección de los Cerros de Suba, según ajustes finales propuestos por la DGA.
</t>
  </si>
  <si>
    <t xml:space="preserve">Durante este trimestre, se ajustó el documento  "Propuesta de lineamientos ambientales para el modelo de ocupación de la franja de transición del borde sur de Bogotá", según recomendaciones recibidas de la Dirección de Gestión Ambiental y se incorporó información de los últimos productos aprobados del Convenio 1275 de 2014. 
En relación a lasacciones realizadas en el trimestre, estas se establecen por espacios de trabajo así:
-Mesa interinstitucional de concertación de borde de la localidad de Usme, (SDA, SDDE, SDHT).
Se elaboró la agenda pública de bordes, liderada por la SDDE con aportes de la comunidad, SDA  y SDHT. Este documento  se encuentra terminado en su formulación y listo validación con la comunidad. La SDA aportó en la construcción del Documento “Plan de vida y desarrollo campesino”, como insumo para la construcción de la figura de gestión social y administración del territorio de zona de borde que adelanta la SDDE, en temas de cartografía social y recorridos por el territorio para levantamiento de información social.
-POZ USME.
Se han efectuado varias jornadas de trabajo, recorridos y georeferenciación de zonas como corredor agroambiental de la Fucha, las zonas dotacionales, y modelo de ocupación campesino,   para complementar los usos y reglamentación de cada una de estas  zonas. Este trabajo con el fin de retroalimentar la propuesta para la modificación del Decreto 252 de 2007, POZ Usme y el borrador de  documento técnico que elabora la SDHT y Metrovivienda  como soporte. 
-Hallazgo Arqueológico.
En cuanto a este tema se han abierto unos espacios de reunión y socialización comunitaria, en donde intervienen la Secretaria de Cultura, Alcaldía Local, Metrovivienda para el seguimiento al mandato ciudadano de las comunidades de Usme, mediante el cual se logró la declaración de la hacienda el Carmen, como zona de protección arqueológica y patrimonial. Se acompañan los procesos de  firma del comodato que dio Metrovivienda a la Alcaldía Local de Usme  de la hacienda el Carmen para su Administración.  A su vez la alcaldía Local de Usme está  en proceso de firmar un convenio con la universidad Nacional  para la ejecución de 2.000  millones de pesos que se destinaran, para la construcción del aula museal, continuar con el proceso de investigación Arqueológica y un proceso de divulgación y  socialización  del hallazgo Arqueológico.  
-Declaratoria de área protegida Cerro Seco
Es un polígono de 358 has (224 has urbanas y 137 has  rurales) para ser declarado bajo la categoría de Parque Ecológico Distrital de Montaña. En esta línea, durante el último trimestre se revisó y se presentaron observaciones al Documento técnico de la propuesta del proyecto de Acuerdo formulado por la SDA y ha presentado las observaciones correspondientes al proyecto de acuerdo presentado por el Concejal Diego García.
Implementación de herramientas del paisaje. (Iniciativas Tempranas)
 La SDA como estrategia para el fortalecimiento del modelo de ocupación campesino,  en el marco del Convenio 1275 de 2013 apoyó con recursos económicos 2 iniciativas de  procesos organizados en zona de borde de la localidad de Usme, para este caso se hace seguimiento a la inversión y apoyo técnico de los procesos que se relacionan a continuación. 
La Corporación Agroambiental y cultural de Usme.   Esta corporación  está desarrollando  una propuesta  de  construcción de un vivero  y producción de material vegetal Nativo  y un   invernadero para producción de tomate de guiso orgánico, hortaliza y plantas medicinales, dentro de un proceso de reconversión productiva y aplicación de herramientas del paisaje. En esta organización participan 14 familias ubicadas en las veredas del Uval y la Requilina.
La Corporación Campesina Mujer y Tierra. Quienes adelantan un proceso de Agroturismo y  están desarrollando un proyecto de cosecha de aguas mediante la adecuación de canales y tanques de almacenamiento para manejo de aguas lluvias. Además de Desarrollo de recorridos agro turísticos para visibilizar la propuesta de borde urbano rural e intercambio de productos agropecuarios mediante el desarrollo de Trueques. En este proceso participan 13 familias de la vereda la Requilina.
-Otras acciones de Borde 
Se realizó la presentación del proyecto de consolidación del centro de gestión integral de la biodiversidad y los servicios ecosistémicos -  GIBSE para el  ecosistema subxerofítico en la Mesa Urbanística de cable aéreo y  participó en varias reuniones convocadas por la Secretaria de Desarrollo Económico y la Secretaria Distrital de Movilidad, para la articulación de este proyecto y la  formulación conjunta de  estrategias  de  desarrollo económico y apropiación del territorio para las comunidades de base.
</t>
  </si>
  <si>
    <r>
      <t xml:space="preserve">Desarrollo de acciones socioambientales y de manejo en 120,8 ha de zonas de alto riesgo no mitigable, de las cuales 5.8 hectáreas, se reportan como nuevas para este trimestre, en el marco del Convenio 1374 de 2014, que finalizó el 19 de mayo de 2015, así:
</t>
    </r>
    <r>
      <rPr>
        <b/>
        <sz val="9"/>
        <rFont val="Arial"/>
        <family val="2"/>
      </rPr>
      <t>• Localidad de Ciudad Bolívar</t>
    </r>
    <r>
      <rPr>
        <sz val="9"/>
        <rFont val="Arial"/>
        <family val="2"/>
      </rPr>
      <t xml:space="preserve">:
</t>
    </r>
    <r>
      <rPr>
        <u/>
        <sz val="9"/>
        <rFont val="Arial"/>
        <family val="2"/>
      </rPr>
      <t>1. Altos de La Estancia</t>
    </r>
    <r>
      <rPr>
        <sz val="9"/>
        <rFont val="Arial"/>
        <family val="2"/>
      </rPr>
      <t xml:space="preserve">: Restauración ecológica de ronda de quebradas en 2,76 ha, de las cuáles 0.8 ha son nuevas, donde se implementaron 79 módulos de restauración (1250 árboles sembrados); 690 m. de cerca viva en áreas en proceso de restauración (498 árboles sembrados); se realizaron 8 jornadas de sensibilización social y 6 jornadas de apoyo al mantenimiento y establecimiento de huertas comunitarias. Adecuación de 73 m. de zanjas. Como parte de la adecuación de predios, se recolectaron 8752 kg de desechos sólidos. Se realizó la poda y plateo de 240 árboles y la poda de 2,712 ha de césped. Se realizaron 16 recorridos de campo para vigilancia y alerta oportuna sobre posibles ocupaciones ilegales.
</t>
    </r>
    <r>
      <rPr>
        <u/>
        <sz val="9"/>
        <rFont val="Arial"/>
        <family val="2"/>
      </rPr>
      <t>2. Caracolí</t>
    </r>
    <r>
      <rPr>
        <sz val="9"/>
        <rFont val="Arial"/>
        <family val="2"/>
      </rPr>
      <t xml:space="preserve">: Se realizaron 36 recorridos para alerta temprana de posibles ocupaciones ilegales, en 3.5 nuevas hectáreas, de los cuales 16 se realizaron en este trimestre.
</t>
    </r>
    <r>
      <rPr>
        <u/>
        <sz val="9"/>
        <rFont val="Arial"/>
        <family val="2"/>
      </rPr>
      <t>3. Bella Flor:</t>
    </r>
    <r>
      <rPr>
        <sz val="9"/>
        <rFont val="Arial"/>
        <family val="2"/>
      </rPr>
      <t xml:space="preserve"> Restauración ecológica de ronda de quebradas en 0,25 ha nuevas, donde se implementaron 8 módulos de restauración (150 árboles sembrados), delimitación de 1.25 ha nuevas con cerca viva (400 m.) en áreas en proceso de restauración (198 árboles sembrados) y realización de una jornada comunitaria para la plantación de árboles.
Participación en la generación de una estrategia Interinstitucional de Intervención para la recuperación temprana en el Sector A del Barrio Bella Flor, en coordinación con la Alcaldía Local de Ciudad Bolívar y el IDIGER, la cual busca una actuación conjunta que permita recuperar una zona de riesgo de ese sector, donde próximamente se desarrollarán acciones.
</t>
    </r>
    <r>
      <rPr>
        <b/>
        <sz val="9"/>
        <rFont val="Arial"/>
        <family val="2"/>
      </rPr>
      <t>• Localidad de Rafael Uribe Uribe</t>
    </r>
    <r>
      <rPr>
        <sz val="9"/>
        <rFont val="Arial"/>
        <family val="2"/>
      </rPr>
      <t xml:space="preserve">
</t>
    </r>
    <r>
      <rPr>
        <u/>
        <sz val="9"/>
        <rFont val="Arial"/>
        <family val="2"/>
      </rPr>
      <t>1. Nueva Esperanza</t>
    </r>
    <r>
      <rPr>
        <sz val="9"/>
        <rFont val="Arial"/>
        <family val="2"/>
      </rPr>
      <t xml:space="preserve">: Mantenimiento en la ronda de la quebrada La Guarita en 0,8 ha. (450 árboles sembrados) y en otras áreas 0,909 ha. (2550 árboles sembrados); fertilización de 3000 individuos; limpieza y recolección de 500 kg de residuos sólidos; siembra de 30 árboles en zonas verdes (paisajismo); mantenimiento de 1 huerta comunitaria en un área de 0,011 ha y 30 recorridos de campo en áreas susceptibles a la ocupación ilegal.
</t>
    </r>
  </si>
  <si>
    <t xml:space="preserve">Se realizaron 3 acciones de gestión, que corresponden a: 
1) Presidencia de la Comisión Distrital para la Prevención y Mitigación de Incendios Forestales (CDPMIF): *Asistencia a 2 reuniones ordinarias y revisión de sus actas.
* Reporte de avance de las actividades del Plan de Acción 2012 - 2016 a cargo de la SDA, correspondiente al primer trimestre de 2015. 
*Apoyo a PMU por incendio forestal sucedido en el Cerro Guadalupe (Localidad Santa Fe) el 06 de mayo de 2015. 
2) Acciones de mitigación: Desarrolladas desde el Convenio 1526/14: 
* Mantenimiento a 24 ha controladas de retamo, ubicadas en el futuro Parque La Arboleda y en el Parque Nacional.
* Despeje de 5,4 km  de la vía a Ubaque. 
3) Capacitación: En gestión de riesgo por incendio forestal en el Distrito dirigida a integrante de Asofloresta de la Sabana en la Localidad de Usaquén y a la Comunidad de la Localidad de Engativá.
</t>
  </si>
  <si>
    <t xml:space="preserve">Los tiempos de respuesta a emergencias ambientales competencia y jurisdicción de la SDA se miden a través de un indicador que finalizó, a 30 de junio de 2015, en 92,6%. El indicador se comportó de la siguiente manera: abril: 100% - mayo: 100% - junio: 100%.
En este trimestre (abril a junio) se recibieron 220 emergencias que se atendieron de forma oportuna (en un tiempo máximo de 16 horas). 
•Para el trimestre (abril a junio), los eventos activados, corresponden a:
 - ABRIL: 93 eventos: 92 relacionados con árboles en riesgo y/o caídos y 1 incidentes relacionados con materiales peligrosos.
 - MAYO: 42 eventos: 35 relacionados con árboles en riesgo y/o caídos, 6 incidentes relacionados con materiales peligrosos y 1 incidente por incendio forestal.
 - JUNIO: 85 eventos relacionados con árboles en riesgo y/o caídos.
• Para este trimestre (abril a junio), se articuló la atención de las emergencias con las entidades del SDGR-CC, así:
 - ABRIL: 44 emergencias, solicitando apoyo a UAESP y EAB-ESP.
 - MAYO: 14 emergencias, solicitando apoyo a UAESP y EAB-ESP.
 - JUNIO: 43 emergencias, solicitando apoyo a CODENSA, UAESP y la EAB-ESP.
</t>
  </si>
  <si>
    <t xml:space="preserve">Planificación:
1. El operador Consorcio Asoprosabanas Bogotá CPS 1151 de 2014  ha concertado herramientas de manejo del paisaje en 51 nuevos predios correspondientes a los productos entregados por el Convenio 014-12, Ajustaando los Diseños de HMP propuestos para proceder a su implementación.
2. Con la entrega de los productos finales del Diseño de Herramientas de Manejo del Paisaje para cuatro ventanas con el Convenio 1275 de 2013  se proyectó una adicón al  CPS 1151 de 2014 para intervención de 100 predios nuevos en BOrde Urbano rural y unalicitacioón para intervención de 80 nuevos predios en Tunjuelo
 </t>
  </si>
  <si>
    <t xml:space="preserve">A junio de 2015, se tienen los siguientes avances:
A la fecha la entidad ha vinculado 283 familias, (134 familias en la localidad de Usme y 95 familias en la zona rural de Ciudad Bolívar y 54 en Sumapaz) las cuales  quienes cuentan con registro, plan finca y con análisis de los Indicadores de sostenibilidad Ambiental, con la cual se verificará el estado y avance de las familias vinculadas por la SDA al proceso. Con las acciones de capacitación, asesoría y/o validación de acciones de reconversión de sistemas productivos articulando las herramientas de manejo del paisaje aplicables a aspectos productivos se presenta avance en los indicadores de sostenibilidad ambiental a Junio de 2015, de la siguiente forma: 
Dentro de los avances que se han logrado en las acciones de reconversión del sistema productivo en las familias de la cuenca del Tunjuelo (134 familias en la localidad de Usme y 95 familias en la zona rural de Ciudad Bolívar) para la conservación de la Biodiversidad, el suelo y el agua, se destaca:
• Liberación de 10,42 hectáreas de producción para la conservación de la biodiversidad, el suelo y el agua (bosque) con 386 metros lineales en aislamiento de bosque,  5779.09 metros lineales en aislamiento Rondas Hídricas (incluyendo nacederos y demás cuerpos de agua), 
• 99 familias capacitadas en el Uso del árbol y buenas practicas productivas, 
• 4352 metros lineales de cerca vivas, 
• 77 huertas caseras fortalecidas; 
• 13 familias apoyadas con prácticas de uso eficiente del recurso hídrico,
• 14  invernaderos establecidos o mejorados para la seguridad alimentaria y con inclusión de especies promisorias y 
• 42 familias con mejoramiento de instalaciones pecuarias para minimización de impactos ambientales y con acciones de Buenas Practicas Productivas.
Con respecto a la cuenca del Rio Blanco en Sumapaz y las 54 familias vinculadas, se reporta para el trimestre el avance en 
• Protección del recurso hídrico sobre nacederos y ronda hídrica (2600 metros cuadrados) y la protección con cerca en ronda hídrica en 10 familias (3400 metros cuadrados). 
• En acciones de protección de parches de bosques, se ha trabajado con dos familias con acciones de protección con cerca (350.16 metros lineales de cerca).
• En acciones de buenas prácticas productivas  con énfasis en la protección del recurso hídrico con  la entrega de bebederos a 6 familias de bebederos  
• Aclarado en ocho familias de 2566 metros de zanjas de drenaje.
• Seguridad alimentaria y autoabastecimiento se reporta la de entrega de tubérculos ancestrales y legumbres a 5 familias para reproducir el material, igualmente se avanza en el apoyo  con mano de obra para la adecuación de infraestructura de la huerta casera y entrega de abonos.
</t>
  </si>
  <si>
    <t>1. Se tiene adelantado la sensibilización, formación para la conservación y la concertación de acuerdos en 21 ha nuevas para la intervención con la comunidad  de áreas abastecedora, así: En la localidad de Ciudad Bolívar, acueducto Asoporquera predios La Rivera (11 Ha) y Buenos Aires (20 Ha), acueducto Asopiedraparada predio El Recuerdo (13 Ha) acueducto Pasquilla Centro predio La Palma (3.3 Ha). En la localidad de Usme: acueducto Aguas Doradas predios Uval 01 y Uval La Toscana (11 Ha), acueducto Agualinda Chiguaza en el predio San Luis (4.5 Ha), acueducto Aguas Claras Olarte en Centro de Instrucción y Entrenamiento Militar (0,7), acueductos El Destino y Corinto Cerroredondo predio Montebello (23.26 Ha), acueducto Acuamarg en los predios El Horizonte (0.18 Ha), La Palma (0.25 Ha), Delirios (0.1 Ha), Manantial (0.01 Ha) y acueducto Arrayanes Argentina predio Jamaica (1.5 Ha). Y en la localidad de Sumapaz acueducto Asouan predio La Pradera (0.72 Ha). TOTAL 89.52 Ha.
2. En procesos de interveción nueva, se adelata la adecuación de cinco (5) áreas de abastecimiento de Acueductos veredales con el levantamiento de cercas de protección y ahoyado para siembra de árboles, en los siguientes sitios:
• Inicio ahoyado para siembra en el predio Montebello (acueductos El Destino y Corinto Cerroredondo) y predios Horizonte, Delirios, La Palma y Manantial (acueducto Acuamarg), por parte de los vigías del agua en la localidad de Usme.
• Ahoyado e hincado de 180 postes para cerca (450 m) en la nueva área del predio San Luis, acueducto Agualinda Chiguaza localidad de Usme, por parte de los vigías del agua. 
• Ahoyado e hincado de 249 postes para cerca (622 m) en las tres nuevas áreas del predio La Pradera, acueducto ASOUAN localidad de Sumapaz, por parte de los vigías del agua.
• Firma de las actas de intervención y concertación del acueducto veredal Pasquilla Centro en la localidad de Ciudad Bolívar, por parte del Subdirector de la SER.
• Firma por parte del presidente del acueducto veredal Las Margaritas (localidad de Usme), las actas de concertación de los predios El Horizonte, La Palma, Delirios y Manantial.
• Firma por parte del propietario del predio La Pradera, acueducto ASOUAN (L. de Sumapaz), el acta de intervención de las nuevas áreas correspondiente a 0.52 Ha.
• Entrega al propietario del predio La Palma, 420 m de cerca realizado por el Consorcio Asoprosabana Bogotá en la zona abastecedora el acueducto veredal Pasquilla Centro (Localidad de Ciudad Bolívar).
3. Mantenimiento a las acciones establecidas a través de la distribución de insumos provenientes del contrato 1516 de 2015 a los diferentes acueductos:
• Fertilización del material vegetal del acueducto Asoporquera (ciudad Bolivar) y Aguas Claras Olarte (L. Usme).
• Distribución de insumos  al Acueducto Agualinda Chiguaza (L. de Usme): 1 bulto cal, 1 bulto roca fosfórica, 2 bultos humus, 5 quintales alambre de púas, 5 cajas de grapa.
• Distribución de insumos  al Acueducto La Porquera (Ciudad Bolívar): 4 bultos humus, 6 bultos micorriza.
• Distribución de insumos  al Acueducto Aguas Claras Olarte (Usme): 2 bultos humus, 2 bultos micorriza, 2 bultos de cal, 2 bultos roca fosfórica.
• Distribución de insumos  al Acueducto El Destino (Usme): 15 bultos humus, 15 bultos micorriza, 15 bultos de cal, 15 bultos roca fosfórica, 2 bultos nitrato de potasio.
• Distribución de insumos  al Acueducto Pasquilla Centro  (Ciudad Bolívar): 5 bultos humus, 4 bultos roca fosfórica.
• Distribución de insumos  al Acueducto Acuamarg (Usme): 5 bultos humus, 3 bultos micorriza, 6 bultos de cal, 6 bultos roca fosfórica.
• Distribución de insumos  al Acueducto Piedraparada (Ciudad Bolívar): 4 bultos humus, 5 bultos micorriza, 35 postes.
• Distribución de insumos  al Acueducto Asouan (Sumapaz): 3 bultos humus, 3 bultos micorriza, 3 bultos de cal, 3 bultos roca fosfórica, 1 bulto de nitrato de potasio, 7 quintales alambre de púa, 7 cajas de grapa.
4. La entidad realizó acercamientos con juntas de Acueductos Veredales y propietarios de predios ubicados en áreas abastecedoras de acueductos veredales para establecer acuerdos de implementación de actividades de recuperación ecológica participativa. Esta acción se ha ejecutados sobre diecinueve (19) acueductos veredales: El Destino, Corinto Cerroredondo, Aguas Claras Olarte, Agualinda, Aguas Doradas, Acuamarg, Arrayanes Argentina, Asoquiba, Aguas Calientes, Aacupasa, Asocerritoblanco, Asoporquera, Acuavida, Acuepiedraparada, Pasquilla Centro, Asocristalina, El Saltonal, Asoperabeca y Asouan.
5. Firma de actas para intervención en  40.39 ha con: i) Acueducto Aguas Doradas, en los predios Uval 01 y Uval La Toscana 11 Ha; ii). Acueducto Acuepiedraparada, en el predio El Recuerdo 13 ha; y iii)  Acueducto Asoporquera en el predio Buenos Aires y la Rivera 1.7 Ha; iv) Acueducto Agualinda Chiguaza en el predio San Luis 8 Ha; v) Acueducto Asouan en el predio La Pradera 0,72 Ha, vi) Acueducto Acuamarg predio Horizonte y La Palma 0.43 Ha, vii) Acueducto Pasquilla Centro predio La Palma 3.3 Ha, viii) Acueducto Arrayanes Argentina predio Jamaica 1.5 Ha.
6. Apoyo y seguimiento a la formulación de los Programas de Uso Eficiente y Ahorro del Agua (PUEAA) a los acueductos de Quiba, Pasquilla Centro, Soches y Aguas Doradas.
7. Restauración ecológica participativa en 29.46 hectáreas en zonas abastecedoras de seis (6) acueductos veredales, consolidados de la siguiente manera:
• Año 2015: Asouan 0.06 Ha (Sumapaz), Acuepiedraparada 4.4 Ha (Ciudad Bolívar).
• Año 2014: Asoporquera 0.2 Ha (Ciudad Bolívar), Agualinda Chiguaza 2.8 Ha (Usme), Asouan 0.2 Ha (Sumapaz), Aguas Claras Olarte 0.7 Ha (Usme) y Acuepiedraparada 8.6 Ha (Ciudad Bolívar).
• Año 2013: Aguas Doradas 11 Ha (Usme).
• Año 2012: Asoporquera 1.5 Ha (Ciudad Bolívar).</t>
  </si>
  <si>
    <t>Se hizo ajuste al sistema de seguimiento. Ultima versión de este ajuste realizada el 16 de enero. El sistema se está implementando. Durante los meses de abril y mayo, se continúa ajustando la herramienta de registro de datos del sistema de seguimiento/acompañamiento. Lo anterior con el fin de hacer más eficiente este proceso.</t>
  </si>
  <si>
    <t xml:space="preserve">Segundo Trimestre
1) Departamentos de Gestión Ambiental: Una (1) reunión, con responsables de la implementación del instrumentos, para verificar avances, consecución de base de datos y programar acciones segundo trimestre 2015. 
2) Plan Distrital de Adaptación al Cambio Climático: Se realizarón acciones como: Acompañamiento a la formulación del Plan; Apoyo desarrollo de campaña distrital prevención del cambio climático-planeación de taller para la campaña; Generación de dos (2) boletines cambio climático; Apagones Ambientales (2), febrero - localidad de engativa y marzo - localidad de fontibón, con un total de 170 asistentes.
3) Plan Distrital de silvicultura urbana: Una (1) reunión mesa de arbolado. Se continúa apoyo formulación del Plan desde la DGA.
4) Plan Decenal de Descontaminación de Aire (PDDA): Revisión de la ficha de seguimiento al Plan.
5) Plan Institucional de Gestión Ambiental:
Se culminó proceso acompañamiento técnico-2014. Entidades Distritales ( metodología de riesgos ambientales). Jornadas días 17 y 18 de febrero y 11 de marzo. Participación:  106 personas. Socialización normativa aplicable relacionada. Se realizó taller práctico con asistentes. Se orientó: Identificación, valoración y controles a los riesgos. Evento de cierre de ciclo acompañamiento del PIGA-2014. Reconocimiento Institucional a la Gestión Ambiental Pública - RIGAP. Galardon otorgado a 12 entidades. Reconocimiento 14 entidades con desempeño alto entre 80 al 85 % mediante certificación. Certificación a  48 entidades con una asistencia al ciclo de acompañameitno  mayor al 80%. Se realizarón reuniones conjuntas entre la DGA, SCASP y SPPA con el fin de unificar criterios para desarrollar la planeación, implementación y seguimiento de los planes institucionales de gestión PIGA-2015. Se presentó al SPPA, SCASP, y el grupo de Instrumentos de la DGA,  propuesta metodologica de acompañamiento a la implementación a desarrrollarse por la DGA-2015. PIGA Interno-acompañamiento en el reporte del informe de verificación, correspondiente a la vigencia 2014. Apoyo DGA-Auditoría externa re certificación subsistema gestión ambiental.
6) Plan de Accion Cuatrienal Ambiental PACA:
Consolidación-entrega de Informe de Seguimiento al PACA SDA, con corte a 31 de diciembre de 2014. (Avance y logros-2014). Cargado herramienta Storm User. Informe-Cuenta Anual de la Contraloria, reportando el formato CB 1111 - 4 y el documento electronico basado en la información consolidada. Información reportada anteriormente en el formato CB 1111 - 2. Información que fue cargada en SIVICOF   por parte de la Oficina de Control Interno de la SDA. Certificado remitido por dicha dependencia. Acompañamiento a entidades que reportan PACA. Conocer actividades realizadas por el IDRD-marco PACA. Junto con la SPCI-actualización de indicadores de PACA SDA en Observatorio Ambiental de Bogotá.
7) Certificados del Estado de Conservación Ambiental: Una (1) reunión general de revisión de estado de avance y socialización del funcionamiento actual del instrumento. Acuerdo para elaborar informes trimestrales y consolidarlos con resposnable de implementación.
Adicionalmente se vienen revisando y ajustando formatos de seguimiento a Políticas de Suelo e Protección y Biodiversidad. Reuniones de trabajo (2) con el fin de elaborar diagnóstico del estado actal de dichas políticas. 
Segundo Trimestre
1) Departamentos de Gestión Ambiental: Realización 1 reunión de seguimiento-acompañamiento a implementación instrumento. Tema: Base de datos enviado por la Secretaria de salud. Realización 1 reunión de seguimiento-acompañamiento con el fin de revisar el formato solicitud de los DGA. Tema: La no inclusión del Formato de Solicitud DGA a la plataforma de la SDA, Atención al Ciudadano 
2) Plan Distrital de Adaptación al Cambio Climático: Se continúan acciones como: Acompañamiento a la formulación del Plan de Cambio Climático. Se convocó al Grupo Interno de Cambio Climático de la SDA, con el fin de divulgar avances y recibir observaciones al proceso de formulación. Se continúa apoyando la campaña distrital prevención del cambio climático y la realización del Bogotá Climate Summit (septiembre 2015). Generación de un (1) boletines cambio climático; Apagones Ambientales (3), abril - localidad Usme, mayo - localidad Bosa y junio –localidad Chapinero. Total de 180 asistentes aproximadamente.
3) Plan Distrital de Silvicultura Urbana: Se continúa apoyo formulación del Plan desde la DGA, en el trimestre abril-junio se participa mensualmente en las reuniones de la mesa de arbolado en el Jardín Botánico. 
4) Plan Decenal de Descontaminación de Aire (PDDA): Se continúan acciones de acompañamiento a la implementación como: Revisión-Ajuste de herramienta de seguimiento al PDDAB de acuerdo a acciones incluidas en el Plan. Se consolido una matriz con todas las actividades establecidas en los planes de acción de los años 2012 al 2014. (Bogotá Humana). Se revisaron informes de contraloría (2012-2014) para identificar hallazgos relacionados con el PDDAB. Se elaboró el memorando de citación para presentar la herramienta de seguimiento. Se convocó una reunión (1) en la oficina de la DGA con representantes de SCAAV-se presentó la herramienta-enviada posteriormente para su revisión, análisis y poder concertar estrategias de apoyo para su implementación. Reunión (1) con la ingeniera Giovanna dela SCAAV para aclarar dudas relacionadas con la herramienta de seguimiento. Se programó nueva reunión con la finalidad de establecer acciones de apoyo para continuar implementación del Plan. 
5) Plan Institucional de Gestión Ambiental (PIGA): Revisión de informes de las entidades distritales realizados por SCASP-Definición de temáticas de refuerzo para el PIGA tales como: matriz normativa, plan de acción, identificación y valoración de aspectos e impactos ambientales, residuos peligrosos, especiales, riesgos ambientales, publicidad exterior visual, vertimientos, entre otros. Definición de estrategia de acompañamiento al PIGA basado en mesas de trabajo. Realización de 13 mesas de trabajo PIGA con entidades priorizadas según visitas programadas por SCASP para el 2015; mesas realizadas los días Mayo 11,12, 14, 19, 21 y 28, y Junio 11, 12, 16, 18, 23, 25 y 30. Con asistencia de 47 entidades a la fecha. Se direccionaron requerimientos de las entidades a las diferentes dependencias de la SDA, relacionados con trámites de PEV, Vertimientos, RCD, Eco conducción, entre otros. Se realizó reunión interna con los grupos de Residuos Peligrosos y hospitalarios, PIGA SCASP, PIGA –SPPA – RCD, para unificar criterios y la exigilidad de la norma y las inquietudes resultantes de las entidades.
6) Plan de Acción Cuatrienal Ambiental (PACA): PACA SDA. Entrega de solicitud a la Contraloría en el marco de la Auditoria Regular de las metas. Por otra parte se entregaron los soportes correspondientes al plan de mejoramiento relacionados con las metas PACA SDA del proyecto 821.
PACA Externo. Participación en la mesa de instrumentos de PACA abordando temas como: Aprobación de informes reportados, segundo boletín PACA, coordinación visitas a otras entidades en el marco PACA. Acompañamiento a visita al Jardín Botánico el día 11 de junio, conociendo la experiencia de esta entidad relacionada con avances en las metas PACA, encontrando experiencias relacionadas como los SUDS implementados en la entidad, el manejo de los residuos orgánicos, la generación de energía eléctrica y todos los procesos de investigación y adecuación de infraestructura. Se avanzó en los ajustes a PACA SDA revisión realizada en conjunto con las Subdirecciones SPPA y SPCI.
7) Certificados del Estado de Conservación Ambiental: Realización 3 reuniones de gestión. Se continúan acciones de seguimiento/acompañamiento a la implementación del instrumento. Se socializó alerta para la continuidad de la implementación del instrumento en el segundo semestre de 2015 y se realizó una reunión en la Subdirección de Ecosistemas y Ruralidad-SER, para socializar el tema. Se acompañó 1 visita a predios-Reserva Thomas Van der Hammen y Colinas de Suba con la finalidad de obtener información sobre metodología de esta actividad. Temas. Revisión Procedimiento, Back up Personal asignado proceso CECA, Datos Reporte.
Otros:
Eco conducción: Se sostuvo una reunión con la Ing. Sandra Meneses para alimentar base de información del primer y segundo semestre 2014. Se está haciendo una revisión al comportamiento de consumo combustible de las diferentes entidades. Se recibieron siete (7) solicitudes capacitaciones en eco conducción. Se planea realizar al menos 1 taller/conferencia sobre el tema durante el mes de julio. 
Política para el manejo del suelo de Protección del Distrito capital: Durante el trimestre se ha realizado una reunión con el SIG Sistema de integrado de Gestión, para la revisión del procedimiento126PM03-PR22 de la Política para el Manejo de suelo de protección en el Distrito capital teniendo como referencia la   dependencia responsable del procedimiento.
Política para la gestión de la Biodiversidad en el D.C: Durante el trimestre se han realizado acciones de revisión del estado de esta política: Se terminó de ajustar al instrumento conforme a lo establece el decreto. Con base en esta información se procedió a: a. Consolidar una matriz con todas las actividades establecidas en los planes de acción de los años 2012 al 2014. (Bogotá Humana) relacionadas con la política de biodiversidad, con la finalidad de poder establecer cuáles de esas acciones le apuntan a la política y b. Elaborar el memorando de citación reunión para presentar el instrumento de seguimiento a la política la cual se tiene contemplada llevar a cabo el día 3 de mayo de 2015.
</t>
  </si>
  <si>
    <r>
      <t xml:space="preserve">Durante el segundo trimestre de 2015 se realizaron las siguientes actividades:
-Informe Técnico desde la Subdirección de Ecosistemas y Ruralidad sobre los diseños presentados por la Alcaldía Local de Suba para la implementación del sistema de biotratamiento en el brazo del PEDH </t>
    </r>
    <r>
      <rPr>
        <b/>
        <sz val="11"/>
        <rFont val="Arial"/>
        <family val="2"/>
      </rPr>
      <t>Juan Amarillo (5,5 ha).</t>
    </r>
    <r>
      <rPr>
        <sz val="11"/>
        <rFont val="Arial"/>
        <family val="2"/>
      </rPr>
      <t xml:space="preserve">
- Acompañamientos con visitas técnicas por parte de la SER para la propuesta de reconformación hidrogeomorfológica y rehabilitación de hábitats acuáticos en PEDH </t>
    </r>
    <r>
      <rPr>
        <b/>
        <sz val="11"/>
        <rFont val="Arial"/>
        <family val="2"/>
      </rPr>
      <t xml:space="preserve">Jaboque (6 ha). </t>
    </r>
    <r>
      <rPr>
        <sz val="11"/>
        <rFont val="Arial"/>
        <family val="2"/>
      </rPr>
      <t xml:space="preserve">
- Se realizó el acompañamiento por parte de la SDA en la entrega de las obras de la fase 3 de la reconformación hidrogeomorfológica del PEDH El Burro. Acompañamiento con visitas técnicas para la propuesta de adecuación en el humedal. (3,5 ha).
-Informe Técnico sobre el manejo de lodos y RCD producto de la excavación en el PEDH El Burro (1 ha).
- Insumos Técnicos para la modificación del Acuerdo 487 de 2011.
- Informe de avance al cumplimiento del plan de acción de la Alerta Naranja declarada para el PEDH Tibanica. 
- Seguimiento a los  Planes de acción de las alertas Naranja y Amarilla.
- Elaboración de Planes Operativos por PEDH para el seguimiento de las acciones de recuperación.
- Revisión y ajustes a los Estudios Previos para la contratación de la formulación de los PMA de los PEDH El Salitre, Tunjo y La Isla. 
- Elaboración de Estudios Previos para la recolección de RCDS en el PEDH Jaboque.
- Apoyo Técnico en la elaboración del Plan de Acción de la Política de Humedales del Distrito Capital.
- Apoyo Técnico a la construcción del Plan de Consolidación de la Estructura Ecológica Principal del D.C. 
- Coordinación de los eventos desarrollados en el marco de la campaña "Al Alma del Humedal".
</t>
    </r>
  </si>
  <si>
    <r>
      <t>Durante el segundo trimestre de 2015 se adelanta la recuperación ecológica en el sector de Arborizadora Alta (30ha) con las siguientes acciones: eliminación de  rebrotes, poda  y aclareo de la plantación de acacias en 1.26 ha, eliminación de especies invasoras (crasuláceas y retamo liso) de 2.88 ha, eliminación de especies invasoras (retamo liso y crasuláceas) en  2,88 ha y preparación de material vegetal (repique) de 35.77 ton para la construcción de cama de compostaje 0,0030 ha. Adicionalmente se inició la  implementación de los diseños de restauración con el trazado y ahoyado  2.107 puntos y plantación de 60 árboles. Total de área intervenida 1.91 ha 
En el Parque Ecológico Distrital de Montaña Entrenubes-PEDMEN en el predio 84 se adelantó la preparación del terreno con el trazado de 873 puntos, ahoyado en 831 puntos y la siembra de 456 árboles, para un total de área intervenida de 1.5 ha.
Más la gestión adelantada en periodos anteriores en: PEDMEN se han desarrollado procesos de restauración ecológica en 53.90 ha, el área de interés ambiental Arborizadora Alta se gestionó 30 ha y la intervención de recuperación ecológica sobre 18,11 ha, el predio la Australia en 29,30 ha, Parque Arboleda en San Cristobal en 13.94 ha, Parque El Virrey-San Cristobal en 2.17 ( el cual no estaba reportada como gestión nueva anteriormente y en este reporte se actualiza), en Los predios Padre Pio en 0.84 ha, Cerro El Cable en 1.33 ha, Los Alpes en 3.12 ha. 
Para un total de hectáreas intervenidas nuevas de 126,11.
A esto se suma el mantenimiento realizado en intervenciones realizadas en el Plan de Desarrollo de Bogotá Posiva en 122.5 ha, más la gestión restante del polígono de Arborizadora Alta de 9.98 ha. Para un total de hectáreas gestionadas de</t>
    </r>
    <r>
      <rPr>
        <b/>
        <sz val="11"/>
        <rFont val="Arial"/>
        <family val="2"/>
      </rPr>
      <t xml:space="preserve"> 258,59.</t>
    </r>
    <r>
      <rPr>
        <sz val="11"/>
        <rFont val="Arial"/>
        <family val="2"/>
      </rPr>
      <t xml:space="preserve">
</t>
    </r>
  </si>
  <si>
    <t>Informe final del contrato 1505 de 2013.
FALTA INCLUIR EVIDECIAS DE LA GESTIÓN EN LA RESERVA</t>
  </si>
  <si>
    <r>
      <t xml:space="preserve">En lo corrido del Plan de Desarrollo, se han adelantado acciones socioambientales en 120,8 ha en zonas de alto riesgo no mitigable en el marco de los Convenio 1374/14 , 956/13 y el Contrato 1193/13, de las cuales 5.8 son hectáreas nuevas reportadas para este trimestre, así:
</t>
    </r>
    <r>
      <rPr>
        <b/>
        <sz val="11"/>
        <rFont val="Arial"/>
        <family val="2"/>
      </rPr>
      <t>• Localidad de Ciudad Bolívar:</t>
    </r>
    <r>
      <rPr>
        <sz val="11"/>
        <rFont val="Arial"/>
        <family val="2"/>
      </rPr>
      <t xml:space="preserve">
</t>
    </r>
    <r>
      <rPr>
        <b/>
        <u/>
        <sz val="11"/>
        <rFont val="Arial"/>
        <family val="2"/>
      </rPr>
      <t>1. Altos de La Estancia</t>
    </r>
    <r>
      <rPr>
        <sz val="11"/>
        <rFont val="Arial"/>
        <family val="2"/>
      </rPr>
      <t xml:space="preserve">: 16 jornadas de sensibilización social y 33 jornadas de sensibilización a los estudiantes de los colegios; 81 jornadas de apoyo al mantenimiento de huertas comunitarias; limpieza de 12.623 m. de canales. Como parte de la adecuación de predios, se han recolectado 312.152 kg. de desechos sólidos y 15.4 ton. de escombros; plateo y fertilización de 1722 individuos vegetales. Restauración ecológica en 2,76 ha. de las cuáles </t>
    </r>
    <r>
      <rPr>
        <b/>
        <sz val="11"/>
        <rFont val="Arial"/>
        <family val="2"/>
      </rPr>
      <t>0.8 ha son nuevas para este trimestre</t>
    </r>
    <r>
      <rPr>
        <sz val="11"/>
        <rFont val="Arial"/>
        <family val="2"/>
      </rPr>
      <t xml:space="preserve">, donde se implementaron 79 módulos de restauración (1250 árboles sembrados). Plantación de 498 árboles en zonas en proceso de restauración. Para la vigilancia y alerta oportuna sobre posibles ocupaciones ilegales, se hicieron 462 recorridos de campo.
</t>
    </r>
    <r>
      <rPr>
        <b/>
        <u/>
        <sz val="11"/>
        <rFont val="Arial"/>
        <family val="2"/>
      </rPr>
      <t>2. Caracolí:</t>
    </r>
    <r>
      <rPr>
        <b/>
        <sz val="11"/>
        <rFont val="Arial"/>
        <family val="2"/>
      </rPr>
      <t xml:space="preserve"> </t>
    </r>
    <r>
      <rPr>
        <sz val="11"/>
        <rFont val="Arial"/>
        <family val="2"/>
      </rPr>
      <t xml:space="preserve">Se realizaron 36 recorridos para alerta temprana de posibles ocupaciones ilegales, </t>
    </r>
    <r>
      <rPr>
        <b/>
        <sz val="11"/>
        <rFont val="Arial"/>
        <family val="2"/>
      </rPr>
      <t>en 3.5 nuevas hectáreas</t>
    </r>
    <r>
      <rPr>
        <sz val="11"/>
        <rFont val="Arial"/>
        <family val="2"/>
      </rPr>
      <t xml:space="preserve">, de los cuales 16 se realizaron en este trimestre.
</t>
    </r>
    <r>
      <rPr>
        <b/>
        <u/>
        <sz val="11"/>
        <rFont val="Arial"/>
        <family val="2"/>
      </rPr>
      <t xml:space="preserve">3. Bella Flor: </t>
    </r>
    <r>
      <rPr>
        <sz val="11"/>
        <rFont val="Arial"/>
        <family val="2"/>
      </rPr>
      <t xml:space="preserve">Restauración ecológica de ronda de quebradas en </t>
    </r>
    <r>
      <rPr>
        <b/>
        <sz val="11"/>
        <rFont val="Arial"/>
        <family val="2"/>
      </rPr>
      <t>0,25 ha nuevas</t>
    </r>
    <r>
      <rPr>
        <sz val="11"/>
        <rFont val="Arial"/>
        <family val="2"/>
      </rPr>
      <t xml:space="preserve">, donde se implementaron 8 módulos de restauración (150 árboles sembrados); delimitación de </t>
    </r>
    <r>
      <rPr>
        <b/>
        <sz val="11"/>
        <rFont val="Arial"/>
        <family val="2"/>
      </rPr>
      <t xml:space="preserve">1.25 ha nuevas </t>
    </r>
    <r>
      <rPr>
        <sz val="11"/>
        <rFont val="Arial"/>
        <family val="2"/>
      </rPr>
      <t xml:space="preserve">con cerca viva (400 m.) en áreas en proceso de restauración (198 árboles sembrados) y realización de una jornada comunitaria para la plantación de árboles
</t>
    </r>
    <r>
      <rPr>
        <b/>
        <sz val="11"/>
        <rFont val="Arial"/>
        <family val="2"/>
      </rPr>
      <t>• Localidad Rafael Uribe Uribe</t>
    </r>
    <r>
      <rPr>
        <sz val="11"/>
        <rFont val="Arial"/>
        <family val="2"/>
      </rPr>
      <t xml:space="preserve">
</t>
    </r>
    <r>
      <rPr>
        <b/>
        <u/>
        <sz val="11"/>
        <rFont val="Arial"/>
        <family val="2"/>
      </rPr>
      <t xml:space="preserve">1. Nueva Esperanza: </t>
    </r>
    <r>
      <rPr>
        <sz val="11"/>
        <rFont val="Arial"/>
        <family val="2"/>
      </rPr>
      <t>Se realizó el plateo de 17.930 individuos vegetales, la fertilización de 13.080 y la poda de 47.8 ha, incluyendo zonas colindantes; recolección de 33.740 kg de desechos sólidos. Se han cerrado 14 puntos de vertimiento de agua. En las rondas de las quebradas se han plateado 720 individuos arbóreos, de los cuales 450 se han realizado en este trimestre y 2550 árboles en zonas diferente a ronda de quebradas. Se ha realizado el mantenimiento de 4120 m. de cerca y de 29 jardineras. Para la vigilancia y alerta para prevenir la ocupación ilegal de predios, se han realizado 164 recorridos. Adecuación de 1400 m. de senderos y limpieza de 10.719 m de zanjas.</t>
    </r>
  </si>
  <si>
    <t xml:space="preserve">A junio de 2015, se tienen los siguientes avances:
A la fecha la entidad ha vinculado 283 familias, (134 familias en la localidad de Usme y 95 familias en la zona rural de Ciudad Bolívar y 54 en Sumapaz) las que cuentan con registro, plan finca y con análisis de los Indicadores de sostenibilidad Ambiental. Con esta información se verificará el estado y avance de las familias vinculadas por la SDA al proceso. Con las acciones de capacitación, asesoría y/o validación de acciones de reconversión de sistemas productivos articulando las herramientas de manejo del paisaje aplicables a aspectos productivos se presenta avance en los indicadores de sostenibilidad ambiental a Junio de 2015, de la siguiente forma: 
Dentro de los avances que se han logrado en las acciones de reconversión del sistema productivo en las familias de la cuenca del Tunjuelo (134 familias en la localidad de Usme y 95 familias en la zona rural de Ciudad Bolívar) para la conservación de la Biodiversidad, el suelo y el agua, se destaca:
• Liberación de 10,42 hectáreas de producción para la conservación de la biodiversidad, el suelo y el agua (bosque) con 386 metros lineales en aislamiento de bosque,  5779.09 metros lineales en aislamiento Rondas Hídricas (incluyendo nacederos y demás cuerpos de agua) 
• 99 familias capacitadas en el Uso del árbol y buenas prácticas productivas
• 4352 metros lineales de cerca vivas 
• 77 huertas caseras fortalecidas
• 13 familias apoyadas con prácticas de uso eficiente del recurso hídrico
• 14  invernaderos establecidos o mejorados para la seguridad alimentaria y con inclusión de especies promisorias  
• 42 familias con mejoramiento de instalaciones pecuarias para minimización de impactos ambientales y con acciones de Buenas Practicas Productivas.
Con respecto a la cuenca del Rio Blanco en Sumapaz y las 54 familias vinculadas, se reporta para el trimestre el avance en; 
• Protección del recurso hídrico sobre nacederos y ronda hídrica (2600 metros cuadrados) y la protección con cerca en ronda hídrica en 10 familias (3400 metros cuadrados). 
• En acciones de protección de parches de bosques, se ha trabajado con dos familias con acciones de protección con cerca (350.16 metros lineales de cerca).
• En acciones de buenas prácticas productivas  con énfasis en la protección del recurso hídrico con  la entrega de bebederos a 6 familias de bebederos  
• Aclarado en ocho familias de 2566 metros de zanjas de drenaje.
• Seguridad alimentaria y autoabastecimiento se reporta la de entrega de tubérculos ancestrales y legumbres a 5 familias para reproducir el material, igualmente se avanza en el apoyo  con mano de obra para la adecuación de infraestructura de la huerta casera y entrega de abonos.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</si>
</sst>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_([$$-240A]\ * #,##0_);_([$$-240A]\ * \(#,##0\);_([$$-240A]\ * &quot;-&quot;??_);_(@_)"/>
    <numFmt numFmtId="172" formatCode="_ * #,##0_ ;_ * \-#,##0_ ;_ * &quot;-&quot;??_ ;_ @_ "/>
    <numFmt numFmtId="173" formatCode="_(&quot;$&quot;* #,##0.00_);_(&quot;$&quot;* \(#,##0.00\);_(&quot;$&quot;* &quot;-&quot;??_);_(@_)"/>
    <numFmt numFmtId="174" formatCode="_-* #,##0\ _€_-;\-* #,##0\ _€_-;_-* &quot;-&quot;??\ _€_-;_-@_-"/>
    <numFmt numFmtId="175" formatCode="_(* #,##0_);_(* \(#,##0\);_(* &quot;-&quot;??_);_(@_)"/>
    <numFmt numFmtId="176" formatCode="0.000"/>
    <numFmt numFmtId="177" formatCode="_-* #,##0.0\ _€_-;\-* #,##0.0\ _€_-;_-* &quot;-&quot;??\ _€_-;_-@_-"/>
    <numFmt numFmtId="178" formatCode="#,##0.0"/>
    <numFmt numFmtId="179" formatCode="_(&quot;$&quot;\ * #,##0_);_(&quot;$&quot;\ * \(#,##0\);_(&quot;$&quot;\ * &quot;-&quot;??_);_(@_)"/>
    <numFmt numFmtId="180" formatCode="[$$-240A]\ #,##0.00"/>
    <numFmt numFmtId="181" formatCode="0.0"/>
    <numFmt numFmtId="182" formatCode="[$$-240A]\ #,##0.0"/>
    <numFmt numFmtId="183" formatCode="_([$$-240A]\ * #,##0.00_);_([$$-240A]\ * \(#,##0.00\);_([$$-240A]\ * &quot;-&quot;??_);_(@_)"/>
    <numFmt numFmtId="184" formatCode="[$$-240A]\ #,##0.000"/>
    <numFmt numFmtId="185" formatCode="_-* #,##0.000\ _€_-;\-* #,##0.000\ _€_-;_-* &quot;-&quot;??\ _€_-;_-@_-"/>
    <numFmt numFmtId="186" formatCode="#,##0.000"/>
    <numFmt numFmtId="187" formatCode="#,##0.0000"/>
    <numFmt numFmtId="188" formatCode="_([$$-240A]\ * #,##0.000_);_([$$-240A]\ * \(#,##0.000\);_([$$-240A]\ * &quot;-&quot;??_);_(@_)"/>
    <numFmt numFmtId="189" formatCode="[$$-240A]\ #,##0.0000"/>
    <numFmt numFmtId="190" formatCode="[$$-240A]\ #,##0.00000"/>
    <numFmt numFmtId="191" formatCode="_([$$-240A]\ * #,##0_);_([$$-240A]\ * \(#,##0\);_([$$-240A]\ * &quot;-&quot;?????_);_(@_)"/>
  </numFmts>
  <fonts count="56"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sz val="9"/>
      <color indexed="81"/>
      <name val="Tahoma"/>
      <family val="2"/>
    </font>
    <font>
      <b/>
      <sz val="8"/>
      <name val="Arial"/>
      <family val="2"/>
    </font>
    <font>
      <sz val="7"/>
      <name val="Arial"/>
      <family val="2"/>
    </font>
    <font>
      <sz val="11"/>
      <color indexed="8"/>
      <name val="Arial"/>
      <family val="2"/>
    </font>
    <font>
      <b/>
      <sz val="12"/>
      <name val="Tahoma"/>
      <family val="2"/>
    </font>
    <font>
      <sz val="8"/>
      <color indexed="8"/>
      <name val="Arial"/>
      <family val="2"/>
    </font>
    <font>
      <b/>
      <sz val="18"/>
      <name val="Arial"/>
      <family val="2"/>
    </font>
    <font>
      <sz val="11"/>
      <color theme="1"/>
      <name val="Calibri"/>
      <family val="2"/>
      <scheme val="minor"/>
    </font>
    <font>
      <sz val="10"/>
      <color theme="1"/>
      <name val="Calibri"/>
      <family val="2"/>
      <scheme val="minor"/>
    </font>
    <font>
      <sz val="9"/>
      <color theme="1"/>
      <name val="Calibri"/>
      <family val="2"/>
      <scheme val="minor"/>
    </font>
    <font>
      <sz val="8"/>
      <color theme="1"/>
      <name val="Arial"/>
      <family val="2"/>
    </font>
    <font>
      <sz val="14"/>
      <name val="Calibri"/>
      <family val="2"/>
    </font>
    <font>
      <sz val="11"/>
      <color theme="1"/>
      <name val="Arial Narrow"/>
      <family val="2"/>
    </font>
    <font>
      <sz val="12"/>
      <color theme="1"/>
      <name val="Arial"/>
      <family val="2"/>
    </font>
    <font>
      <sz val="11"/>
      <color theme="1"/>
      <name val="Arial"/>
      <family val="2"/>
    </font>
    <font>
      <b/>
      <sz val="11"/>
      <color theme="1"/>
      <name val="Arial"/>
      <family val="2"/>
    </font>
    <font>
      <sz val="9"/>
      <name val="Arial"/>
      <family val="2"/>
    </font>
    <font>
      <b/>
      <sz val="9"/>
      <name val="Arial"/>
      <family val="2"/>
    </font>
    <font>
      <sz val="11"/>
      <name val="Calibri"/>
      <family val="2"/>
      <scheme val="minor"/>
    </font>
    <font>
      <sz val="10"/>
      <color indexed="8"/>
      <name val="Arial"/>
      <family val="2"/>
    </font>
    <font>
      <sz val="8"/>
      <color rgb="FFFF0000"/>
      <name val="Arial"/>
      <family val="2"/>
    </font>
    <font>
      <sz val="10"/>
      <color theme="1"/>
      <name val="Arial"/>
      <family val="2"/>
    </font>
    <font>
      <sz val="11"/>
      <color rgb="FF000000"/>
      <name val="Calibri"/>
      <family val="2"/>
      <scheme val="minor"/>
    </font>
    <font>
      <b/>
      <sz val="12"/>
      <color theme="1"/>
      <name val="Arial"/>
      <family val="2"/>
    </font>
    <font>
      <b/>
      <sz val="8"/>
      <color indexed="8"/>
      <name val="Arial"/>
      <family val="2"/>
    </font>
    <font>
      <sz val="8"/>
      <color theme="1"/>
      <name val="Calibri"/>
      <family val="2"/>
      <scheme val="minor"/>
    </font>
    <font>
      <sz val="8"/>
      <name val="Calibri"/>
      <family val="2"/>
      <scheme val="minor"/>
    </font>
    <font>
      <b/>
      <sz val="8"/>
      <color theme="4" tint="-0.249977111117893"/>
      <name val="Arial"/>
      <family val="2"/>
    </font>
    <font>
      <b/>
      <sz val="8"/>
      <color rgb="FFFF0000"/>
      <name val="Arial"/>
      <family val="2"/>
    </font>
    <font>
      <b/>
      <sz val="9"/>
      <color theme="1"/>
      <name val="Calibri"/>
      <family val="2"/>
      <scheme val="minor"/>
    </font>
    <font>
      <b/>
      <sz val="11"/>
      <name val="Arial"/>
      <family val="2"/>
    </font>
    <font>
      <b/>
      <sz val="11"/>
      <color indexed="8"/>
      <name val="Arial"/>
      <family val="2"/>
    </font>
    <font>
      <sz val="11"/>
      <color rgb="FF000000"/>
      <name val="Arial"/>
      <family val="2"/>
    </font>
    <font>
      <sz val="9"/>
      <name val="Calibri"/>
      <family val="2"/>
      <scheme val="minor"/>
    </font>
    <font>
      <b/>
      <sz val="11"/>
      <color theme="1"/>
      <name val="Calibri"/>
      <family val="2"/>
      <scheme val="minor"/>
    </font>
    <font>
      <sz val="11"/>
      <color theme="0"/>
      <name val="Calibri"/>
      <family val="2"/>
      <scheme val="minor"/>
    </font>
    <font>
      <b/>
      <sz val="10"/>
      <color indexed="8"/>
      <name val="Arial"/>
      <family val="2"/>
    </font>
    <font>
      <sz val="8"/>
      <color theme="0"/>
      <name val="Arial"/>
      <family val="2"/>
    </font>
    <font>
      <sz val="9"/>
      <color rgb="FFFF0000"/>
      <name val="Arial"/>
      <family val="2"/>
    </font>
    <font>
      <u/>
      <sz val="9"/>
      <name val="Arial"/>
      <family val="2"/>
    </font>
    <font>
      <b/>
      <u/>
      <sz val="11"/>
      <name val="Arial"/>
      <family val="2"/>
    </font>
  </fonts>
  <fills count="1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bgColor indexed="64"/>
      </patternFill>
    </fill>
    <fill>
      <patternFill patternType="solid">
        <fgColor rgb="FF669900"/>
        <bgColor indexed="64"/>
      </patternFill>
    </fill>
    <fill>
      <patternFill patternType="solid">
        <fgColor rgb="FFFFFF00"/>
        <bgColor indexed="64"/>
      </patternFill>
    </fill>
    <fill>
      <patternFill patternType="solid">
        <fgColor theme="6" tint="0.59999389629810485"/>
        <bgColor indexed="64"/>
      </patternFill>
    </fill>
    <fill>
      <patternFill patternType="solid">
        <fgColor rgb="FF00B050"/>
        <bgColor indexed="64"/>
      </patternFill>
    </fill>
    <fill>
      <patternFill patternType="solid">
        <fgColor rgb="FF00B0F0"/>
        <bgColor indexed="64"/>
      </patternFill>
    </fill>
    <fill>
      <patternFill patternType="solid">
        <fgColor theme="0" tint="-4.9989318521683403E-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theme="1"/>
      </top>
      <bottom/>
      <diagonal/>
    </border>
    <border>
      <left style="medium">
        <color indexed="64"/>
      </left>
      <right style="thin">
        <color indexed="64"/>
      </right>
      <top/>
      <bottom style="medium">
        <color theme="1"/>
      </bottom>
      <diagonal/>
    </border>
    <border>
      <left style="thin">
        <color indexed="64"/>
      </left>
      <right/>
      <top/>
      <bottom/>
      <diagonal/>
    </border>
    <border>
      <left style="medium">
        <color indexed="64"/>
      </left>
      <right/>
      <top style="thin">
        <color indexed="64"/>
      </top>
      <bottom style="medium">
        <color indexed="64"/>
      </bottom>
      <diagonal/>
    </border>
  </borders>
  <cellStyleXfs count="30">
    <xf numFmtId="0" fontId="0" fillId="0" borderId="0"/>
    <xf numFmtId="169" fontId="9" fillId="0" borderId="0" applyFont="0" applyFill="0" applyBorder="0" applyAlignment="0" applyProtection="0"/>
    <xf numFmtId="169" fontId="4" fillId="0" borderId="0" applyFont="0" applyFill="0" applyBorder="0" applyAlignment="0" applyProtection="0"/>
    <xf numFmtId="167" fontId="6" fillId="0" borderId="0" applyFont="0" applyFill="0" applyBorder="0" applyAlignment="0" applyProtection="0"/>
    <xf numFmtId="165" fontId="22"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4" fontId="22" fillId="0" borderId="0" applyFont="0" applyFill="0" applyBorder="0" applyAlignment="0" applyProtection="0"/>
    <xf numFmtId="173" fontId="13"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4" fillId="0" borderId="0"/>
    <xf numFmtId="165" fontId="22"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cellStyleXfs>
  <cellXfs count="1012">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4" borderId="0" xfId="0" applyFill="1"/>
    <xf numFmtId="0" fontId="0" fillId="0" borderId="0" xfId="0" applyFill="1" applyAlignment="1">
      <alignment horizontal="center" vertical="center"/>
    </xf>
    <xf numFmtId="0" fontId="23" fillId="0" borderId="0" xfId="0" applyFont="1" applyFill="1"/>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4" borderId="0" xfId="0" applyFill="1" applyAlignment="1">
      <alignment horizontal="center"/>
    </xf>
    <xf numFmtId="0" fontId="7" fillId="0" borderId="1" xfId="0" applyFont="1" applyBorder="1" applyAlignment="1">
      <alignment horizontal="center" vertical="center"/>
    </xf>
    <xf numFmtId="0" fontId="0" fillId="0" borderId="0" xfId="0" applyFill="1" applyAlignment="1">
      <alignment horizontal="center"/>
    </xf>
    <xf numFmtId="0" fontId="4" fillId="0" borderId="0" xfId="16" applyFill="1" applyAlignment="1">
      <alignment horizontal="left" vertic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174" fontId="0" fillId="0" borderId="0" xfId="0" applyNumberFormat="1" applyFill="1" applyAlignment="1">
      <alignment horizontal="center"/>
    </xf>
    <xf numFmtId="10" fontId="24" fillId="4" borderId="1" xfId="21" applyNumberFormat="1"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10" fontId="24" fillId="4" borderId="3" xfId="21" applyNumberFormat="1" applyFont="1" applyFill="1" applyBorder="1" applyAlignment="1">
      <alignment horizontal="center" vertical="center"/>
    </xf>
    <xf numFmtId="0" fontId="2" fillId="5" borderId="1" xfId="16" applyFont="1" applyFill="1" applyBorder="1" applyAlignment="1">
      <alignment horizontal="left" vertical="center" wrapText="1"/>
    </xf>
    <xf numFmtId="0" fontId="27" fillId="0" borderId="0" xfId="0" applyFont="1" applyFill="1" applyAlignment="1">
      <alignment horizontal="center" vertical="center"/>
    </xf>
    <xf numFmtId="0" fontId="5" fillId="4" borderId="25" xfId="0" applyFont="1" applyFill="1" applyBorder="1" applyAlignment="1">
      <alignment vertical="top" wrapText="1"/>
    </xf>
    <xf numFmtId="0" fontId="5" fillId="4" borderId="0" xfId="0" applyFont="1" applyFill="1" applyBorder="1" applyAlignment="1">
      <alignment vertical="top" wrapText="1"/>
    </xf>
    <xf numFmtId="0" fontId="5" fillId="4" borderId="0" xfId="0" applyFont="1" applyFill="1" applyBorder="1" applyAlignment="1">
      <alignment horizontal="center" vertical="center" wrapText="1"/>
    </xf>
    <xf numFmtId="0" fontId="28" fillId="4" borderId="25" xfId="0" applyFont="1" applyFill="1" applyBorder="1"/>
    <xf numFmtId="0" fontId="28" fillId="4" borderId="0" xfId="0" applyFont="1" applyFill="1" applyBorder="1"/>
    <xf numFmtId="0" fontId="28" fillId="4" borderId="0" xfId="0" applyFont="1" applyFill="1" applyBorder="1" applyAlignment="1">
      <alignment horizontal="center"/>
    </xf>
    <xf numFmtId="0" fontId="28" fillId="4" borderId="26" xfId="0" applyFont="1" applyFill="1" applyBorder="1"/>
    <xf numFmtId="0" fontId="17" fillId="6" borderId="3" xfId="0" applyFont="1" applyFill="1" applyBorder="1" applyAlignment="1" applyProtection="1">
      <alignment horizontal="left" vertical="center" wrapText="1"/>
      <protection locked="0"/>
    </xf>
    <xf numFmtId="0" fontId="17" fillId="6" borderId="1" xfId="0" applyFont="1" applyFill="1" applyBorder="1" applyAlignment="1" applyProtection="1">
      <alignment horizontal="left" vertical="center" wrapText="1"/>
      <protection locked="0"/>
    </xf>
    <xf numFmtId="0" fontId="17" fillId="6" borderId="2" xfId="0" applyFont="1" applyFill="1" applyBorder="1" applyAlignment="1" applyProtection="1">
      <alignment horizontal="left" vertical="center" wrapText="1"/>
      <protection locked="0"/>
    </xf>
    <xf numFmtId="0" fontId="17" fillId="6" borderId="4" xfId="0" applyFont="1" applyFill="1" applyBorder="1" applyAlignment="1" applyProtection="1">
      <alignment horizontal="left" vertical="center" wrapText="1"/>
      <protection locked="0"/>
    </xf>
    <xf numFmtId="0" fontId="17" fillId="6" borderId="5" xfId="0" applyFont="1" applyFill="1" applyBorder="1" applyAlignment="1" applyProtection="1">
      <alignment horizontal="left" vertical="center" wrapText="1"/>
      <protection locked="0"/>
    </xf>
    <xf numFmtId="0" fontId="2" fillId="5" borderId="4" xfId="16" applyFont="1" applyFill="1" applyBorder="1" applyAlignment="1">
      <alignment horizontal="left" vertical="center" wrapText="1"/>
    </xf>
    <xf numFmtId="0" fontId="7" fillId="0" borderId="0" xfId="0" applyFont="1" applyFill="1"/>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2" fontId="29" fillId="4" borderId="3" xfId="0" applyNumberFormat="1" applyFont="1" applyFill="1" applyBorder="1" applyAlignment="1">
      <alignment horizontal="center" vertical="center"/>
    </xf>
    <xf numFmtId="0" fontId="29" fillId="4" borderId="1" xfId="0" applyFont="1" applyFill="1" applyBorder="1" applyAlignment="1">
      <alignment horizontal="center" vertical="center"/>
    </xf>
    <xf numFmtId="174" fontId="29" fillId="4" borderId="1" xfId="3" applyNumberFormat="1" applyFont="1" applyFill="1" applyBorder="1" applyAlignment="1">
      <alignment horizontal="center" vertical="center"/>
    </xf>
    <xf numFmtId="174" fontId="29" fillId="4" borderId="1" xfId="0" applyNumberFormat="1" applyFont="1" applyFill="1" applyBorder="1" applyAlignment="1">
      <alignment horizontal="center" vertical="center"/>
    </xf>
    <xf numFmtId="0" fontId="29" fillId="4" borderId="3" xfId="0" applyFont="1" applyFill="1" applyBorder="1" applyAlignment="1">
      <alignment horizontal="center" vertical="center"/>
    </xf>
    <xf numFmtId="174" fontId="29" fillId="4" borderId="3" xfId="3" applyNumberFormat="1" applyFont="1" applyFill="1" applyBorder="1" applyAlignment="1">
      <alignment horizontal="center" vertical="center"/>
    </xf>
    <xf numFmtId="174" fontId="30" fillId="4" borderId="2" xfId="3" applyNumberFormat="1" applyFont="1" applyFill="1" applyBorder="1" applyAlignment="1">
      <alignment horizontal="center" vertical="center"/>
    </xf>
    <xf numFmtId="0" fontId="0" fillId="0" borderId="0" xfId="0" applyFill="1" applyAlignment="1">
      <alignment wrapText="1"/>
    </xf>
    <xf numFmtId="10" fontId="24" fillId="4" borderId="4" xfId="21" applyNumberFormat="1" applyFont="1" applyFill="1" applyBorder="1" applyAlignment="1">
      <alignment horizontal="center" vertical="center"/>
    </xf>
    <xf numFmtId="0" fontId="5" fillId="6" borderId="2" xfId="0" applyFont="1" applyFill="1" applyBorder="1" applyAlignment="1">
      <alignment horizontal="center" vertical="center" wrapText="1"/>
    </xf>
    <xf numFmtId="10" fontId="24" fillId="4" borderId="2" xfId="21" applyNumberFormat="1" applyFont="1" applyFill="1" applyBorder="1" applyAlignment="1">
      <alignment horizontal="center" vertical="center"/>
    </xf>
    <xf numFmtId="10" fontId="0" fillId="0" borderId="3" xfId="21" applyNumberFormat="1" applyFont="1" applyFill="1" applyBorder="1" applyAlignment="1">
      <alignment horizontal="center" vertical="center"/>
    </xf>
    <xf numFmtId="4" fontId="29" fillId="4" borderId="3" xfId="0" applyNumberFormat="1" applyFont="1" applyFill="1" applyBorder="1" applyAlignment="1">
      <alignment horizontal="center" vertical="center" wrapText="1"/>
    </xf>
    <xf numFmtId="0" fontId="5" fillId="6" borderId="21" xfId="0" applyFont="1" applyFill="1" applyBorder="1" applyAlignment="1">
      <alignment horizontal="center" vertical="center" wrapText="1"/>
    </xf>
    <xf numFmtId="0" fontId="17" fillId="6" borderId="45" xfId="0" applyFont="1" applyFill="1" applyBorder="1" applyAlignment="1" applyProtection="1">
      <alignment horizontal="left" vertical="center" wrapText="1"/>
      <protection locked="0"/>
    </xf>
    <xf numFmtId="0" fontId="17" fillId="6" borderId="8" xfId="0" applyFont="1" applyFill="1" applyBorder="1" applyAlignment="1" applyProtection="1">
      <alignment horizontal="left" vertical="center" wrapText="1"/>
      <protection locked="0"/>
    </xf>
    <xf numFmtId="0" fontId="17" fillId="6" borderId="34" xfId="0" applyFont="1" applyFill="1" applyBorder="1" applyAlignment="1" applyProtection="1">
      <alignment horizontal="left" vertical="center" wrapText="1"/>
      <protection locked="0"/>
    </xf>
    <xf numFmtId="0" fontId="17" fillId="6" borderId="15" xfId="0" applyFont="1" applyFill="1" applyBorder="1" applyAlignment="1" applyProtection="1">
      <alignment horizontal="left" vertical="center" wrapText="1"/>
      <protection locked="0"/>
    </xf>
    <xf numFmtId="0" fontId="17" fillId="6" borderId="16" xfId="0" applyFont="1" applyFill="1" applyBorder="1" applyAlignment="1" applyProtection="1">
      <alignment horizontal="left" vertical="center" wrapText="1"/>
      <protection locked="0"/>
    </xf>
    <xf numFmtId="0" fontId="17" fillId="6" borderId="19" xfId="0" applyFont="1" applyFill="1" applyBorder="1" applyAlignment="1" applyProtection="1">
      <alignment horizontal="left" vertical="center" wrapText="1"/>
      <protection locked="0"/>
    </xf>
    <xf numFmtId="0" fontId="29" fillId="4" borderId="4" xfId="0" applyFont="1" applyFill="1" applyBorder="1" applyAlignment="1">
      <alignment horizontal="center" vertical="center"/>
    </xf>
    <xf numFmtId="174" fontId="0" fillId="0" borderId="0" xfId="3" applyNumberFormat="1" applyFont="1" applyFill="1" applyBorder="1"/>
    <xf numFmtId="0" fontId="0" fillId="0" borderId="0" xfId="0" applyFill="1" applyBorder="1"/>
    <xf numFmtId="0" fontId="0" fillId="0" borderId="0" xfId="0" applyFill="1" applyBorder="1" applyAlignment="1">
      <alignment horizontal="center"/>
    </xf>
    <xf numFmtId="3" fontId="3" fillId="0" borderId="0" xfId="0" applyNumberFormat="1" applyFont="1" applyFill="1" applyBorder="1" applyAlignment="1">
      <alignment horizontal="center"/>
    </xf>
    <xf numFmtId="3" fontId="0" fillId="0" borderId="0" xfId="0" applyNumberFormat="1" applyFill="1" applyBorder="1"/>
    <xf numFmtId="0" fontId="7" fillId="9" borderId="0" xfId="0" applyFont="1" applyFill="1"/>
    <xf numFmtId="10" fontId="0" fillId="4" borderId="1" xfId="21" applyNumberFormat="1" applyFont="1" applyFill="1" applyBorder="1" applyAlignment="1">
      <alignment horizontal="center" vertical="center"/>
    </xf>
    <xf numFmtId="10" fontId="0" fillId="4" borderId="2" xfId="21" applyNumberFormat="1" applyFont="1" applyFill="1" applyBorder="1" applyAlignment="1">
      <alignment horizontal="center" vertical="center"/>
    </xf>
    <xf numFmtId="0" fontId="36" fillId="4" borderId="3" xfId="0" applyFont="1" applyFill="1" applyBorder="1" applyAlignment="1">
      <alignment horizontal="center" vertical="center" wrapText="1"/>
    </xf>
    <xf numFmtId="10" fontId="0" fillId="4" borderId="3" xfId="21" applyNumberFormat="1" applyFont="1" applyFill="1" applyBorder="1" applyAlignment="1">
      <alignment horizontal="center" vertical="center"/>
    </xf>
    <xf numFmtId="0" fontId="29" fillId="4" borderId="3" xfId="0" applyFont="1" applyFill="1" applyBorder="1" applyAlignment="1">
      <alignment horizontal="center" vertical="center" wrapText="1"/>
    </xf>
    <xf numFmtId="0" fontId="27" fillId="4" borderId="3" xfId="0" applyFont="1" applyFill="1" applyBorder="1" applyAlignment="1">
      <alignment horizontal="center" vertical="center" wrapText="1"/>
    </xf>
    <xf numFmtId="3" fontId="29" fillId="4" borderId="1" xfId="0" applyNumberFormat="1" applyFont="1" applyFill="1" applyBorder="1" applyAlignment="1">
      <alignment horizontal="center" vertical="center"/>
    </xf>
    <xf numFmtId="165" fontId="29" fillId="4" borderId="1" xfId="4" applyFont="1" applyFill="1" applyBorder="1" applyAlignment="1">
      <alignment horizontal="center" vertical="center"/>
    </xf>
    <xf numFmtId="37" fontId="29" fillId="4" borderId="2" xfId="0" applyNumberFormat="1" applyFont="1" applyFill="1" applyBorder="1" applyAlignment="1">
      <alignment horizontal="center" vertical="center"/>
    </xf>
    <xf numFmtId="176" fontId="29" fillId="4" borderId="3" xfId="0" applyNumberFormat="1" applyFont="1" applyFill="1" applyBorder="1" applyAlignment="1">
      <alignment horizontal="center" vertical="center"/>
    </xf>
    <xf numFmtId="10" fontId="0" fillId="4" borderId="4" xfId="21" applyNumberFormat="1" applyFont="1" applyFill="1" applyBorder="1" applyAlignment="1">
      <alignment horizontal="center" vertical="center"/>
    </xf>
    <xf numFmtId="174" fontId="0" fillId="0" borderId="0" xfId="3" applyNumberFormat="1" applyFont="1" applyFill="1"/>
    <xf numFmtId="0" fontId="4" fillId="0" borderId="0" xfId="0" applyFont="1" applyFill="1" applyBorder="1"/>
    <xf numFmtId="0" fontId="12" fillId="0" borderId="0" xfId="0" applyFont="1" applyFill="1" applyBorder="1"/>
    <xf numFmtId="0" fontId="5" fillId="0" borderId="0" xfId="0" applyFont="1" applyFill="1" applyBorder="1" applyAlignment="1">
      <alignment horizontal="center"/>
    </xf>
    <xf numFmtId="37" fontId="5" fillId="0" borderId="0" xfId="0" applyNumberFormat="1" applyFont="1" applyFill="1" applyBorder="1" applyAlignment="1">
      <alignment horizontal="center"/>
    </xf>
    <xf numFmtId="171" fontId="0" fillId="0" borderId="0" xfId="0" applyNumberFormat="1" applyFill="1" applyBorder="1"/>
    <xf numFmtId="17" fontId="5" fillId="0" borderId="0" xfId="0" applyNumberFormat="1" applyFont="1" applyFill="1" applyBorder="1" applyAlignment="1">
      <alignment horizontal="center"/>
    </xf>
    <xf numFmtId="174" fontId="0" fillId="4" borderId="0" xfId="0" applyNumberFormat="1" applyFill="1" applyBorder="1"/>
    <xf numFmtId="174" fontId="5" fillId="0" borderId="0" xfId="3" applyNumberFormat="1" applyFont="1" applyFill="1" applyBorder="1" applyAlignment="1">
      <alignment horizontal="center"/>
    </xf>
    <xf numFmtId="10" fontId="5" fillId="0" borderId="0" xfId="21" applyNumberFormat="1" applyFont="1" applyFill="1" applyBorder="1" applyAlignment="1">
      <alignment horizontal="center"/>
    </xf>
    <xf numFmtId="3" fontId="5" fillId="0" borderId="0" xfId="0" applyNumberFormat="1" applyFont="1" applyFill="1" applyBorder="1" applyAlignment="1">
      <alignment horizontal="center"/>
    </xf>
    <xf numFmtId="174" fontId="5" fillId="0" borderId="0" xfId="0" applyNumberFormat="1" applyFont="1" applyFill="1" applyBorder="1" applyAlignment="1">
      <alignment horizontal="center"/>
    </xf>
    <xf numFmtId="0" fontId="0" fillId="0" borderId="0" xfId="0" applyFill="1" applyBorder="1" applyAlignment="1">
      <alignment wrapText="1"/>
    </xf>
    <xf numFmtId="0" fontId="4" fillId="0" borderId="0" xfId="0" applyFont="1" applyFill="1" applyBorder="1" applyAlignment="1">
      <alignment wrapText="1"/>
    </xf>
    <xf numFmtId="0" fontId="12" fillId="0" borderId="0" xfId="0" applyFont="1" applyFill="1" applyBorder="1" applyAlignment="1">
      <alignment wrapText="1"/>
    </xf>
    <xf numFmtId="0" fontId="11" fillId="0" borderId="0" xfId="0" applyFont="1" applyFill="1" applyBorder="1" applyAlignment="1">
      <alignment horizontal="center" wrapText="1"/>
    </xf>
    <xf numFmtId="0" fontId="5" fillId="0" borderId="0" xfId="0" applyFont="1" applyFill="1" applyBorder="1" applyAlignment="1">
      <alignment horizontal="center" wrapText="1"/>
    </xf>
    <xf numFmtId="3" fontId="37" fillId="0" borderId="0" xfId="0" applyNumberFormat="1" applyFont="1" applyBorder="1" applyAlignment="1">
      <alignment wrapText="1"/>
    </xf>
    <xf numFmtId="3" fontId="29" fillId="0" borderId="0" xfId="0" applyNumberFormat="1" applyFont="1" applyBorder="1" applyAlignment="1">
      <alignment horizontal="center"/>
    </xf>
    <xf numFmtId="10" fontId="5" fillId="0" borderId="0" xfId="21" applyNumberFormat="1" applyFont="1" applyFill="1" applyBorder="1" applyAlignment="1">
      <alignment horizontal="center" wrapText="1"/>
    </xf>
    <xf numFmtId="0" fontId="0" fillId="0" borderId="0" xfId="0" applyFill="1" applyBorder="1" applyAlignment="1">
      <alignment horizontal="center" wrapText="1"/>
    </xf>
    <xf numFmtId="37" fontId="0" fillId="0" borderId="0" xfId="0" applyNumberFormat="1" applyFill="1" applyBorder="1" applyAlignment="1">
      <alignment wrapText="1"/>
    </xf>
    <xf numFmtId="174" fontId="0" fillId="0" borderId="0" xfId="0" applyNumberFormat="1" applyFill="1" applyBorder="1"/>
    <xf numFmtId="0" fontId="28" fillId="0" borderId="1" xfId="0" applyFont="1" applyFill="1" applyBorder="1" applyAlignment="1">
      <alignment horizontal="center" vertical="center"/>
    </xf>
    <xf numFmtId="0" fontId="28" fillId="0" borderId="1" xfId="0" applyFont="1" applyFill="1" applyBorder="1" applyAlignment="1">
      <alignment horizontal="justify" vertical="center" wrapText="1"/>
    </xf>
    <xf numFmtId="0" fontId="28" fillId="0" borderId="1" xfId="0" applyFont="1" applyFill="1" applyBorder="1" applyAlignment="1">
      <alignment horizontal="center" vertical="center" wrapText="1"/>
    </xf>
    <xf numFmtId="174" fontId="28" fillId="0" borderId="1" xfId="3" applyNumberFormat="1" applyFont="1" applyFill="1" applyBorder="1" applyAlignment="1">
      <alignment vertical="center"/>
    </xf>
    <xf numFmtId="167" fontId="28" fillId="0" borderId="1" xfId="3" applyNumberFormat="1" applyFont="1" applyFill="1" applyBorder="1" applyAlignment="1">
      <alignment horizontal="left" vertical="center"/>
    </xf>
    <xf numFmtId="167" fontId="28" fillId="0" borderId="1" xfId="3" applyNumberFormat="1" applyFont="1" applyFill="1" applyBorder="1" applyAlignment="1">
      <alignment vertical="center"/>
    </xf>
    <xf numFmtId="2" fontId="28" fillId="0" borderId="1" xfId="0" applyNumberFormat="1" applyFont="1" applyFill="1" applyBorder="1" applyAlignment="1">
      <alignment horizontal="center" vertical="center" wrapText="1"/>
    </xf>
    <xf numFmtId="174" fontId="28" fillId="0" borderId="1" xfId="3" applyNumberFormat="1" applyFont="1" applyFill="1" applyBorder="1" applyAlignment="1">
      <alignment horizontal="left" vertical="center"/>
    </xf>
    <xf numFmtId="10" fontId="28" fillId="0" borderId="1" xfId="21" applyNumberFormat="1" applyFont="1" applyFill="1" applyBorder="1" applyAlignment="1">
      <alignment horizontal="center" vertical="center" wrapText="1"/>
    </xf>
    <xf numFmtId="10" fontId="28" fillId="0" borderId="1" xfId="21" applyNumberFormat="1" applyFont="1" applyFill="1" applyBorder="1" applyAlignment="1">
      <alignment vertical="center"/>
    </xf>
    <xf numFmtId="9" fontId="28" fillId="0" borderId="1" xfId="21" applyFont="1" applyFill="1" applyBorder="1" applyAlignment="1">
      <alignment horizontal="center" vertical="center" wrapText="1"/>
    </xf>
    <xf numFmtId="2" fontId="28" fillId="0" borderId="7"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177" fontId="28" fillId="0" borderId="1" xfId="3" applyNumberFormat="1" applyFont="1" applyFill="1" applyBorder="1" applyAlignment="1">
      <alignment horizontal="left" vertical="center"/>
    </xf>
    <xf numFmtId="177" fontId="28" fillId="0" borderId="1" xfId="3" applyNumberFormat="1" applyFont="1" applyFill="1" applyBorder="1" applyAlignment="1">
      <alignment vertical="center"/>
    </xf>
    <xf numFmtId="176" fontId="28" fillId="0" borderId="7" xfId="0" applyNumberFormat="1" applyFont="1" applyFill="1" applyBorder="1" applyAlignment="1">
      <alignment horizontal="center" vertical="center" wrapText="1"/>
    </xf>
    <xf numFmtId="3" fontId="29" fillId="4" borderId="3" xfId="0" applyNumberFormat="1" applyFont="1" applyFill="1" applyBorder="1" applyAlignment="1">
      <alignment horizontal="center" vertical="center" wrapText="1"/>
    </xf>
    <xf numFmtId="4" fontId="29" fillId="0" borderId="3" xfId="0" applyNumberFormat="1" applyFont="1" applyFill="1" applyBorder="1" applyAlignment="1">
      <alignment horizontal="center" vertical="center" wrapText="1"/>
    </xf>
    <xf numFmtId="37" fontId="29" fillId="4" borderId="1" xfId="9" applyNumberFormat="1" applyFont="1" applyFill="1" applyBorder="1" applyAlignment="1">
      <alignment horizontal="center" vertical="center"/>
    </xf>
    <xf numFmtId="170" fontId="29" fillId="0" borderId="1" xfId="0" applyNumberFormat="1" applyFont="1" applyFill="1" applyBorder="1" applyAlignment="1">
      <alignment horizontal="center" vertical="center"/>
    </xf>
    <xf numFmtId="4" fontId="29" fillId="0" borderId="1" xfId="0" applyNumberFormat="1" applyFont="1" applyFill="1" applyBorder="1" applyAlignment="1">
      <alignment horizontal="center" vertical="center" wrapText="1"/>
    </xf>
    <xf numFmtId="10" fontId="0" fillId="0" borderId="1" xfId="21" applyNumberFormat="1" applyFont="1" applyFill="1" applyBorder="1" applyAlignment="1">
      <alignment horizontal="center" vertical="center"/>
    </xf>
    <xf numFmtId="0" fontId="29" fillId="4" borderId="1" xfId="0" applyFont="1" applyFill="1" applyBorder="1" applyAlignment="1">
      <alignment horizontal="right" vertical="center"/>
    </xf>
    <xf numFmtId="3" fontId="30" fillId="4" borderId="1" xfId="10" applyNumberFormat="1" applyFont="1" applyFill="1" applyBorder="1" applyAlignment="1">
      <alignment horizontal="center" vertical="center" wrapText="1"/>
    </xf>
    <xf numFmtId="4" fontId="30" fillId="4" borderId="1" xfId="10" applyNumberFormat="1" applyFont="1" applyFill="1" applyBorder="1" applyAlignment="1">
      <alignment horizontal="center" vertical="center" wrapText="1"/>
    </xf>
    <xf numFmtId="3" fontId="29" fillId="4" borderId="1" xfId="10" applyNumberFormat="1" applyFont="1" applyFill="1" applyBorder="1" applyAlignment="1">
      <alignment horizontal="center" vertical="center" wrapText="1"/>
    </xf>
    <xf numFmtId="37" fontId="30" fillId="4" borderId="2" xfId="9" applyNumberFormat="1" applyFont="1" applyFill="1" applyBorder="1" applyAlignment="1">
      <alignment horizontal="center" vertical="center"/>
    </xf>
    <xf numFmtId="3" fontId="30" fillId="0" borderId="2" xfId="0" applyNumberFormat="1" applyFont="1" applyFill="1" applyBorder="1" applyAlignment="1">
      <alignment horizontal="center" vertical="center"/>
    </xf>
    <xf numFmtId="37" fontId="29" fillId="4" borderId="2" xfId="9" applyNumberFormat="1" applyFont="1" applyFill="1" applyBorder="1" applyAlignment="1">
      <alignment horizontal="center" vertical="center"/>
    </xf>
    <xf numFmtId="10" fontId="0" fillId="0" borderId="2" xfId="21" applyNumberFormat="1" applyFont="1" applyFill="1" applyBorder="1" applyAlignment="1">
      <alignment horizontal="center" vertical="center"/>
    </xf>
    <xf numFmtId="3" fontId="29" fillId="0" borderId="3" xfId="0" applyNumberFormat="1" applyFont="1" applyFill="1" applyBorder="1" applyAlignment="1">
      <alignment horizontal="center" vertical="center" wrapText="1"/>
    </xf>
    <xf numFmtId="37" fontId="29" fillId="4" borderId="1" xfId="0" applyNumberFormat="1" applyFont="1" applyFill="1" applyBorder="1" applyAlignment="1">
      <alignment horizontal="right" vertical="center"/>
    </xf>
    <xf numFmtId="171" fontId="29" fillId="4" borderId="1" xfId="0" applyNumberFormat="1" applyFont="1" applyFill="1" applyBorder="1" applyAlignment="1">
      <alignment horizontal="right" vertical="center"/>
    </xf>
    <xf numFmtId="37" fontId="29" fillId="4" borderId="1" xfId="10" applyNumberFormat="1" applyFont="1" applyFill="1" applyBorder="1" applyAlignment="1">
      <alignment horizontal="center" vertical="center"/>
    </xf>
    <xf numFmtId="3" fontId="29" fillId="4" borderId="1" xfId="0" applyNumberFormat="1" applyFont="1" applyFill="1" applyBorder="1" applyAlignment="1">
      <alignment horizontal="center" vertical="center" wrapText="1"/>
    </xf>
    <xf numFmtId="4" fontId="29" fillId="4" borderId="1" xfId="0" applyNumberFormat="1" applyFont="1" applyFill="1" applyBorder="1" applyAlignment="1">
      <alignment horizontal="center" vertical="center" wrapText="1"/>
    </xf>
    <xf numFmtId="3" fontId="30" fillId="4" borderId="2" xfId="0" applyNumberFormat="1" applyFont="1" applyFill="1" applyBorder="1" applyAlignment="1">
      <alignment horizontal="center" vertical="center"/>
    </xf>
    <xf numFmtId="178" fontId="29" fillId="4" borderId="3" xfId="0" applyNumberFormat="1" applyFont="1" applyFill="1" applyBorder="1" applyAlignment="1">
      <alignment horizontal="center" vertical="center" wrapText="1"/>
    </xf>
    <xf numFmtId="179" fontId="36" fillId="4" borderId="1" xfId="0" applyNumberFormat="1" applyFont="1" applyFill="1" applyBorder="1" applyAlignment="1">
      <alignment horizontal="right" vertical="center"/>
    </xf>
    <xf numFmtId="3" fontId="29" fillId="4" borderId="1" xfId="0" applyNumberFormat="1" applyFont="1" applyFill="1" applyBorder="1" applyAlignment="1">
      <alignment horizontal="right" vertical="center"/>
    </xf>
    <xf numFmtId="4" fontId="29" fillId="4" borderId="1" xfId="10" applyNumberFormat="1" applyFont="1" applyFill="1" applyBorder="1" applyAlignment="1">
      <alignment horizontal="center" vertical="center" wrapText="1"/>
    </xf>
    <xf numFmtId="170" fontId="29" fillId="4" borderId="1" xfId="0" applyNumberFormat="1" applyFont="1" applyFill="1" applyBorder="1" applyAlignment="1">
      <alignment horizontal="center" vertical="center"/>
    </xf>
    <xf numFmtId="0" fontId="30" fillId="4" borderId="2" xfId="9" applyNumberFormat="1" applyFont="1" applyFill="1" applyBorder="1" applyAlignment="1">
      <alignment horizontal="center" vertical="center"/>
    </xf>
    <xf numFmtId="174" fontId="29" fillId="4" borderId="1" xfId="3" applyNumberFormat="1" applyFont="1" applyFill="1" applyBorder="1" applyAlignment="1">
      <alignment horizontal="right" vertical="center"/>
    </xf>
    <xf numFmtId="1" fontId="29" fillId="4" borderId="3" xfId="0" applyNumberFormat="1" applyFont="1" applyFill="1" applyBorder="1" applyAlignment="1">
      <alignment horizontal="center" vertical="center" wrapText="1"/>
    </xf>
    <xf numFmtId="1" fontId="29" fillId="4" borderId="3" xfId="0" applyNumberFormat="1" applyFont="1" applyFill="1" applyBorder="1" applyAlignment="1">
      <alignment horizontal="center" vertical="center"/>
    </xf>
    <xf numFmtId="1" fontId="29" fillId="4" borderId="1" xfId="0" applyNumberFormat="1" applyFont="1" applyFill="1" applyBorder="1" applyAlignment="1">
      <alignment horizontal="center" vertical="center" wrapText="1"/>
    </xf>
    <xf numFmtId="1" fontId="29" fillId="4" borderId="1" xfId="0" applyNumberFormat="1" applyFont="1" applyFill="1" applyBorder="1" applyAlignment="1">
      <alignment horizontal="center" vertical="center"/>
    </xf>
    <xf numFmtId="1" fontId="29" fillId="4" borderId="2" xfId="0" applyNumberFormat="1" applyFont="1" applyFill="1" applyBorder="1" applyAlignment="1">
      <alignment horizontal="center" vertical="center"/>
    </xf>
    <xf numFmtId="2" fontId="29" fillId="4" borderId="3" xfId="0" applyNumberFormat="1" applyFont="1" applyFill="1" applyBorder="1" applyAlignment="1">
      <alignment horizontal="center" vertical="center" wrapText="1"/>
    </xf>
    <xf numFmtId="37" fontId="30" fillId="4" borderId="1" xfId="9" applyNumberFormat="1" applyFont="1" applyFill="1" applyBorder="1" applyAlignment="1">
      <alignment horizontal="center" vertical="center"/>
    </xf>
    <xf numFmtId="2" fontId="29" fillId="4" borderId="1" xfId="0" applyNumberFormat="1" applyFont="1" applyFill="1" applyBorder="1" applyAlignment="1">
      <alignment horizontal="center" vertical="center"/>
    </xf>
    <xf numFmtId="2" fontId="29" fillId="4" borderId="1" xfId="0" applyNumberFormat="1" applyFont="1" applyFill="1" applyBorder="1" applyAlignment="1">
      <alignment horizontal="center" vertical="center" wrapText="1"/>
    </xf>
    <xf numFmtId="171" fontId="29" fillId="4" borderId="1" xfId="24" applyNumberFormat="1" applyFont="1" applyFill="1" applyBorder="1" applyAlignment="1">
      <alignment horizontal="center" vertical="center" wrapText="1"/>
    </xf>
    <xf numFmtId="175" fontId="29" fillId="4" borderId="1" xfId="4" applyNumberFormat="1" applyFont="1" applyFill="1" applyBorder="1" applyAlignment="1">
      <alignment horizontal="center" vertical="center"/>
    </xf>
    <xf numFmtId="178" fontId="29" fillId="4" borderId="1" xfId="10" applyNumberFormat="1" applyFont="1" applyFill="1" applyBorder="1" applyAlignment="1">
      <alignment horizontal="center" vertical="center" wrapText="1"/>
    </xf>
    <xf numFmtId="0" fontId="29" fillId="4" borderId="1" xfId="0" applyFont="1" applyFill="1" applyBorder="1" applyAlignment="1">
      <alignment horizontal="center" vertical="center" wrapText="1"/>
    </xf>
    <xf numFmtId="3" fontId="29" fillId="4" borderId="15" xfId="0" applyNumberFormat="1" applyFont="1" applyFill="1" applyBorder="1" applyAlignment="1">
      <alignment horizontal="center" vertical="center" wrapText="1"/>
    </xf>
    <xf numFmtId="0" fontId="29" fillId="4" borderId="16" xfId="0" applyFont="1" applyFill="1" applyBorder="1" applyAlignment="1">
      <alignment horizontal="right" vertical="center"/>
    </xf>
    <xf numFmtId="3" fontId="29" fillId="4" borderId="16" xfId="10" applyNumberFormat="1" applyFont="1" applyFill="1" applyBorder="1" applyAlignment="1">
      <alignment horizontal="center" vertical="center" wrapText="1"/>
    </xf>
    <xf numFmtId="37" fontId="30" fillId="4" borderId="19" xfId="9" applyNumberFormat="1" applyFont="1" applyFill="1" applyBorder="1" applyAlignment="1">
      <alignment horizontal="center" vertical="center"/>
    </xf>
    <xf numFmtId="178" fontId="29" fillId="4" borderId="3" xfId="0" quotePrefix="1" applyNumberFormat="1" applyFont="1" applyFill="1" applyBorder="1" applyAlignment="1">
      <alignment horizontal="center" vertical="center" wrapText="1"/>
    </xf>
    <xf numFmtId="2" fontId="29" fillId="0" borderId="3" xfId="0" applyNumberFormat="1" applyFont="1" applyFill="1" applyBorder="1" applyAlignment="1">
      <alignment horizontal="center" vertical="center" wrapText="1"/>
    </xf>
    <xf numFmtId="3" fontId="29" fillId="0" borderId="1" xfId="0" applyNumberFormat="1" applyFont="1" applyFill="1" applyBorder="1" applyAlignment="1">
      <alignment horizontal="center" vertical="center"/>
    </xf>
    <xf numFmtId="2" fontId="29" fillId="0" borderId="1" xfId="0" applyNumberFormat="1" applyFont="1" applyFill="1" applyBorder="1" applyAlignment="1">
      <alignment horizontal="center" vertical="center"/>
    </xf>
    <xf numFmtId="2" fontId="29" fillId="0" borderId="1" xfId="0" applyNumberFormat="1" applyFont="1" applyFill="1" applyBorder="1" applyAlignment="1">
      <alignment horizontal="center" vertical="center" wrapText="1"/>
    </xf>
    <xf numFmtId="179" fontId="29" fillId="4" borderId="1" xfId="0" applyNumberFormat="1" applyFont="1" applyFill="1" applyBorder="1" applyAlignment="1">
      <alignment horizontal="right" vertical="center"/>
    </xf>
    <xf numFmtId="179" fontId="28" fillId="4" borderId="1" xfId="13" applyNumberFormat="1" applyFont="1" applyFill="1" applyBorder="1" applyAlignment="1" applyProtection="1">
      <alignment horizontal="right" vertical="center" wrapText="1"/>
      <protection locked="0"/>
    </xf>
    <xf numFmtId="3" fontId="29" fillId="4" borderId="4" xfId="10" applyNumberFormat="1" applyFont="1" applyFill="1" applyBorder="1" applyAlignment="1">
      <alignment horizontal="center" vertical="center" wrapText="1"/>
    </xf>
    <xf numFmtId="37" fontId="30" fillId="4" borderId="4" xfId="9" applyNumberFormat="1" applyFont="1" applyFill="1" applyBorder="1" applyAlignment="1">
      <alignment horizontal="center" vertical="center"/>
    </xf>
    <xf numFmtId="3" fontId="29" fillId="0" borderId="5" xfId="0" applyNumberFormat="1" applyFont="1" applyFill="1" applyBorder="1" applyAlignment="1">
      <alignment horizontal="center"/>
    </xf>
    <xf numFmtId="3" fontId="29" fillId="4" borderId="5" xfId="10" applyNumberFormat="1" applyFont="1" applyFill="1" applyBorder="1" applyAlignment="1">
      <alignment horizontal="center" vertical="center" wrapText="1"/>
    </xf>
    <xf numFmtId="10" fontId="24" fillId="6" borderId="0" xfId="21" applyNumberFormat="1" applyFont="1" applyFill="1" applyBorder="1" applyAlignment="1"/>
    <xf numFmtId="0" fontId="24" fillId="6" borderId="0" xfId="0" applyFont="1" applyFill="1" applyBorder="1" applyAlignment="1"/>
    <xf numFmtId="0" fontId="23" fillId="6" borderId="0" xfId="0" applyFont="1" applyFill="1" applyBorder="1" applyAlignment="1"/>
    <xf numFmtId="0" fontId="23" fillId="6" borderId="26" xfId="0" applyFont="1" applyFill="1" applyBorder="1" applyAlignment="1"/>
    <xf numFmtId="174" fontId="29" fillId="4" borderId="1" xfId="0" applyNumberFormat="1" applyFont="1" applyFill="1" applyBorder="1" applyAlignment="1">
      <alignment horizontal="right" vertical="center"/>
    </xf>
    <xf numFmtId="3" fontId="29" fillId="0" borderId="0" xfId="0" applyNumberFormat="1" applyFont="1" applyFill="1" applyBorder="1" applyAlignment="1">
      <alignment horizontal="center" vertical="top" wrapText="1"/>
    </xf>
    <xf numFmtId="3" fontId="37" fillId="0" borderId="0" xfId="0" applyNumberFormat="1" applyFont="1" applyFill="1" applyBorder="1" applyAlignment="1">
      <alignment wrapText="1"/>
    </xf>
    <xf numFmtId="3" fontId="29" fillId="0" borderId="0" xfId="0" applyNumberFormat="1" applyFont="1" applyFill="1" applyBorder="1" applyAlignment="1">
      <alignment horizontal="center"/>
    </xf>
    <xf numFmtId="3" fontId="30" fillId="3" borderId="2" xfId="0" applyNumberFormat="1" applyFont="1" applyFill="1" applyBorder="1" applyAlignment="1">
      <alignment horizontal="center" vertical="center" wrapText="1"/>
    </xf>
    <xf numFmtId="0" fontId="38" fillId="6" borderId="26" xfId="0" applyFont="1" applyFill="1" applyBorder="1" applyAlignment="1">
      <alignment horizontal="right"/>
    </xf>
    <xf numFmtId="171" fontId="20" fillId="0" borderId="1" xfId="10" applyNumberFormat="1" applyFont="1" applyFill="1" applyBorder="1" applyAlignment="1">
      <alignment horizontal="center" vertical="center" wrapText="1"/>
    </xf>
    <xf numFmtId="3" fontId="20" fillId="0" borderId="1" xfId="19" applyNumberFormat="1" applyFont="1" applyFill="1" applyBorder="1" applyAlignment="1">
      <alignment horizontal="center" vertical="center" wrapText="1"/>
    </xf>
    <xf numFmtId="3" fontId="20" fillId="0" borderId="3" xfId="19" applyNumberFormat="1" applyFont="1" applyFill="1" applyBorder="1" applyAlignment="1">
      <alignment horizontal="center" vertical="center" wrapText="1"/>
    </xf>
    <xf numFmtId="3" fontId="20" fillId="0" borderId="4" xfId="19"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10" fontId="31" fillId="0" borderId="1" xfId="16" applyNumberFormat="1" applyFont="1" applyFill="1" applyBorder="1" applyAlignment="1">
      <alignment horizontal="center" vertical="top" wrapText="1"/>
    </xf>
    <xf numFmtId="10" fontId="31" fillId="0" borderId="1" xfId="16" applyNumberFormat="1" applyFont="1" applyFill="1" applyBorder="1" applyAlignment="1">
      <alignment vertical="center" wrapText="1"/>
    </xf>
    <xf numFmtId="10" fontId="4" fillId="0" borderId="1" xfId="16" applyNumberFormat="1" applyFont="1" applyFill="1" applyBorder="1" applyAlignment="1">
      <alignment horizontal="center" vertical="center" wrapText="1"/>
    </xf>
    <xf numFmtId="10" fontId="4" fillId="0" borderId="4" xfId="16" applyNumberFormat="1" applyFont="1" applyFill="1" applyBorder="1" applyAlignment="1">
      <alignment horizontal="center" vertical="center" wrapText="1"/>
    </xf>
    <xf numFmtId="0" fontId="12" fillId="0" borderId="0" xfId="19" applyFont="1" applyBorder="1"/>
    <xf numFmtId="0" fontId="12" fillId="0" borderId="0" xfId="19" applyFont="1"/>
    <xf numFmtId="4" fontId="20" fillId="0" borderId="3" xfId="19" applyNumberFormat="1" applyFont="1" applyFill="1" applyBorder="1" applyAlignment="1">
      <alignment horizontal="center" vertical="center" wrapText="1"/>
    </xf>
    <xf numFmtId="170" fontId="20" fillId="0" borderId="4" xfId="19" applyNumberFormat="1" applyFont="1" applyFill="1" applyBorder="1" applyAlignment="1">
      <alignment horizontal="center" vertical="center" wrapText="1"/>
    </xf>
    <xf numFmtId="2" fontId="20" fillId="0" borderId="1" xfId="26" applyNumberFormat="1" applyFont="1" applyFill="1" applyBorder="1" applyAlignment="1">
      <alignment horizontal="right" vertical="center" wrapText="1"/>
    </xf>
    <xf numFmtId="2" fontId="20" fillId="0" borderId="5" xfId="26" applyNumberFormat="1" applyFont="1" applyFill="1" applyBorder="1" applyAlignment="1">
      <alignment horizontal="right" vertical="center" wrapText="1"/>
    </xf>
    <xf numFmtId="170" fontId="20" fillId="0" borderId="1" xfId="26" applyNumberFormat="1" applyFont="1" applyFill="1" applyBorder="1" applyAlignment="1">
      <alignment horizontal="right" vertical="center"/>
    </xf>
    <xf numFmtId="170" fontId="20" fillId="0" borderId="4" xfId="26" applyNumberFormat="1" applyFont="1" applyFill="1" applyBorder="1" applyAlignment="1">
      <alignment horizontal="right" vertical="center"/>
    </xf>
    <xf numFmtId="2" fontId="20" fillId="0" borderId="3" xfId="26" applyNumberFormat="1" applyFont="1" applyFill="1" applyBorder="1" applyAlignment="1">
      <alignment horizontal="right" vertical="center" wrapText="1"/>
    </xf>
    <xf numFmtId="171" fontId="20" fillId="0" borderId="1" xfId="26" applyNumberFormat="1" applyFont="1" applyFill="1" applyBorder="1" applyAlignment="1">
      <alignment horizontal="right" vertical="center" wrapText="1"/>
    </xf>
    <xf numFmtId="170" fontId="20" fillId="0" borderId="2" xfId="26" applyNumberFormat="1" applyFont="1" applyFill="1" applyBorder="1" applyAlignment="1">
      <alignment horizontal="right" vertical="center"/>
    </xf>
    <xf numFmtId="2" fontId="12" fillId="0" borderId="3" xfId="26" applyNumberFormat="1" applyFont="1" applyFill="1" applyBorder="1" applyAlignment="1">
      <alignment horizontal="right" vertical="center" wrapText="1"/>
    </xf>
    <xf numFmtId="170" fontId="20" fillId="0" borderId="3" xfId="26" applyNumberFormat="1" applyFont="1" applyFill="1" applyBorder="1" applyAlignment="1">
      <alignment horizontal="right" vertical="center"/>
    </xf>
    <xf numFmtId="170" fontId="12" fillId="0" borderId="1" xfId="26" applyNumberFormat="1" applyFont="1" applyFill="1" applyBorder="1" applyAlignment="1">
      <alignment horizontal="right" vertical="center"/>
    </xf>
    <xf numFmtId="0" fontId="12" fillId="0" borderId="1" xfId="26" applyFont="1" applyFill="1" applyBorder="1" applyAlignment="1">
      <alignment horizontal="right" vertical="center" wrapText="1"/>
    </xf>
    <xf numFmtId="167" fontId="20" fillId="0" borderId="1" xfId="28" applyFont="1" applyFill="1" applyBorder="1" applyAlignment="1">
      <alignment horizontal="right" vertical="center"/>
    </xf>
    <xf numFmtId="1" fontId="12" fillId="0" borderId="1" xfId="26" applyNumberFormat="1" applyFont="1" applyFill="1" applyBorder="1" applyAlignment="1">
      <alignment horizontal="right" vertical="center" wrapText="1"/>
    </xf>
    <xf numFmtId="170" fontId="12" fillId="0" borderId="1" xfId="0" applyNumberFormat="1" applyFont="1" applyFill="1" applyBorder="1" applyAlignment="1">
      <alignment horizontal="right" vertical="center"/>
    </xf>
    <xf numFmtId="170" fontId="12" fillId="0" borderId="4" xfId="0" applyNumberFormat="1" applyFont="1" applyFill="1" applyBorder="1" applyAlignment="1">
      <alignment horizontal="right" vertical="center"/>
    </xf>
    <xf numFmtId="170" fontId="20" fillId="0" borderId="1" xfId="0" applyNumberFormat="1" applyFont="1" applyFill="1" applyBorder="1" applyAlignment="1">
      <alignment horizontal="right" vertical="center"/>
    </xf>
    <xf numFmtId="2" fontId="12" fillId="0" borderId="1" xfId="26" applyNumberFormat="1" applyFont="1" applyFill="1" applyBorder="1" applyAlignment="1">
      <alignment horizontal="right" vertical="center" wrapText="1"/>
    </xf>
    <xf numFmtId="176" fontId="20" fillId="0" borderId="1" xfId="26" applyNumberFormat="1" applyFont="1" applyFill="1" applyBorder="1" applyAlignment="1">
      <alignment horizontal="right" vertical="center" wrapText="1"/>
    </xf>
    <xf numFmtId="0" fontId="12" fillId="0" borderId="1" xfId="26" applyFont="1" applyFill="1" applyBorder="1"/>
    <xf numFmtId="0" fontId="41" fillId="0" borderId="1" xfId="0" applyFont="1" applyFill="1" applyBorder="1"/>
    <xf numFmtId="180" fontId="20" fillId="0" borderId="1" xfId="26" applyNumberFormat="1" applyFont="1" applyFill="1" applyBorder="1" applyAlignment="1">
      <alignment horizontal="right" vertical="center"/>
    </xf>
    <xf numFmtId="181" fontId="20" fillId="0" borderId="5" xfId="26" applyNumberFormat="1" applyFont="1" applyFill="1" applyBorder="1" applyAlignment="1">
      <alignment horizontal="right" vertical="center" wrapText="1"/>
    </xf>
    <xf numFmtId="1" fontId="20" fillId="0" borderId="1" xfId="26" applyNumberFormat="1" applyFont="1" applyFill="1" applyBorder="1" applyAlignment="1">
      <alignment horizontal="right" vertical="center" wrapText="1"/>
    </xf>
    <xf numFmtId="174" fontId="20" fillId="0" borderId="1" xfId="28" applyNumberFormat="1" applyFont="1" applyFill="1" applyBorder="1" applyAlignment="1">
      <alignment horizontal="right" vertical="center" wrapText="1"/>
    </xf>
    <xf numFmtId="0" fontId="20" fillId="0" borderId="1" xfId="26" applyFont="1" applyFill="1" applyBorder="1" applyAlignment="1">
      <alignment horizontal="right" vertical="center" wrapText="1"/>
    </xf>
    <xf numFmtId="167" fontId="20" fillId="0" borderId="1" xfId="28" applyNumberFormat="1" applyFont="1" applyFill="1" applyBorder="1" applyAlignment="1">
      <alignment horizontal="right" vertical="center"/>
    </xf>
    <xf numFmtId="182" fontId="20" fillId="0" borderId="1" xfId="26" applyNumberFormat="1" applyFont="1" applyFill="1" applyBorder="1" applyAlignment="1">
      <alignment horizontal="right" vertical="center"/>
    </xf>
    <xf numFmtId="170" fontId="20" fillId="0" borderId="1" xfId="26" applyNumberFormat="1" applyFont="1" applyFill="1" applyBorder="1" applyAlignment="1">
      <alignment horizontal="right" vertical="center" wrapText="1"/>
    </xf>
    <xf numFmtId="167" fontId="20" fillId="0" borderId="1" xfId="28" applyFont="1" applyFill="1" applyBorder="1" applyAlignment="1">
      <alignment horizontal="right" vertical="center" wrapText="1"/>
    </xf>
    <xf numFmtId="171" fontId="12" fillId="0" borderId="1" xfId="24" applyNumberFormat="1" applyFont="1" applyFill="1" applyBorder="1" applyAlignment="1">
      <alignment horizontal="right" vertical="center" wrapText="1"/>
    </xf>
    <xf numFmtId="164" fontId="20" fillId="0" borderId="1" xfId="13" applyFont="1" applyFill="1" applyBorder="1" applyAlignment="1">
      <alignment horizontal="right" vertical="center" wrapText="1"/>
    </xf>
    <xf numFmtId="170" fontId="20" fillId="0" borderId="1" xfId="19" applyNumberFormat="1" applyFont="1" applyFill="1" applyBorder="1" applyAlignment="1">
      <alignment horizontal="center" vertical="center" wrapText="1"/>
    </xf>
    <xf numFmtId="167" fontId="20" fillId="0" borderId="3" xfId="28" applyNumberFormat="1" applyFont="1" applyFill="1" applyBorder="1" applyAlignment="1">
      <alignment horizontal="center" vertical="center" wrapText="1"/>
    </xf>
    <xf numFmtId="180" fontId="20" fillId="0" borderId="1" xfId="19" applyNumberFormat="1" applyFont="1" applyFill="1" applyBorder="1" applyAlignment="1">
      <alignment horizontal="center" vertical="center" wrapText="1"/>
    </xf>
    <xf numFmtId="167" fontId="20" fillId="0" borderId="1" xfId="28" applyNumberFormat="1" applyFont="1" applyFill="1" applyBorder="1" applyAlignment="1">
      <alignment horizontal="center" vertical="center" wrapText="1"/>
    </xf>
    <xf numFmtId="9" fontId="20" fillId="0" borderId="1" xfId="26" applyNumberFormat="1" applyFont="1" applyFill="1" applyBorder="1" applyAlignment="1">
      <alignment horizontal="right" vertical="center" wrapText="1"/>
    </xf>
    <xf numFmtId="170" fontId="35" fillId="0" borderId="1" xfId="26" applyNumberFormat="1" applyFont="1" applyFill="1" applyBorder="1" applyAlignment="1">
      <alignment horizontal="right" vertical="center" wrapText="1"/>
    </xf>
    <xf numFmtId="0" fontId="20" fillId="0" borderId="3" xfId="26" applyFont="1" applyFill="1" applyBorder="1" applyAlignment="1">
      <alignment horizontal="right" vertical="center" wrapText="1"/>
    </xf>
    <xf numFmtId="0" fontId="20" fillId="0" borderId="1" xfId="19" applyNumberFormat="1" applyFont="1" applyFill="1" applyBorder="1" applyAlignment="1">
      <alignment horizontal="right" vertical="center" wrapText="1"/>
    </xf>
    <xf numFmtId="170" fontId="12" fillId="0" borderId="1" xfId="26" applyNumberFormat="1" applyFont="1" applyFill="1" applyBorder="1" applyAlignment="1">
      <alignment horizontal="right" vertical="center" wrapText="1"/>
    </xf>
    <xf numFmtId="3" fontId="12" fillId="0" borderId="12" xfId="26" applyNumberFormat="1" applyFont="1" applyFill="1" applyBorder="1" applyAlignment="1">
      <alignment horizontal="center" vertical="center" wrapText="1"/>
    </xf>
    <xf numFmtId="3" fontId="12" fillId="0" borderId="3" xfId="0" applyNumberFormat="1" applyFont="1" applyFill="1" applyBorder="1" applyAlignment="1">
      <alignment horizontal="right" vertical="center" wrapText="1"/>
    </xf>
    <xf numFmtId="0" fontId="12" fillId="0" borderId="0" xfId="19" applyFont="1" applyFill="1" applyBorder="1"/>
    <xf numFmtId="0" fontId="12" fillId="4" borderId="0" xfId="19" applyFont="1" applyFill="1" applyBorder="1"/>
    <xf numFmtId="0" fontId="12" fillId="8" borderId="0" xfId="19" applyFont="1" applyFill="1" applyBorder="1"/>
    <xf numFmtId="0" fontId="12" fillId="8" borderId="0" xfId="19" applyFont="1" applyFill="1"/>
    <xf numFmtId="0" fontId="12" fillId="0" borderId="0" xfId="19" applyFont="1" applyAlignment="1"/>
    <xf numFmtId="170" fontId="20" fillId="0" borderId="2" xfId="19" applyNumberFormat="1" applyFont="1" applyFill="1" applyBorder="1" applyAlignment="1">
      <alignment horizontal="center" vertical="center" wrapText="1"/>
    </xf>
    <xf numFmtId="171" fontId="40" fillId="0" borderId="1" xfId="24" applyNumberFormat="1" applyFont="1" applyFill="1" applyBorder="1" applyAlignment="1">
      <alignment horizontal="right" vertical="center"/>
    </xf>
    <xf numFmtId="178" fontId="20" fillId="0" borderId="1" xfId="19" applyNumberFormat="1" applyFont="1" applyFill="1" applyBorder="1" applyAlignment="1">
      <alignment horizontal="center" vertical="center" wrapText="1"/>
    </xf>
    <xf numFmtId="170" fontId="40" fillId="0" borderId="1" xfId="27" applyNumberFormat="1" applyFont="1" applyFill="1" applyBorder="1" applyAlignment="1">
      <alignment horizontal="right" vertical="center"/>
    </xf>
    <xf numFmtId="167" fontId="12" fillId="0" borderId="1" xfId="28" applyFont="1" applyFill="1" applyBorder="1" applyAlignment="1">
      <alignment horizontal="right" vertical="center"/>
    </xf>
    <xf numFmtId="184" fontId="20" fillId="0" borderId="1" xfId="26" applyNumberFormat="1" applyFont="1" applyFill="1" applyBorder="1" applyAlignment="1">
      <alignment horizontal="right" vertical="center"/>
    </xf>
    <xf numFmtId="174" fontId="12" fillId="0" borderId="1" xfId="28" applyNumberFormat="1" applyFont="1" applyFill="1" applyBorder="1"/>
    <xf numFmtId="166" fontId="20" fillId="0" borderId="1" xfId="10" applyFont="1" applyFill="1" applyBorder="1" applyAlignment="1">
      <alignment horizontal="right" vertical="center"/>
    </xf>
    <xf numFmtId="167" fontId="20" fillId="0" borderId="3" xfId="28" applyFont="1" applyFill="1" applyBorder="1" applyAlignment="1">
      <alignment horizontal="right" vertical="center"/>
    </xf>
    <xf numFmtId="185" fontId="20" fillId="0" borderId="1" xfId="28" applyNumberFormat="1" applyFont="1" applyFill="1" applyBorder="1" applyAlignment="1">
      <alignment horizontal="right" vertical="center"/>
    </xf>
    <xf numFmtId="183" fontId="12" fillId="0" borderId="1" xfId="24" applyNumberFormat="1" applyFont="1" applyFill="1" applyBorder="1" applyAlignment="1">
      <alignment horizontal="right" vertical="center" wrapText="1"/>
    </xf>
    <xf numFmtId="170" fontId="20" fillId="0" borderId="5" xfId="19" applyNumberFormat="1" applyFont="1" applyFill="1" applyBorder="1" applyAlignment="1">
      <alignment horizontal="center" vertical="center" wrapText="1"/>
    </xf>
    <xf numFmtId="170" fontId="20" fillId="0" borderId="3" xfId="19" applyNumberFormat="1" applyFont="1" applyFill="1" applyBorder="1" applyAlignment="1">
      <alignment horizontal="center" vertical="center" wrapText="1"/>
    </xf>
    <xf numFmtId="0" fontId="20" fillId="6" borderId="16" xfId="19" applyFont="1" applyFill="1" applyBorder="1" applyAlignment="1">
      <alignment vertical="center" wrapText="1"/>
    </xf>
    <xf numFmtId="0" fontId="12" fillId="7" borderId="0" xfId="19" applyFont="1" applyFill="1" applyBorder="1"/>
    <xf numFmtId="0" fontId="12" fillId="7" borderId="0" xfId="19" applyFont="1" applyFill="1"/>
    <xf numFmtId="0" fontId="20" fillId="6" borderId="1" xfId="19" applyFont="1" applyFill="1" applyBorder="1" applyAlignment="1">
      <alignment vertical="center" wrapText="1"/>
    </xf>
    <xf numFmtId="165" fontId="12" fillId="6" borderId="1" xfId="19" applyNumberFormat="1" applyFont="1" applyFill="1" applyBorder="1"/>
    <xf numFmtId="0" fontId="12" fillId="6" borderId="1" xfId="19" applyFont="1" applyFill="1" applyBorder="1"/>
    <xf numFmtId="165" fontId="12" fillId="6" borderId="1" xfId="19" applyNumberFormat="1" applyFont="1" applyFill="1" applyBorder="1" applyAlignment="1">
      <alignment horizontal="center" vertical="center"/>
    </xf>
    <xf numFmtId="0" fontId="12" fillId="6" borderId="1" xfId="19" applyFont="1" applyFill="1" applyBorder="1" applyAlignment="1"/>
    <xf numFmtId="0" fontId="12" fillId="6" borderId="11" xfId="19" applyFont="1" applyFill="1" applyBorder="1"/>
    <xf numFmtId="3" fontId="4" fillId="0" borderId="1" xfId="26" applyNumberFormat="1" applyFont="1" applyFill="1" applyBorder="1" applyAlignment="1">
      <alignment vertical="center" wrapText="1"/>
    </xf>
    <xf numFmtId="3" fontId="4" fillId="0" borderId="11" xfId="26" applyNumberFormat="1" applyFont="1" applyFill="1" applyBorder="1" applyAlignment="1">
      <alignment vertical="center" wrapText="1"/>
    </xf>
    <xf numFmtId="3" fontId="4" fillId="0" borderId="4" xfId="26" applyNumberFormat="1" applyFont="1" applyFill="1" applyBorder="1" applyAlignment="1">
      <alignment vertical="center" wrapText="1"/>
    </xf>
    <xf numFmtId="3" fontId="4" fillId="0" borderId="12" xfId="26" applyNumberFormat="1" applyFont="1" applyFill="1" applyBorder="1" applyAlignment="1">
      <alignment vertical="center" wrapText="1"/>
    </xf>
    <xf numFmtId="170" fontId="20" fillId="0" borderId="1" xfId="26" applyNumberFormat="1" applyFont="1" applyFill="1" applyBorder="1" applyAlignment="1">
      <alignment vertical="center"/>
    </xf>
    <xf numFmtId="170" fontId="20" fillId="0" borderId="11" xfId="26" applyNumberFormat="1" applyFont="1" applyFill="1" applyBorder="1" applyAlignment="1">
      <alignment vertical="center"/>
    </xf>
    <xf numFmtId="170" fontId="20" fillId="0" borderId="4" xfId="26" applyNumberFormat="1" applyFont="1" applyFill="1" applyBorder="1" applyAlignment="1">
      <alignment vertical="center"/>
    </xf>
    <xf numFmtId="170" fontId="20" fillId="0" borderId="12" xfId="26" applyNumberFormat="1" applyFont="1" applyFill="1" applyBorder="1" applyAlignment="1">
      <alignment vertical="center"/>
    </xf>
    <xf numFmtId="3" fontId="20" fillId="0" borderId="1" xfId="19" applyNumberFormat="1" applyFont="1" applyFill="1" applyBorder="1" applyAlignment="1">
      <alignment vertical="center" wrapText="1"/>
    </xf>
    <xf numFmtId="3" fontId="20" fillId="0" borderId="11" xfId="19" applyNumberFormat="1" applyFont="1" applyFill="1" applyBorder="1" applyAlignment="1">
      <alignment vertical="center" wrapText="1"/>
    </xf>
    <xf numFmtId="3" fontId="20" fillId="0" borderId="4" xfId="19" applyNumberFormat="1" applyFont="1" applyFill="1" applyBorder="1" applyAlignment="1">
      <alignment vertical="center" wrapText="1"/>
    </xf>
    <xf numFmtId="3" fontId="20" fillId="0" borderId="12" xfId="19" applyNumberFormat="1" applyFont="1" applyFill="1" applyBorder="1" applyAlignment="1">
      <alignment vertical="center" wrapText="1"/>
    </xf>
    <xf numFmtId="170" fontId="20" fillId="0" borderId="11" xfId="26" applyNumberFormat="1" applyFont="1" applyFill="1" applyBorder="1" applyAlignment="1">
      <alignment horizontal="right" vertical="center" wrapText="1"/>
    </xf>
    <xf numFmtId="170" fontId="20" fillId="0" borderId="11" xfId="26" applyNumberFormat="1" applyFont="1" applyFill="1" applyBorder="1" applyAlignment="1">
      <alignment horizontal="right" vertical="center"/>
    </xf>
    <xf numFmtId="170" fontId="20" fillId="0" borderId="12" xfId="26" applyNumberFormat="1" applyFont="1" applyFill="1" applyBorder="1" applyAlignment="1">
      <alignment horizontal="right" vertical="center"/>
    </xf>
    <xf numFmtId="170" fontId="12" fillId="0" borderId="11" xfId="0" applyNumberFormat="1" applyFont="1" applyFill="1" applyBorder="1" applyAlignment="1">
      <alignment horizontal="right" vertical="center"/>
    </xf>
    <xf numFmtId="170" fontId="12" fillId="0" borderId="12" xfId="0" applyNumberFormat="1" applyFont="1" applyFill="1" applyBorder="1" applyAlignment="1">
      <alignment horizontal="right" vertical="center"/>
    </xf>
    <xf numFmtId="178" fontId="20" fillId="0" borderId="3" xfId="19" applyNumberFormat="1" applyFont="1" applyFill="1" applyBorder="1" applyAlignment="1">
      <alignment horizontal="center" vertical="center" wrapText="1"/>
    </xf>
    <xf numFmtId="0" fontId="12" fillId="0" borderId="1" xfId="19" applyFont="1" applyFill="1" applyBorder="1" applyAlignment="1">
      <alignment horizontal="center"/>
    </xf>
    <xf numFmtId="170" fontId="20" fillId="0" borderId="4" xfId="26" applyNumberFormat="1" applyFont="1" applyFill="1" applyBorder="1" applyAlignment="1">
      <alignment horizontal="center" vertical="center"/>
    </xf>
    <xf numFmtId="167" fontId="20" fillId="0" borderId="4" xfId="28" applyNumberFormat="1" applyFont="1" applyFill="1" applyBorder="1" applyAlignment="1">
      <alignment horizontal="right" vertical="center"/>
    </xf>
    <xf numFmtId="3" fontId="20"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176" fontId="12" fillId="0" borderId="1" xfId="26" applyNumberFormat="1" applyFont="1" applyFill="1" applyBorder="1" applyAlignment="1">
      <alignment horizontal="right" vertical="center" wrapText="1"/>
    </xf>
    <xf numFmtId="177" fontId="20" fillId="0" borderId="1" xfId="28" applyNumberFormat="1" applyFont="1" applyFill="1" applyBorder="1" applyAlignment="1">
      <alignment horizontal="right" vertical="center"/>
    </xf>
    <xf numFmtId="177" fontId="20" fillId="0" borderId="1" xfId="28" applyNumberFormat="1" applyFont="1" applyFill="1" applyBorder="1" applyAlignment="1">
      <alignment vertical="center"/>
    </xf>
    <xf numFmtId="167" fontId="20" fillId="0" borderId="1" xfId="28" applyFont="1" applyFill="1" applyBorder="1" applyAlignment="1">
      <alignment vertical="center"/>
    </xf>
    <xf numFmtId="175" fontId="44" fillId="0" borderId="1" xfId="0" applyNumberFormat="1" applyFont="1" applyFill="1" applyBorder="1"/>
    <xf numFmtId="37" fontId="12" fillId="0" borderId="1" xfId="24" applyNumberFormat="1" applyFont="1" applyFill="1" applyBorder="1" applyAlignment="1">
      <alignment horizontal="right" vertical="center" wrapText="1"/>
    </xf>
    <xf numFmtId="171" fontId="12" fillId="0" borderId="4" xfId="24" applyNumberFormat="1" applyFont="1" applyFill="1" applyBorder="1" applyAlignment="1">
      <alignment horizontal="right" vertical="center" wrapText="1"/>
    </xf>
    <xf numFmtId="4" fontId="20" fillId="0" borderId="1" xfId="26" applyNumberFormat="1" applyFont="1" applyFill="1" applyBorder="1" applyAlignment="1">
      <alignment horizontal="right" vertical="center" wrapText="1"/>
    </xf>
    <xf numFmtId="3" fontId="20" fillId="0" borderId="1" xfId="26" applyNumberFormat="1" applyFont="1" applyFill="1" applyBorder="1" applyAlignment="1">
      <alignment horizontal="right" vertical="center"/>
    </xf>
    <xf numFmtId="0" fontId="43" fillId="0" borderId="1" xfId="26" applyFont="1" applyFill="1" applyBorder="1" applyAlignment="1">
      <alignment horizontal="right" vertical="center" wrapText="1"/>
    </xf>
    <xf numFmtId="170" fontId="35" fillId="0" borderId="1" xfId="26" applyNumberFormat="1" applyFont="1" applyFill="1" applyBorder="1" applyAlignment="1">
      <alignment horizontal="right" vertical="center"/>
    </xf>
    <xf numFmtId="3" fontId="12" fillId="0" borderId="1" xfId="26" applyNumberFormat="1" applyFont="1" applyFill="1" applyBorder="1" applyAlignment="1">
      <alignment horizontal="right" vertical="center"/>
    </xf>
    <xf numFmtId="0" fontId="35" fillId="0" borderId="3" xfId="26" applyFont="1" applyFill="1" applyBorder="1" applyAlignment="1">
      <alignment horizontal="right" vertical="center" wrapText="1"/>
    </xf>
    <xf numFmtId="0" fontId="35" fillId="0" borderId="1" xfId="26" applyFont="1" applyFill="1" applyBorder="1" applyAlignment="1">
      <alignment horizontal="right" vertical="center" wrapText="1"/>
    </xf>
    <xf numFmtId="4" fontId="35" fillId="0" borderId="1" xfId="0" applyNumberFormat="1" applyFont="1" applyFill="1" applyBorder="1" applyAlignment="1">
      <alignment horizontal="right" vertical="center"/>
    </xf>
    <xf numFmtId="167" fontId="35" fillId="0" borderId="1" xfId="28" applyNumberFormat="1" applyFont="1" applyFill="1" applyBorder="1" applyAlignment="1">
      <alignment horizontal="right" vertical="center"/>
    </xf>
    <xf numFmtId="3" fontId="12" fillId="0" borderId="1" xfId="0" applyNumberFormat="1" applyFont="1" applyFill="1" applyBorder="1" applyAlignment="1">
      <alignment horizontal="right" vertical="center"/>
    </xf>
    <xf numFmtId="0" fontId="12" fillId="0" borderId="0" xfId="19" applyFont="1" applyFill="1"/>
    <xf numFmtId="0" fontId="35" fillId="0" borderId="3" xfId="26" applyFont="1" applyFill="1" applyBorder="1" applyAlignment="1">
      <alignment horizontal="center" vertical="center" wrapText="1"/>
    </xf>
    <xf numFmtId="0" fontId="35" fillId="0" borderId="1" xfId="26" applyFont="1" applyFill="1" applyBorder="1" applyAlignment="1">
      <alignment horizontal="center" vertical="center" wrapText="1"/>
    </xf>
    <xf numFmtId="167" fontId="20" fillId="0" borderId="1" xfId="28" applyFont="1" applyFill="1" applyBorder="1" applyAlignment="1">
      <alignment horizontal="center" vertical="center" wrapText="1"/>
    </xf>
    <xf numFmtId="4" fontId="20" fillId="0" borderId="1" xfId="26" applyNumberFormat="1" applyFont="1" applyFill="1" applyBorder="1" applyAlignment="1">
      <alignment horizontal="right" vertical="center"/>
    </xf>
    <xf numFmtId="0" fontId="20" fillId="0" borderId="1" xfId="26" applyNumberFormat="1" applyFont="1" applyFill="1" applyBorder="1" applyAlignment="1">
      <alignment horizontal="right" vertical="center"/>
    </xf>
    <xf numFmtId="4" fontId="20" fillId="0" borderId="4" xfId="26" applyNumberFormat="1" applyFont="1" applyFill="1" applyBorder="1" applyAlignment="1">
      <alignment horizontal="right" vertical="center"/>
    </xf>
    <xf numFmtId="0" fontId="12" fillId="0" borderId="1" xfId="19" applyFont="1" applyFill="1" applyBorder="1"/>
    <xf numFmtId="181" fontId="20" fillId="0" borderId="3" xfId="26" applyNumberFormat="1" applyFont="1" applyFill="1" applyBorder="1" applyAlignment="1">
      <alignment horizontal="right" vertical="center" wrapText="1"/>
    </xf>
    <xf numFmtId="175" fontId="27" fillId="0" borderId="1" xfId="4" applyNumberFormat="1" applyFont="1" applyFill="1" applyBorder="1" applyAlignment="1">
      <alignment horizontal="center" vertical="center" wrapText="1"/>
    </xf>
    <xf numFmtId="177" fontId="5" fillId="0" borderId="1" xfId="28" applyNumberFormat="1" applyFont="1" applyFill="1" applyBorder="1" applyAlignment="1">
      <alignment horizontal="left" vertical="center"/>
    </xf>
    <xf numFmtId="167" fontId="28" fillId="0" borderId="5" xfId="28" applyNumberFormat="1" applyFont="1" applyFill="1" applyBorder="1" applyAlignment="1">
      <alignment horizontal="left" vertical="center"/>
    </xf>
    <xf numFmtId="174" fontId="7" fillId="0" borderId="1" xfId="28" applyNumberFormat="1" applyFont="1" applyFill="1" applyBorder="1" applyAlignment="1">
      <alignment horizontal="left" vertical="center"/>
    </xf>
    <xf numFmtId="174" fontId="28" fillId="0" borderId="1" xfId="28" applyNumberFormat="1" applyFont="1" applyFill="1" applyBorder="1" applyAlignment="1">
      <alignment horizontal="left" vertical="center"/>
    </xf>
    <xf numFmtId="174" fontId="7" fillId="0" borderId="1" xfId="28" applyNumberFormat="1" applyFont="1" applyFill="1" applyBorder="1" applyAlignment="1">
      <alignment vertical="center"/>
    </xf>
    <xf numFmtId="167" fontId="7" fillId="0" borderId="1" xfId="28" applyNumberFormat="1" applyFont="1" applyFill="1" applyBorder="1" applyAlignment="1">
      <alignment horizontal="left" vertical="center"/>
    </xf>
    <xf numFmtId="177" fontId="7" fillId="0" borderId="1" xfId="28" applyNumberFormat="1" applyFont="1" applyFill="1" applyBorder="1" applyAlignment="1">
      <alignment horizontal="left" vertical="center"/>
    </xf>
    <xf numFmtId="0" fontId="28"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170" fontId="20" fillId="6" borderId="1" xfId="19" applyNumberFormat="1" applyFont="1" applyFill="1" applyBorder="1" applyAlignment="1">
      <alignment horizontal="left" vertical="center" wrapText="1"/>
    </xf>
    <xf numFmtId="4" fontId="3" fillId="4" borderId="3" xfId="0" applyNumberFormat="1" applyFont="1" applyFill="1" applyBorder="1" applyAlignment="1">
      <alignment horizontal="center" vertical="center" wrapText="1"/>
    </xf>
    <xf numFmtId="4" fontId="3" fillId="4" borderId="1" xfId="10" applyNumberFormat="1" applyFont="1" applyFill="1" applyBorder="1" applyAlignment="1">
      <alignment horizontal="center" vertical="center"/>
    </xf>
    <xf numFmtId="4" fontId="45" fillId="4" borderId="1" xfId="10" applyNumberFormat="1" applyFont="1" applyFill="1" applyBorder="1" applyAlignment="1">
      <alignment horizontal="center" vertical="center" wrapText="1"/>
    </xf>
    <xf numFmtId="4" fontId="45" fillId="4" borderId="4" xfId="10" applyNumberFormat="1" applyFont="1" applyFill="1" applyBorder="1" applyAlignment="1">
      <alignment horizontal="center" vertical="center"/>
    </xf>
    <xf numFmtId="4" fontId="3" fillId="4" borderId="1" xfId="0" applyNumberFormat="1" applyFont="1" applyFill="1" applyBorder="1" applyAlignment="1">
      <alignment horizontal="right" vertical="center"/>
    </xf>
    <xf numFmtId="4" fontId="3" fillId="4" borderId="1" xfId="10" applyNumberFormat="1" applyFont="1" applyFill="1" applyBorder="1" applyAlignment="1">
      <alignment horizontal="center" vertical="center" wrapText="1"/>
    </xf>
    <xf numFmtId="4" fontId="3" fillId="4" borderId="3" xfId="10" applyNumberFormat="1" applyFont="1" applyFill="1" applyBorder="1" applyAlignment="1">
      <alignment horizontal="center" vertical="center" wrapText="1"/>
    </xf>
    <xf numFmtId="186" fontId="3" fillId="4" borderId="1" xfId="10" applyNumberFormat="1" applyFont="1" applyFill="1" applyBorder="1" applyAlignment="1">
      <alignment horizontal="center" vertical="center"/>
    </xf>
    <xf numFmtId="4" fontId="3" fillId="4" borderId="4" xfId="10" applyNumberFormat="1" applyFont="1" applyFill="1" applyBorder="1" applyAlignment="1">
      <alignment horizontal="center" vertical="center" wrapText="1"/>
    </xf>
    <xf numFmtId="4" fontId="45" fillId="4" borderId="4" xfId="10" applyNumberFormat="1" applyFont="1" applyFill="1" applyBorder="1" applyAlignment="1">
      <alignment horizontal="center" vertical="center" wrapText="1"/>
    </xf>
    <xf numFmtId="0" fontId="16" fillId="5" borderId="2" xfId="16" applyFont="1" applyFill="1" applyBorder="1" applyAlignment="1">
      <alignment horizontal="center" vertical="center" textRotation="180" wrapText="1"/>
    </xf>
    <xf numFmtId="10" fontId="4" fillId="5" borderId="2" xfId="16" applyNumberFormat="1" applyFont="1" applyFill="1" applyBorder="1" applyAlignment="1">
      <alignment horizontal="center" vertical="center" wrapText="1"/>
    </xf>
    <xf numFmtId="0" fontId="2" fillId="5" borderId="2" xfId="16" applyFont="1" applyFill="1" applyBorder="1" applyAlignment="1">
      <alignment horizontal="center" vertical="center" wrapText="1"/>
    </xf>
    <xf numFmtId="0" fontId="16" fillId="0" borderId="1" xfId="16" applyFont="1" applyFill="1" applyBorder="1" applyAlignment="1">
      <alignment horizontal="center" vertical="center" wrapText="1"/>
    </xf>
    <xf numFmtId="0" fontId="16" fillId="0" borderId="1" xfId="16" applyFont="1" applyFill="1" applyBorder="1" applyAlignment="1">
      <alignment horizontal="center" vertical="top" wrapText="1"/>
    </xf>
    <xf numFmtId="0" fontId="2" fillId="0" borderId="1" xfId="0" applyFont="1" applyFill="1" applyBorder="1" applyAlignment="1" applyProtection="1">
      <alignment vertical="top" wrapText="1"/>
      <protection locked="0"/>
    </xf>
    <xf numFmtId="0" fontId="16" fillId="0" borderId="1" xfId="16" applyFont="1" applyFill="1" applyBorder="1" applyAlignment="1">
      <alignment vertical="top" textRotation="180" wrapText="1"/>
    </xf>
    <xf numFmtId="0" fontId="16" fillId="0" borderId="1" xfId="16" applyFont="1" applyFill="1" applyBorder="1" applyAlignment="1">
      <alignment horizontal="center" vertical="top" textRotation="180" wrapText="1"/>
    </xf>
    <xf numFmtId="0" fontId="0" fillId="12" borderId="0" xfId="0" applyFill="1"/>
    <xf numFmtId="0" fontId="4" fillId="0" borderId="4" xfId="16" applyNumberFormat="1" applyFont="1" applyFill="1" applyBorder="1" applyAlignment="1">
      <alignment vertical="top" wrapText="1"/>
    </xf>
    <xf numFmtId="0" fontId="16" fillId="0" borderId="4" xfId="16" applyFont="1" applyFill="1" applyBorder="1" applyAlignment="1">
      <alignment horizontal="center" vertical="center" wrapText="1"/>
    </xf>
    <xf numFmtId="0" fontId="16" fillId="0" borderId="4" xfId="16" applyFont="1" applyFill="1" applyBorder="1" applyAlignment="1">
      <alignment horizontal="center" vertical="top" textRotation="180" wrapText="1"/>
    </xf>
    <xf numFmtId="0" fontId="2" fillId="4" borderId="42" xfId="16" applyFont="1" applyFill="1" applyBorder="1" applyAlignment="1">
      <alignment horizontal="center" vertical="center" wrapText="1"/>
    </xf>
    <xf numFmtId="10" fontId="31" fillId="0" borderId="1" xfId="16" applyNumberFormat="1" applyFont="1" applyFill="1" applyBorder="1" applyAlignment="1">
      <alignment horizontal="center" vertical="center" wrapText="1"/>
    </xf>
    <xf numFmtId="10" fontId="31" fillId="10" borderId="1" xfId="16" applyNumberFormat="1" applyFont="1" applyFill="1" applyBorder="1" applyAlignment="1">
      <alignment vertical="center" wrapText="1"/>
    </xf>
    <xf numFmtId="10" fontId="31" fillId="0" borderId="1" xfId="21" applyNumberFormat="1" applyFont="1" applyFill="1" applyBorder="1" applyAlignment="1">
      <alignment vertical="center" wrapText="1"/>
    </xf>
    <xf numFmtId="10" fontId="31" fillId="0" borderId="2" xfId="16" applyNumberFormat="1" applyFont="1" applyFill="1" applyBorder="1" applyAlignment="1">
      <alignment vertical="center" wrapText="1"/>
    </xf>
    <xf numFmtId="0" fontId="16" fillId="10" borderId="1" xfId="16" applyFont="1" applyFill="1" applyBorder="1" applyAlignment="1">
      <alignment horizontal="center" vertical="center" wrapText="1"/>
    </xf>
    <xf numFmtId="0" fontId="16" fillId="10" borderId="1" xfId="16" applyFont="1" applyFill="1" applyBorder="1" applyAlignment="1">
      <alignment vertical="top" wrapText="1"/>
    </xf>
    <xf numFmtId="0" fontId="16" fillId="10" borderId="3" xfId="16"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10" fontId="24" fillId="0" borderId="3" xfId="21" applyNumberFormat="1" applyFont="1" applyFill="1" applyBorder="1" applyAlignment="1">
      <alignment horizontal="center" vertical="center"/>
    </xf>
    <xf numFmtId="10" fontId="24" fillId="0" borderId="1" xfId="21" applyNumberFormat="1" applyFont="1" applyFill="1" applyBorder="1" applyAlignment="1">
      <alignment horizontal="center" vertical="center"/>
    </xf>
    <xf numFmtId="0" fontId="29" fillId="0" borderId="7" xfId="0" applyFont="1" applyFill="1" applyBorder="1" applyAlignment="1">
      <alignment horizontal="center" vertical="center"/>
    </xf>
    <xf numFmtId="0" fontId="29" fillId="0" borderId="1" xfId="0" applyFont="1" applyFill="1" applyBorder="1" applyAlignment="1">
      <alignment horizontal="center" vertical="center"/>
    </xf>
    <xf numFmtId="37" fontId="29" fillId="0" borderId="1" xfId="9" applyNumberFormat="1" applyFont="1" applyFill="1" applyBorder="1" applyAlignment="1">
      <alignment horizontal="center" vertical="center"/>
    </xf>
    <xf numFmtId="37" fontId="45" fillId="0" borderId="4" xfId="10" applyNumberFormat="1" applyFont="1" applyFill="1" applyBorder="1" applyAlignment="1">
      <alignment horizontal="center" vertical="center"/>
    </xf>
    <xf numFmtId="10" fontId="24" fillId="0" borderId="2" xfId="21" applyNumberFormat="1" applyFont="1" applyFill="1" applyBorder="1" applyAlignment="1">
      <alignment horizontal="center" vertical="center"/>
    </xf>
    <xf numFmtId="4" fontId="3" fillId="0" borderId="3" xfId="0" applyNumberFormat="1" applyFont="1" applyFill="1" applyBorder="1" applyAlignment="1">
      <alignment horizontal="center" vertical="center" wrapText="1"/>
    </xf>
    <xf numFmtId="10" fontId="33" fillId="0" borderId="3" xfId="21" applyNumberFormat="1" applyFont="1" applyFill="1" applyBorder="1" applyAlignment="1">
      <alignment horizontal="center" vertical="center"/>
    </xf>
    <xf numFmtId="10" fontId="48" fillId="0" borderId="3" xfId="21" applyNumberFormat="1" applyFont="1" applyFill="1" applyBorder="1" applyAlignment="1">
      <alignment horizontal="center" vertical="center"/>
    </xf>
    <xf numFmtId="4" fontId="3" fillId="0" borderId="1" xfId="0" applyNumberFormat="1" applyFont="1" applyFill="1" applyBorder="1" applyAlignment="1">
      <alignment horizontal="center" vertical="center" wrapText="1"/>
    </xf>
    <xf numFmtId="10" fontId="33" fillId="0" borderId="1" xfId="21" applyNumberFormat="1" applyFont="1" applyFill="1" applyBorder="1" applyAlignment="1">
      <alignment horizontal="center" vertical="center"/>
    </xf>
    <xf numFmtId="10" fontId="48" fillId="0" borderId="1" xfId="21" applyNumberFormat="1" applyFont="1" applyFill="1" applyBorder="1" applyAlignment="1">
      <alignment horizontal="center" vertical="center"/>
    </xf>
    <xf numFmtId="0" fontId="3" fillId="0" borderId="7" xfId="0" applyFont="1" applyFill="1" applyBorder="1" applyAlignment="1">
      <alignment horizontal="center" vertical="center"/>
    </xf>
    <xf numFmtId="0" fontId="3" fillId="0" borderId="1" xfId="0" applyFont="1" applyFill="1" applyBorder="1" applyAlignment="1">
      <alignment horizontal="center" vertical="center"/>
    </xf>
    <xf numFmtId="174" fontId="3" fillId="0" borderId="1" xfId="3" applyNumberFormat="1" applyFont="1" applyFill="1" applyBorder="1" applyAlignment="1">
      <alignment horizontal="center" vertical="center"/>
    </xf>
    <xf numFmtId="174" fontId="3" fillId="0" borderId="1" xfId="0" applyNumberFormat="1" applyFont="1" applyFill="1" applyBorder="1" applyAlignment="1">
      <alignment horizontal="center" vertical="center"/>
    </xf>
    <xf numFmtId="37" fontId="3" fillId="0" borderId="1" xfId="10" applyNumberFormat="1" applyFont="1" applyFill="1" applyBorder="1" applyAlignment="1">
      <alignment horizontal="center" vertical="center"/>
    </xf>
    <xf numFmtId="37" fontId="3" fillId="0" borderId="1" xfId="9" applyNumberFormat="1" applyFont="1" applyFill="1" applyBorder="1" applyAlignment="1">
      <alignment horizontal="center" vertical="center"/>
    </xf>
    <xf numFmtId="167" fontId="3" fillId="0" borderId="1" xfId="3" applyFont="1" applyFill="1" applyBorder="1" applyAlignment="1">
      <alignment horizontal="center" vertical="center"/>
    </xf>
    <xf numFmtId="3" fontId="45" fillId="0" borderId="2" xfId="0" applyNumberFormat="1" applyFont="1" applyFill="1" applyBorder="1" applyAlignment="1">
      <alignment horizontal="center" vertical="center"/>
    </xf>
    <xf numFmtId="10" fontId="33" fillId="0" borderId="2" xfId="21" applyNumberFormat="1" applyFont="1" applyFill="1" applyBorder="1" applyAlignment="1">
      <alignment horizontal="center" vertical="center"/>
    </xf>
    <xf numFmtId="10" fontId="48" fillId="0" borderId="2" xfId="21" applyNumberFormat="1" applyFont="1" applyFill="1" applyBorder="1" applyAlignment="1">
      <alignment horizontal="center" vertical="center"/>
    </xf>
    <xf numFmtId="3" fontId="3" fillId="0" borderId="56" xfId="0" applyNumberFormat="1" applyFont="1" applyFill="1" applyBorder="1" applyAlignment="1">
      <alignment horizontal="center" vertical="center" wrapText="1"/>
    </xf>
    <xf numFmtId="3" fontId="46" fillId="0" borderId="40" xfId="0" applyNumberFormat="1" applyFont="1" applyFill="1" applyBorder="1" applyAlignment="1">
      <alignment horizontal="center" vertical="center"/>
    </xf>
    <xf numFmtId="4" fontId="3" fillId="0" borderId="41" xfId="0" applyNumberFormat="1" applyFont="1" applyFill="1" applyBorder="1" applyAlignment="1">
      <alignment horizontal="center" vertical="center" wrapText="1"/>
    </xf>
    <xf numFmtId="4" fontId="3" fillId="0" borderId="1" xfId="1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xf>
    <xf numFmtId="37" fontId="3" fillId="0" borderId="7" xfId="10" applyNumberFormat="1" applyFont="1" applyFill="1" applyBorder="1" applyAlignment="1">
      <alignment horizontal="center" vertical="center"/>
    </xf>
    <xf numFmtId="3" fontId="45" fillId="0" borderId="40" xfId="0" applyNumberFormat="1" applyFont="1" applyFill="1" applyBorder="1" applyAlignment="1">
      <alignment horizontal="center" vertical="center"/>
    </xf>
    <xf numFmtId="3" fontId="3" fillId="0" borderId="7" xfId="0" applyNumberFormat="1" applyFont="1" applyFill="1" applyBorder="1" applyAlignment="1">
      <alignment horizontal="center" vertical="center"/>
    </xf>
    <xf numFmtId="167" fontId="28" fillId="0" borderId="37" xfId="28" applyNumberFormat="1" applyFont="1" applyFill="1" applyBorder="1" applyAlignment="1">
      <alignment horizontal="left" vertical="center"/>
    </xf>
    <xf numFmtId="2" fontId="28" fillId="0" borderId="5" xfId="0" applyNumberFormat="1" applyFont="1" applyFill="1" applyBorder="1" applyAlignment="1">
      <alignment horizontal="center" vertical="center" wrapText="1"/>
    </xf>
    <xf numFmtId="167" fontId="28" fillId="0" borderId="51" xfId="28" applyNumberFormat="1" applyFont="1" applyFill="1" applyBorder="1" applyAlignment="1">
      <alignment horizontal="left" vertical="center"/>
    </xf>
    <xf numFmtId="0" fontId="29" fillId="0" borderId="41" xfId="0" applyFont="1" applyFill="1" applyBorder="1" applyAlignment="1">
      <alignment horizontal="center" vertical="center"/>
    </xf>
    <xf numFmtId="4" fontId="3" fillId="0" borderId="1" xfId="10" applyNumberFormat="1" applyFont="1" applyFill="1" applyBorder="1" applyAlignment="1">
      <alignment horizontal="center" vertical="center"/>
    </xf>
    <xf numFmtId="37" fontId="18" fillId="0" borderId="7" xfId="10"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0" fontId="29" fillId="0" borderId="1" xfId="0" applyFont="1" applyFill="1" applyBorder="1" applyAlignment="1">
      <alignment horizontal="right" vertical="center"/>
    </xf>
    <xf numFmtId="4" fontId="3" fillId="0" borderId="1" xfId="0" applyNumberFormat="1" applyFont="1" applyFill="1" applyBorder="1" applyAlignment="1">
      <alignment horizontal="right" vertical="center"/>
    </xf>
    <xf numFmtId="171" fontId="29" fillId="0" borderId="1" xfId="0" applyNumberFormat="1" applyFont="1" applyFill="1" applyBorder="1" applyAlignment="1">
      <alignment horizontal="right" vertical="center"/>
    </xf>
    <xf numFmtId="3" fontId="29" fillId="0" borderId="1" xfId="10" applyNumberFormat="1" applyFont="1" applyFill="1" applyBorder="1" applyAlignment="1">
      <alignment horizontal="center" vertical="center" wrapText="1"/>
    </xf>
    <xf numFmtId="37" fontId="46" fillId="0" borderId="40" xfId="10" applyNumberFormat="1" applyFont="1" applyFill="1" applyBorder="1" applyAlignment="1">
      <alignment horizontal="center" vertical="center"/>
    </xf>
    <xf numFmtId="37" fontId="30" fillId="0" borderId="2" xfId="9" applyNumberFormat="1" applyFont="1" applyFill="1" applyBorder="1" applyAlignment="1">
      <alignment horizontal="center" vertical="center"/>
    </xf>
    <xf numFmtId="167" fontId="5" fillId="0" borderId="21" xfId="28" applyNumberFormat="1" applyFont="1" applyFill="1" applyBorder="1" applyAlignment="1">
      <alignment horizontal="left" vertical="center"/>
    </xf>
    <xf numFmtId="0" fontId="5" fillId="0" borderId="1" xfId="0" applyFont="1" applyFill="1" applyBorder="1" applyAlignment="1">
      <alignment horizontal="center" vertical="center" wrapText="1"/>
    </xf>
    <xf numFmtId="2" fontId="3" fillId="0" borderId="3" xfId="0" applyNumberFormat="1" applyFont="1" applyFill="1" applyBorder="1" applyAlignment="1">
      <alignment horizontal="center" vertical="center"/>
    </xf>
    <xf numFmtId="37" fontId="18" fillId="0" borderId="1" xfId="10" applyNumberFormat="1" applyFont="1" applyFill="1" applyBorder="1" applyAlignment="1">
      <alignment horizontal="center" vertical="center"/>
    </xf>
    <xf numFmtId="171" fontId="3" fillId="0" borderId="7" xfId="24" applyNumberFormat="1" applyFont="1" applyFill="1" applyBorder="1" applyAlignment="1">
      <alignment horizontal="center" vertical="center" wrapText="1"/>
    </xf>
    <xf numFmtId="187" fontId="3" fillId="0" borderId="1" xfId="10" applyNumberFormat="1" applyFont="1" applyFill="1" applyBorder="1" applyAlignment="1">
      <alignment horizontal="center" vertical="center"/>
    </xf>
    <xf numFmtId="3" fontId="18" fillId="0" borderId="7" xfId="0" applyNumberFormat="1" applyFont="1" applyFill="1" applyBorder="1" applyAlignment="1">
      <alignment horizontal="center" vertical="center"/>
    </xf>
    <xf numFmtId="2" fontId="47" fillId="0" borderId="7" xfId="0" applyNumberFormat="1" applyFont="1" applyFill="1" applyBorder="1" applyAlignment="1">
      <alignment horizontal="center" vertical="center" wrapText="1"/>
    </xf>
    <xf numFmtId="4" fontId="45" fillId="0" borderId="4" xfId="10" applyNumberFormat="1" applyFont="1" applyFill="1" applyBorder="1" applyAlignment="1">
      <alignment horizontal="center" vertical="center"/>
    </xf>
    <xf numFmtId="2" fontId="3" fillId="0" borderId="41" xfId="0" applyNumberFormat="1" applyFont="1" applyFill="1" applyBorder="1" applyAlignment="1">
      <alignment horizontal="center" vertical="center"/>
    </xf>
    <xf numFmtId="0" fontId="3" fillId="0" borderId="1" xfId="0" applyFont="1" applyFill="1" applyBorder="1" applyAlignment="1">
      <alignment horizontal="right" vertical="center"/>
    </xf>
    <xf numFmtId="2" fontId="3" fillId="0" borderId="7" xfId="0"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171" fontId="3" fillId="0" borderId="1" xfId="0" applyNumberFormat="1" applyFont="1" applyFill="1" applyBorder="1" applyAlignment="1">
      <alignment horizontal="right" vertical="center"/>
    </xf>
    <xf numFmtId="3" fontId="3" fillId="0" borderId="1" xfId="10" applyNumberFormat="1" applyFont="1" applyFill="1" applyBorder="1" applyAlignment="1">
      <alignment horizontal="center" vertical="center" wrapText="1"/>
    </xf>
    <xf numFmtId="178" fontId="3" fillId="0" borderId="1" xfId="1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37" fontId="45" fillId="0" borderId="2" xfId="9" applyNumberFormat="1" applyFont="1" applyFill="1" applyBorder="1" applyAlignment="1">
      <alignment horizontal="center" vertical="center"/>
    </xf>
    <xf numFmtId="2" fontId="3" fillId="0" borderId="41" xfId="0" applyNumberFormat="1" applyFont="1" applyFill="1" applyBorder="1" applyAlignment="1">
      <alignment horizontal="center" vertical="center" wrapText="1"/>
    </xf>
    <xf numFmtId="10" fontId="33" fillId="0" borderId="3" xfId="29" applyNumberFormat="1" applyFont="1" applyFill="1" applyBorder="1" applyAlignment="1">
      <alignment horizontal="center" vertical="center"/>
    </xf>
    <xf numFmtId="2" fontId="3" fillId="0" borderId="7" xfId="0" applyNumberFormat="1" applyFont="1" applyFill="1" applyBorder="1" applyAlignment="1">
      <alignment horizontal="center" vertical="center" wrapText="1"/>
    </xf>
    <xf numFmtId="4" fontId="3" fillId="0" borderId="1" xfId="28" applyNumberFormat="1" applyFont="1" applyFill="1" applyBorder="1" applyAlignment="1">
      <alignment horizontal="right" vertical="center"/>
    </xf>
    <xf numFmtId="167" fontId="33" fillId="0" borderId="7" xfId="28" applyFont="1" applyFill="1" applyBorder="1" applyAlignment="1">
      <alignment horizontal="center" vertical="center"/>
    </xf>
    <xf numFmtId="165" fontId="3" fillId="0" borderId="1" xfId="4" applyFont="1" applyFill="1" applyBorder="1" applyAlignment="1">
      <alignment horizontal="center" vertical="center"/>
    </xf>
    <xf numFmtId="187" fontId="3" fillId="0" borderId="1" xfId="0" applyNumberFormat="1" applyFont="1" applyFill="1" applyBorder="1" applyAlignment="1">
      <alignment horizontal="right" vertical="center"/>
    </xf>
    <xf numFmtId="2" fontId="5" fillId="0" borderId="1" xfId="0" applyNumberFormat="1" applyFont="1" applyFill="1" applyBorder="1" applyAlignment="1">
      <alignment horizontal="center" vertical="center" wrapText="1"/>
    </xf>
    <xf numFmtId="37" fontId="30" fillId="0" borderId="1" xfId="9" applyNumberFormat="1" applyFont="1" applyFill="1" applyBorder="1" applyAlignment="1">
      <alignment horizontal="center" vertical="center"/>
    </xf>
    <xf numFmtId="4" fontId="3" fillId="0" borderId="4" xfId="10" applyNumberFormat="1" applyFont="1" applyFill="1" applyBorder="1" applyAlignment="1">
      <alignment horizontal="center" vertical="center" wrapText="1"/>
    </xf>
    <xf numFmtId="3" fontId="29" fillId="0" borderId="4" xfId="10" applyNumberFormat="1" applyFont="1" applyFill="1" applyBorder="1" applyAlignment="1">
      <alignment horizontal="center" vertical="center" wrapText="1"/>
    </xf>
    <xf numFmtId="37" fontId="30" fillId="0" borderId="4" xfId="9" applyNumberFormat="1" applyFont="1" applyFill="1" applyBorder="1" applyAlignment="1">
      <alignment horizontal="center" vertical="center"/>
    </xf>
    <xf numFmtId="0" fontId="29" fillId="0" borderId="57" xfId="0" applyFont="1" applyFill="1" applyBorder="1" applyAlignment="1">
      <alignment horizontal="center" vertical="center"/>
    </xf>
    <xf numFmtId="1" fontId="29" fillId="0" borderId="3" xfId="0" applyNumberFormat="1" applyFont="1" applyFill="1" applyBorder="1" applyAlignment="1">
      <alignment horizontal="center" vertical="center" wrapText="1"/>
    </xf>
    <xf numFmtId="2" fontId="29" fillId="0" borderId="3" xfId="0" applyNumberFormat="1" applyFont="1" applyFill="1" applyBorder="1" applyAlignment="1">
      <alignment horizontal="center" vertical="center"/>
    </xf>
    <xf numFmtId="174" fontId="3" fillId="0" borderId="7" xfId="28" applyNumberFormat="1" applyFont="1" applyFill="1" applyBorder="1" applyAlignment="1">
      <alignment horizontal="center" vertical="center"/>
    </xf>
    <xf numFmtId="9" fontId="3" fillId="0" borderId="41" xfId="21" applyFont="1" applyFill="1" applyBorder="1" applyAlignment="1">
      <alignment horizontal="center" vertical="center"/>
    </xf>
    <xf numFmtId="1" fontId="3" fillId="0" borderId="7" xfId="0" applyNumberFormat="1" applyFont="1" applyFill="1" applyBorder="1" applyAlignment="1">
      <alignment horizontal="center" vertical="center"/>
    </xf>
    <xf numFmtId="1" fontId="18" fillId="0" borderId="7" xfId="0" applyNumberFormat="1" applyFont="1" applyFill="1" applyBorder="1" applyAlignment="1">
      <alignment horizontal="center" vertical="center"/>
    </xf>
    <xf numFmtId="1" fontId="3" fillId="0" borderId="40" xfId="0" applyNumberFormat="1" applyFont="1" applyFill="1" applyBorder="1" applyAlignment="1">
      <alignment horizontal="center" vertical="center"/>
    </xf>
    <xf numFmtId="175" fontId="29" fillId="0" borderId="1" xfId="4" applyNumberFormat="1" applyFont="1" applyFill="1" applyBorder="1" applyAlignment="1">
      <alignment horizontal="center" vertical="center"/>
    </xf>
    <xf numFmtId="3" fontId="18" fillId="0" borderId="1" xfId="0" applyNumberFormat="1" applyFont="1" applyFill="1" applyBorder="1" applyAlignment="1">
      <alignment horizontal="right" vertical="center"/>
    </xf>
    <xf numFmtId="4" fontId="3" fillId="0" borderId="5" xfId="0" applyNumberFormat="1" applyFont="1" applyFill="1" applyBorder="1" applyAlignment="1">
      <alignment horizontal="center" vertical="center" wrapText="1"/>
    </xf>
    <xf numFmtId="2" fontId="3" fillId="0" borderId="5" xfId="0" applyNumberFormat="1" applyFont="1" applyFill="1" applyBorder="1" applyAlignment="1">
      <alignment horizontal="center" vertical="center"/>
    </xf>
    <xf numFmtId="174" fontId="18" fillId="0" borderId="7" xfId="28" applyNumberFormat="1" applyFont="1" applyFill="1" applyBorder="1" applyAlignment="1">
      <alignment horizontal="right" vertical="center"/>
    </xf>
    <xf numFmtId="171" fontId="29" fillId="0" borderId="1" xfId="24" applyNumberFormat="1" applyFont="1" applyFill="1" applyBorder="1" applyAlignment="1">
      <alignment horizontal="center" vertical="center" wrapText="1"/>
    </xf>
    <xf numFmtId="4" fontId="45" fillId="0" borderId="2" xfId="10" applyNumberFormat="1" applyFont="1" applyFill="1" applyBorder="1" applyAlignment="1">
      <alignment horizontal="center" vertical="center"/>
    </xf>
    <xf numFmtId="2" fontId="47" fillId="0" borderId="41" xfId="0" applyNumberFormat="1" applyFont="1" applyFill="1" applyBorder="1" applyAlignment="1">
      <alignment horizontal="center" vertical="center" wrapText="1"/>
    </xf>
    <xf numFmtId="1" fontId="47" fillId="0" borderId="41" xfId="0" applyNumberFormat="1" applyFont="1" applyFill="1" applyBorder="1" applyAlignment="1">
      <alignment horizontal="center" vertical="center" wrapText="1"/>
    </xf>
    <xf numFmtId="3" fontId="29" fillId="0" borderId="7" xfId="0" applyNumberFormat="1" applyFont="1" applyFill="1" applyBorder="1" applyAlignment="1">
      <alignment horizontal="center" vertical="center"/>
    </xf>
    <xf numFmtId="4" fontId="3" fillId="0" borderId="4" xfId="0" applyNumberFormat="1" applyFont="1" applyFill="1" applyBorder="1" applyAlignment="1">
      <alignment horizontal="center" vertical="center"/>
    </xf>
    <xf numFmtId="37" fontId="29" fillId="0" borderId="2" xfId="0" applyNumberFormat="1" applyFont="1" applyFill="1" applyBorder="1" applyAlignment="1">
      <alignment horizontal="center" vertical="center"/>
    </xf>
    <xf numFmtId="3" fontId="46" fillId="0" borderId="57" xfId="0" applyNumberFormat="1" applyFont="1" applyFill="1" applyBorder="1" applyAlignment="1">
      <alignment horizontal="center" vertical="center"/>
    </xf>
    <xf numFmtId="4" fontId="45" fillId="0" borderId="4" xfId="10" applyNumberFormat="1" applyFont="1" applyFill="1" applyBorder="1" applyAlignment="1">
      <alignment horizontal="center" vertical="center" wrapText="1"/>
    </xf>
    <xf numFmtId="10" fontId="2" fillId="5" borderId="21" xfId="16" applyNumberFormat="1" applyFont="1" applyFill="1" applyBorder="1" applyAlignment="1">
      <alignment horizontal="center" vertical="center" wrapText="1"/>
    </xf>
    <xf numFmtId="10" fontId="2" fillId="5" borderId="20" xfId="16" applyNumberFormat="1" applyFont="1" applyFill="1" applyBorder="1" applyAlignment="1">
      <alignment horizontal="center" vertical="center" wrapText="1"/>
    </xf>
    <xf numFmtId="0" fontId="2" fillId="5" borderId="59" xfId="16" applyFont="1" applyFill="1" applyBorder="1" applyAlignment="1">
      <alignment horizontal="center" vertical="center" wrapText="1"/>
    </xf>
    <xf numFmtId="0" fontId="20" fillId="6" borderId="3" xfId="19" applyFont="1" applyFill="1" applyBorder="1" applyAlignment="1">
      <alignment horizontal="left" vertical="center" wrapText="1"/>
    </xf>
    <xf numFmtId="170" fontId="20" fillId="6" borderId="4" xfId="19" applyNumberFormat="1" applyFont="1" applyFill="1" applyBorder="1" applyAlignment="1">
      <alignment horizontal="left" vertical="center" wrapText="1"/>
    </xf>
    <xf numFmtId="0" fontId="20" fillId="6" borderId="5" xfId="19" applyFont="1" applyFill="1" applyBorder="1" applyAlignment="1">
      <alignment horizontal="left" vertical="center" wrapText="1"/>
    </xf>
    <xf numFmtId="170" fontId="20" fillId="6" borderId="2" xfId="19" applyNumberFormat="1" applyFont="1" applyFill="1" applyBorder="1" applyAlignment="1">
      <alignment horizontal="left" vertical="center" wrapText="1"/>
    </xf>
    <xf numFmtId="0" fontId="20" fillId="6" borderId="1" xfId="19" applyFont="1" applyFill="1" applyBorder="1" applyAlignment="1">
      <alignment horizontal="left" vertical="center" wrapText="1"/>
    </xf>
    <xf numFmtId="189" fontId="20" fillId="0" borderId="2" xfId="26" applyNumberFormat="1" applyFont="1" applyFill="1" applyBorder="1" applyAlignment="1">
      <alignment horizontal="right" vertical="center"/>
    </xf>
    <xf numFmtId="3" fontId="20" fillId="0" borderId="2" xfId="0" applyNumberFormat="1" applyFont="1" applyFill="1" applyBorder="1" applyAlignment="1">
      <alignment horizontal="center" vertical="center"/>
    </xf>
    <xf numFmtId="9" fontId="20" fillId="0" borderId="1" xfId="21" applyFont="1" applyFill="1" applyBorder="1" applyAlignment="1">
      <alignment horizontal="right" vertical="center"/>
    </xf>
    <xf numFmtId="174" fontId="12" fillId="0" borderId="1" xfId="28" applyNumberFormat="1" applyFont="1" applyFill="1" applyBorder="1" applyAlignment="1">
      <alignment vertical="center"/>
    </xf>
    <xf numFmtId="2" fontId="20" fillId="0" borderId="3" xfId="26" applyNumberFormat="1" applyFont="1" applyFill="1" applyBorder="1" applyAlignment="1">
      <alignment horizontal="center" vertical="center" wrapText="1"/>
    </xf>
    <xf numFmtId="180" fontId="20" fillId="0" borderId="4" xfId="26" applyNumberFormat="1" applyFont="1" applyFill="1" applyBorder="1" applyAlignment="1">
      <alignment horizontal="right" vertical="center"/>
    </xf>
    <xf numFmtId="183" fontId="20" fillId="0" borderId="1" xfId="10" applyNumberFormat="1" applyFont="1" applyFill="1" applyBorder="1" applyAlignment="1">
      <alignment horizontal="right" vertical="center" wrapText="1"/>
    </xf>
    <xf numFmtId="39" fontId="12" fillId="0" borderId="1" xfId="24" applyNumberFormat="1" applyFont="1" applyFill="1" applyBorder="1" applyAlignment="1">
      <alignment horizontal="right" vertical="center" wrapText="1"/>
    </xf>
    <xf numFmtId="183" fontId="12" fillId="0" borderId="4" xfId="24" applyNumberFormat="1" applyFont="1" applyFill="1" applyBorder="1" applyAlignment="1">
      <alignment horizontal="right" vertical="center" wrapText="1"/>
    </xf>
    <xf numFmtId="167" fontId="35" fillId="0" borderId="1" xfId="28" applyFont="1" applyFill="1" applyBorder="1" applyAlignment="1">
      <alignment horizontal="right" vertical="center" wrapText="1"/>
    </xf>
    <xf numFmtId="167" fontId="12" fillId="0" borderId="1" xfId="28" applyNumberFormat="1" applyFont="1" applyFill="1" applyBorder="1" applyAlignment="1">
      <alignment horizontal="right" vertical="center"/>
    </xf>
    <xf numFmtId="0" fontId="20" fillId="6" borderId="15" xfId="19" applyFont="1" applyFill="1" applyBorder="1" applyAlignment="1">
      <alignment vertical="center" wrapText="1"/>
    </xf>
    <xf numFmtId="170" fontId="20" fillId="6" borderId="3" xfId="19" applyNumberFormat="1" applyFont="1" applyFill="1" applyBorder="1" applyAlignment="1">
      <alignment horizontal="left" vertical="center" wrapText="1"/>
    </xf>
    <xf numFmtId="183" fontId="20" fillId="6" borderId="3" xfId="5" applyNumberFormat="1" applyFont="1" applyFill="1" applyBorder="1" applyAlignment="1">
      <alignment vertical="center" wrapText="1"/>
    </xf>
    <xf numFmtId="183" fontId="20" fillId="6" borderId="5" xfId="5" applyNumberFormat="1" applyFont="1" applyFill="1" applyBorder="1" applyAlignment="1">
      <alignment vertical="center" wrapText="1"/>
    </xf>
    <xf numFmtId="183" fontId="20" fillId="6" borderId="1" xfId="5" applyNumberFormat="1" applyFont="1" applyFill="1" applyBorder="1" applyAlignment="1">
      <alignment vertical="center" wrapText="1"/>
    </xf>
    <xf numFmtId="183" fontId="20" fillId="11" borderId="1" xfId="5" applyNumberFormat="1" applyFont="1" applyFill="1" applyBorder="1" applyAlignment="1">
      <alignment vertical="center" wrapText="1"/>
    </xf>
    <xf numFmtId="3" fontId="20" fillId="6" borderId="1" xfId="26" applyNumberFormat="1" applyFont="1" applyFill="1" applyBorder="1" applyAlignment="1">
      <alignment horizontal="center" vertical="center" wrapText="1"/>
    </xf>
    <xf numFmtId="0" fontId="25" fillId="6" borderId="1" xfId="0" applyFont="1" applyFill="1" applyBorder="1" applyAlignment="1">
      <alignment horizontal="center" vertical="center" wrapText="1"/>
    </xf>
    <xf numFmtId="1" fontId="25" fillId="6" borderId="1" xfId="0" applyNumberFormat="1" applyFont="1" applyFill="1" applyBorder="1" applyAlignment="1">
      <alignment horizontal="center" vertical="center" wrapText="1"/>
    </xf>
    <xf numFmtId="3" fontId="12" fillId="6" borderId="1" xfId="26" applyNumberFormat="1" applyFont="1" applyFill="1" applyBorder="1" applyAlignment="1">
      <alignment horizontal="center" vertical="center" wrapText="1"/>
    </xf>
    <xf numFmtId="1" fontId="25" fillId="6" borderId="11" xfId="0" applyNumberFormat="1" applyFont="1" applyFill="1" applyBorder="1" applyAlignment="1">
      <alignment horizontal="center" vertical="center" wrapText="1"/>
    </xf>
    <xf numFmtId="0" fontId="5" fillId="6" borderId="0" xfId="0" applyFont="1" applyFill="1" applyBorder="1" applyAlignment="1">
      <alignment horizontal="center"/>
    </xf>
    <xf numFmtId="165" fontId="12" fillId="11" borderId="1" xfId="19" applyNumberFormat="1" applyFont="1" applyFill="1" applyBorder="1" applyAlignment="1">
      <alignment horizontal="center" vertical="center"/>
    </xf>
    <xf numFmtId="0" fontId="12" fillId="11" borderId="0" xfId="19" applyFont="1" applyFill="1"/>
    <xf numFmtId="0" fontId="16" fillId="6" borderId="2" xfId="19" applyFont="1" applyFill="1" applyBorder="1" applyAlignment="1">
      <alignment horizontal="center" vertical="center" wrapText="1"/>
    </xf>
    <xf numFmtId="1" fontId="25" fillId="0" borderId="11" xfId="0" applyNumberFormat="1" applyFont="1" applyFill="1" applyBorder="1" applyAlignment="1">
      <alignment horizontal="center" vertical="center" wrapText="1"/>
    </xf>
    <xf numFmtId="3" fontId="12" fillId="0" borderId="11" xfId="26" applyNumberFormat="1" applyFont="1" applyFill="1" applyBorder="1" applyAlignment="1">
      <alignment horizontal="center" vertical="center" wrapText="1"/>
    </xf>
    <xf numFmtId="0" fontId="16" fillId="6" borderId="3" xfId="19" applyFont="1" applyFill="1" applyBorder="1" applyAlignment="1">
      <alignment horizontal="center" vertical="center" wrapText="1"/>
    </xf>
    <xf numFmtId="3" fontId="12" fillId="0" borderId="1" xfId="26" applyNumberFormat="1" applyFont="1" applyFill="1" applyBorder="1" applyAlignment="1">
      <alignment horizontal="center" vertical="center" wrapText="1"/>
    </xf>
    <xf numFmtId="1" fontId="25"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3" fontId="12" fillId="0" borderId="4" xfId="26" applyNumberFormat="1" applyFont="1" applyFill="1" applyBorder="1" applyAlignment="1">
      <alignment horizontal="center" vertical="center" wrapText="1"/>
    </xf>
    <xf numFmtId="3" fontId="20" fillId="0" borderId="1" xfId="26" applyNumberFormat="1" applyFont="1" applyFill="1" applyBorder="1" applyAlignment="1">
      <alignment horizontal="center" vertical="center" wrapText="1"/>
    </xf>
    <xf numFmtId="0" fontId="20" fillId="0" borderId="1" xfId="26" applyFont="1" applyFill="1" applyBorder="1" applyAlignment="1">
      <alignment horizontal="center" vertical="center" wrapText="1"/>
    </xf>
    <xf numFmtId="170" fontId="20" fillId="0" borderId="1" xfId="26" applyNumberFormat="1" applyFont="1" applyFill="1" applyBorder="1" applyAlignment="1">
      <alignment horizontal="center" vertical="center" wrapText="1"/>
    </xf>
    <xf numFmtId="170" fontId="20" fillId="0" borderId="1" xfId="26" applyNumberFormat="1" applyFont="1" applyFill="1" applyBorder="1" applyAlignment="1">
      <alignment horizontal="center" vertical="center"/>
    </xf>
    <xf numFmtId="0" fontId="12" fillId="0" borderId="1" xfId="26" applyFont="1" applyFill="1" applyBorder="1" applyAlignment="1">
      <alignment horizontal="center" vertical="center" wrapText="1"/>
    </xf>
    <xf numFmtId="0" fontId="20" fillId="0" borderId="3" xfId="26" applyFont="1" applyFill="1" applyBorder="1" applyAlignment="1">
      <alignment horizontal="center" vertical="center" wrapText="1"/>
    </xf>
    <xf numFmtId="0" fontId="16" fillId="6" borderId="9" xfId="19" applyFont="1" applyFill="1" applyBorder="1" applyAlignment="1">
      <alignment horizontal="center" vertical="center" wrapText="1"/>
    </xf>
    <xf numFmtId="0" fontId="16" fillId="14" borderId="2" xfId="19" applyFont="1" applyFill="1" applyBorder="1" applyAlignment="1">
      <alignment horizontal="center" vertical="center" wrapText="1"/>
    </xf>
    <xf numFmtId="0" fontId="16" fillId="6" borderId="61" xfId="19" applyFont="1" applyFill="1" applyBorder="1" applyAlignment="1">
      <alignment horizontal="center" vertical="center" wrapText="1"/>
    </xf>
    <xf numFmtId="0" fontId="16" fillId="6" borderId="13" xfId="19" applyFont="1" applyFill="1" applyBorder="1" applyAlignment="1">
      <alignment horizontal="center" vertical="center"/>
    </xf>
    <xf numFmtId="0" fontId="16" fillId="6" borderId="20" xfId="19" applyFont="1" applyFill="1" applyBorder="1" applyAlignment="1">
      <alignment horizontal="center" vertical="center" wrapText="1"/>
    </xf>
    <xf numFmtId="3" fontId="20" fillId="0" borderId="14" xfId="19" applyNumberFormat="1" applyFont="1" applyFill="1" applyBorder="1" applyAlignment="1">
      <alignment horizontal="center" vertical="center" wrapText="1"/>
    </xf>
    <xf numFmtId="171" fontId="20" fillId="0" borderId="8" xfId="10" applyNumberFormat="1" applyFont="1" applyFill="1" applyBorder="1" applyAlignment="1">
      <alignment horizontal="center" vertical="center" wrapText="1"/>
    </xf>
    <xf numFmtId="3" fontId="20" fillId="0" borderId="8" xfId="19" applyNumberFormat="1" applyFont="1" applyFill="1" applyBorder="1" applyAlignment="1">
      <alignment horizontal="center" vertical="center" wrapText="1"/>
    </xf>
    <xf numFmtId="3" fontId="20" fillId="0" borderId="43" xfId="19" applyNumberFormat="1" applyFont="1" applyFill="1" applyBorder="1" applyAlignment="1">
      <alignment horizontal="center" vertical="center" wrapText="1"/>
    </xf>
    <xf numFmtId="188" fontId="20" fillId="0" borderId="4" xfId="10" applyNumberFormat="1" applyFont="1" applyFill="1" applyBorder="1" applyAlignment="1">
      <alignment horizontal="center" vertical="center" wrapText="1"/>
    </xf>
    <xf numFmtId="188" fontId="20" fillId="0" borderId="43" xfId="10" applyNumberFormat="1" applyFont="1" applyFill="1" applyBorder="1" applyAlignment="1">
      <alignment horizontal="center" vertical="center" wrapText="1"/>
    </xf>
    <xf numFmtId="2" fontId="20" fillId="0" borderId="14" xfId="26" applyNumberFormat="1" applyFont="1" applyFill="1" applyBorder="1" applyAlignment="1">
      <alignment horizontal="right" vertical="center" wrapText="1"/>
    </xf>
    <xf numFmtId="170" fontId="20" fillId="0" borderId="8" xfId="26" applyNumberFormat="1" applyFont="1" applyFill="1" applyBorder="1" applyAlignment="1">
      <alignment horizontal="right" vertical="center"/>
    </xf>
    <xf numFmtId="2" fontId="20" fillId="0" borderId="8" xfId="26" applyNumberFormat="1" applyFont="1" applyFill="1" applyBorder="1" applyAlignment="1">
      <alignment horizontal="right" vertical="center" wrapText="1"/>
    </xf>
    <xf numFmtId="2" fontId="20" fillId="0" borderId="1" xfId="26" applyNumberFormat="1" applyFont="1" applyFill="1" applyBorder="1" applyAlignment="1">
      <alignment horizontal="center" vertical="center" wrapText="1"/>
    </xf>
    <xf numFmtId="4" fontId="20" fillId="0" borderId="1" xfId="19" applyNumberFormat="1" applyFont="1" applyFill="1" applyBorder="1" applyAlignment="1">
      <alignment horizontal="center" vertical="center" wrapText="1"/>
    </xf>
    <xf numFmtId="0" fontId="20" fillId="0" borderId="8" xfId="26" applyFont="1" applyFill="1" applyBorder="1" applyAlignment="1">
      <alignment horizontal="right" vertical="center" wrapText="1"/>
    </xf>
    <xf numFmtId="171" fontId="40" fillId="0" borderId="8" xfId="24" applyNumberFormat="1" applyFont="1" applyFill="1" applyBorder="1" applyAlignment="1">
      <alignment horizontal="right" vertical="center"/>
    </xf>
    <xf numFmtId="171" fontId="40" fillId="0" borderId="1" xfId="24" applyNumberFormat="1" applyFont="1" applyFill="1" applyBorder="1" applyAlignment="1">
      <alignment horizontal="center" vertical="center"/>
    </xf>
    <xf numFmtId="170" fontId="40" fillId="0" borderId="8" xfId="27" applyNumberFormat="1" applyFont="1" applyFill="1" applyBorder="1" applyAlignment="1">
      <alignment horizontal="right" vertical="center"/>
    </xf>
    <xf numFmtId="170" fontId="40" fillId="0" borderId="1" xfId="27" applyNumberFormat="1" applyFont="1" applyFill="1" applyBorder="1" applyAlignment="1">
      <alignment horizontal="center" vertical="center"/>
    </xf>
    <xf numFmtId="167" fontId="20" fillId="0" borderId="8" xfId="28" applyNumberFormat="1" applyFont="1" applyFill="1" applyBorder="1" applyAlignment="1">
      <alignment horizontal="right" vertical="center"/>
    </xf>
    <xf numFmtId="167" fontId="20" fillId="0" borderId="1" xfId="28" applyNumberFormat="1" applyFont="1" applyFill="1" applyBorder="1" applyAlignment="1">
      <alignment horizontal="center" vertical="center"/>
    </xf>
    <xf numFmtId="180" fontId="20" fillId="0" borderId="43" xfId="26" applyNumberFormat="1" applyFont="1" applyFill="1" applyBorder="1" applyAlignment="1">
      <alignment horizontal="right" vertical="center"/>
    </xf>
    <xf numFmtId="180" fontId="20" fillId="0" borderId="4" xfId="26" applyNumberFormat="1" applyFont="1" applyFill="1" applyBorder="1" applyAlignment="1">
      <alignment horizontal="center" vertical="center"/>
    </xf>
    <xf numFmtId="171" fontId="20" fillId="0" borderId="8" xfId="26" applyNumberFormat="1" applyFont="1" applyFill="1" applyBorder="1" applyAlignment="1">
      <alignment horizontal="right" vertical="center" wrapText="1"/>
    </xf>
    <xf numFmtId="171" fontId="20" fillId="0" borderId="1" xfId="26" applyNumberFormat="1" applyFont="1" applyFill="1" applyBorder="1" applyAlignment="1">
      <alignment horizontal="center" vertical="center" wrapText="1"/>
    </xf>
    <xf numFmtId="189" fontId="20" fillId="0" borderId="34" xfId="26" applyNumberFormat="1" applyFont="1" applyFill="1" applyBorder="1" applyAlignment="1">
      <alignment horizontal="right" vertical="center"/>
    </xf>
    <xf numFmtId="189" fontId="20" fillId="0" borderId="2" xfId="26" applyNumberFormat="1" applyFont="1" applyFill="1" applyBorder="1" applyAlignment="1">
      <alignment horizontal="center" vertical="center"/>
    </xf>
    <xf numFmtId="2" fontId="12" fillId="0" borderId="3" xfId="26" applyNumberFormat="1" applyFont="1" applyFill="1" applyBorder="1" applyAlignment="1">
      <alignment horizontal="center" vertical="center" wrapText="1"/>
    </xf>
    <xf numFmtId="170" fontId="12" fillId="0" borderId="1" xfId="26" applyNumberFormat="1" applyFont="1" applyFill="1" applyBorder="1" applyAlignment="1">
      <alignment horizontal="center" vertical="center"/>
    </xf>
    <xf numFmtId="167" fontId="20" fillId="0" borderId="1" xfId="28" applyFont="1" applyFill="1" applyBorder="1" applyAlignment="1">
      <alignment horizontal="center" vertical="center"/>
    </xf>
    <xf numFmtId="1" fontId="12" fillId="0" borderId="1" xfId="26" applyNumberFormat="1" applyFont="1" applyFill="1" applyBorder="1" applyAlignment="1">
      <alignment horizontal="center" vertical="center" wrapText="1"/>
    </xf>
    <xf numFmtId="170" fontId="12" fillId="0" borderId="1" xfId="0" applyNumberFormat="1" applyFont="1" applyFill="1" applyBorder="1" applyAlignment="1">
      <alignment horizontal="center" vertical="center"/>
    </xf>
    <xf numFmtId="0" fontId="12" fillId="0" borderId="1" xfId="19" applyFont="1" applyFill="1" applyBorder="1" applyAlignment="1">
      <alignment horizontal="center" vertical="center"/>
    </xf>
    <xf numFmtId="170" fontId="20" fillId="0" borderId="1" xfId="0" applyNumberFormat="1" applyFont="1" applyFill="1" applyBorder="1" applyAlignment="1">
      <alignment horizontal="center" vertical="center"/>
    </xf>
    <xf numFmtId="2" fontId="12" fillId="0" borderId="1" xfId="26" applyNumberFormat="1" applyFont="1" applyFill="1" applyBorder="1" applyAlignment="1">
      <alignment horizontal="center" vertical="center" wrapText="1"/>
    </xf>
    <xf numFmtId="176" fontId="20" fillId="0" borderId="1" xfId="26" applyNumberFormat="1" applyFont="1" applyFill="1" applyBorder="1" applyAlignment="1">
      <alignment horizontal="center" vertical="center" wrapText="1"/>
    </xf>
    <xf numFmtId="0" fontId="12" fillId="0" borderId="1" xfId="26" applyFont="1" applyFill="1" applyBorder="1" applyAlignment="1">
      <alignment horizontal="center" vertical="center"/>
    </xf>
    <xf numFmtId="0" fontId="41" fillId="0" borderId="1" xfId="0" applyFont="1" applyFill="1" applyBorder="1" applyAlignment="1">
      <alignment horizontal="center" vertical="center"/>
    </xf>
    <xf numFmtId="180" fontId="20" fillId="0" borderId="1" xfId="26" applyNumberFormat="1" applyFont="1" applyFill="1" applyBorder="1" applyAlignment="1">
      <alignment horizontal="center" vertical="center"/>
    </xf>
    <xf numFmtId="177" fontId="20" fillId="0" borderId="1" xfId="28" applyNumberFormat="1" applyFont="1" applyFill="1" applyBorder="1" applyAlignment="1">
      <alignment horizontal="center" vertical="center"/>
    </xf>
    <xf numFmtId="4" fontId="28" fillId="0" borderId="1" xfId="0" applyNumberFormat="1" applyFont="1" applyFill="1" applyBorder="1" applyAlignment="1">
      <alignment horizontal="center" vertical="top" wrapText="1"/>
    </xf>
    <xf numFmtId="167" fontId="20" fillId="0" borderId="4" xfId="28" applyNumberFormat="1" applyFont="1" applyFill="1" applyBorder="1" applyAlignment="1">
      <alignment horizontal="center" vertical="center"/>
    </xf>
    <xf numFmtId="181" fontId="20" fillId="0" borderId="45" xfId="26" applyNumberFormat="1" applyFont="1" applyFill="1" applyBorder="1" applyAlignment="1">
      <alignment horizontal="right" vertical="center" wrapText="1"/>
    </xf>
    <xf numFmtId="181" fontId="20" fillId="0" borderId="5" xfId="26" applyNumberFormat="1" applyFont="1" applyFill="1" applyBorder="1" applyAlignment="1">
      <alignment horizontal="center" vertical="center" wrapText="1"/>
    </xf>
    <xf numFmtId="167" fontId="20" fillId="0" borderId="8" xfId="28" applyFont="1" applyFill="1" applyBorder="1" applyAlignment="1">
      <alignment horizontal="right" vertical="center"/>
    </xf>
    <xf numFmtId="170" fontId="20" fillId="0" borderId="43" xfId="26" applyNumberFormat="1" applyFont="1" applyFill="1" applyBorder="1" applyAlignment="1">
      <alignment horizontal="right" vertical="center"/>
    </xf>
    <xf numFmtId="181" fontId="20" fillId="0" borderId="3" xfId="26" applyNumberFormat="1" applyFont="1" applyFill="1" applyBorder="1" applyAlignment="1">
      <alignment horizontal="center" vertical="center" wrapText="1"/>
    </xf>
    <xf numFmtId="170" fontId="20" fillId="0" borderId="34" xfId="26" applyNumberFormat="1" applyFont="1" applyFill="1" applyBorder="1" applyAlignment="1">
      <alignment horizontal="right" vertical="center"/>
    </xf>
    <xf numFmtId="170" fontId="20" fillId="0" borderId="2" xfId="26" applyNumberFormat="1" applyFont="1" applyFill="1" applyBorder="1" applyAlignment="1">
      <alignment horizontal="center" vertical="center"/>
    </xf>
    <xf numFmtId="180" fontId="20" fillId="0" borderId="3" xfId="26" applyNumberFormat="1" applyFont="1" applyFill="1" applyBorder="1" applyAlignment="1">
      <alignment horizontal="right" vertical="center"/>
    </xf>
    <xf numFmtId="1" fontId="20" fillId="0" borderId="1" xfId="26" applyNumberFormat="1" applyFont="1" applyFill="1" applyBorder="1" applyAlignment="1">
      <alignment horizontal="center" vertical="center" wrapText="1"/>
    </xf>
    <xf numFmtId="174" fontId="20" fillId="0" borderId="1" xfId="28" applyNumberFormat="1" applyFont="1" applyFill="1" applyBorder="1" applyAlignment="1">
      <alignment horizontal="center" vertical="center" wrapText="1"/>
    </xf>
    <xf numFmtId="184" fontId="20" fillId="0" borderId="4" xfId="26" applyNumberFormat="1" applyFont="1" applyFill="1" applyBorder="1" applyAlignment="1">
      <alignment vertical="center"/>
    </xf>
    <xf numFmtId="184" fontId="20" fillId="0" borderId="4" xfId="26" applyNumberFormat="1" applyFont="1" applyFill="1" applyBorder="1" applyAlignment="1">
      <alignment horizontal="center" vertical="center"/>
    </xf>
    <xf numFmtId="182" fontId="20" fillId="0" borderId="1" xfId="26" applyNumberFormat="1" applyFont="1" applyFill="1" applyBorder="1" applyAlignment="1">
      <alignment horizontal="center" vertical="center"/>
    </xf>
    <xf numFmtId="183" fontId="20" fillId="0" borderId="1" xfId="10" applyNumberFormat="1" applyFont="1" applyFill="1" applyBorder="1" applyAlignment="1">
      <alignment horizontal="center" vertical="center" wrapText="1"/>
    </xf>
    <xf numFmtId="164" fontId="20" fillId="0" borderId="1" xfId="13" applyFont="1" applyFill="1" applyBorder="1" applyAlignment="1">
      <alignment horizontal="right" vertical="center"/>
    </xf>
    <xf numFmtId="170" fontId="20" fillId="14" borderId="1" xfId="19" applyNumberFormat="1" applyFont="1" applyFill="1" applyBorder="1" applyAlignment="1">
      <alignment horizontal="left" vertical="center" wrapText="1"/>
    </xf>
    <xf numFmtId="190" fontId="20" fillId="0" borderId="4" xfId="26" applyNumberFormat="1" applyFont="1" applyFill="1" applyBorder="1" applyAlignment="1">
      <alignment horizontal="right" vertical="center"/>
    </xf>
    <xf numFmtId="190" fontId="20" fillId="0" borderId="4" xfId="26" applyNumberFormat="1" applyFont="1" applyFill="1" applyBorder="1" applyAlignment="1">
      <alignment horizontal="center" vertical="center"/>
    </xf>
    <xf numFmtId="171" fontId="12" fillId="0" borderId="1" xfId="24" applyNumberFormat="1" applyFont="1" applyFill="1" applyBorder="1" applyAlignment="1">
      <alignment horizontal="center" vertical="center" wrapText="1"/>
    </xf>
    <xf numFmtId="164" fontId="20" fillId="0" borderId="1" xfId="13" applyFont="1" applyFill="1" applyBorder="1" applyAlignment="1">
      <alignment horizontal="center" vertical="center" wrapText="1"/>
    </xf>
    <xf numFmtId="183" fontId="12" fillId="0" borderId="1" xfId="24" applyNumberFormat="1" applyFont="1" applyFill="1" applyBorder="1" applyAlignment="1">
      <alignment horizontal="center" vertical="center" wrapText="1"/>
    </xf>
    <xf numFmtId="39" fontId="12" fillId="0" borderId="1" xfId="24" applyNumberFormat="1" applyFont="1" applyFill="1" applyBorder="1" applyAlignment="1">
      <alignment horizontal="center" vertical="center" wrapText="1"/>
    </xf>
    <xf numFmtId="183" fontId="12" fillId="0" borderId="4" xfId="24" applyNumberFormat="1" applyFont="1" applyFill="1" applyBorder="1" applyAlignment="1">
      <alignment horizontal="center" vertical="center" wrapText="1"/>
    </xf>
    <xf numFmtId="3" fontId="12" fillId="0" borderId="4" xfId="19" applyNumberFormat="1" applyFont="1" applyFill="1" applyBorder="1" applyAlignment="1">
      <alignment vertical="center" wrapText="1"/>
    </xf>
    <xf numFmtId="167" fontId="12" fillId="0" borderId="3" xfId="28" applyNumberFormat="1" applyFont="1" applyFill="1" applyBorder="1" applyAlignment="1">
      <alignment horizontal="center" vertical="center" wrapText="1"/>
    </xf>
    <xf numFmtId="180" fontId="12" fillId="0" borderId="3" xfId="19" applyNumberFormat="1" applyFont="1" applyFill="1" applyBorder="1" applyAlignment="1">
      <alignment horizontal="center" vertical="center" wrapText="1"/>
    </xf>
    <xf numFmtId="170" fontId="12" fillId="0" borderId="1" xfId="19" applyNumberFormat="1" applyFont="1" applyFill="1" applyBorder="1" applyAlignment="1">
      <alignment horizontal="center" vertical="center" wrapText="1"/>
    </xf>
    <xf numFmtId="185" fontId="12" fillId="0" borderId="1" xfId="28" applyNumberFormat="1" applyFont="1" applyFill="1" applyBorder="1" applyAlignment="1">
      <alignment horizontal="center" vertical="center" wrapText="1"/>
    </xf>
    <xf numFmtId="167" fontId="12" fillId="0" borderId="1" xfId="28" applyNumberFormat="1" applyFont="1" applyFill="1" applyBorder="1" applyAlignment="1">
      <alignment horizontal="center" vertical="center" wrapText="1"/>
    </xf>
    <xf numFmtId="167" fontId="12" fillId="0" borderId="1" xfId="28" applyFont="1" applyFill="1" applyBorder="1" applyAlignment="1">
      <alignment horizontal="center" vertical="center" wrapText="1"/>
    </xf>
    <xf numFmtId="4" fontId="20" fillId="0" borderId="1" xfId="26" applyNumberFormat="1" applyFont="1" applyFill="1" applyBorder="1" applyAlignment="1">
      <alignment horizontal="center" vertical="center" wrapText="1"/>
    </xf>
    <xf numFmtId="4" fontId="12" fillId="0" borderId="1" xfId="26" applyNumberFormat="1" applyFont="1" applyFill="1" applyBorder="1" applyAlignment="1">
      <alignment horizontal="right" vertical="center" wrapText="1"/>
    </xf>
    <xf numFmtId="170" fontId="20" fillId="0" borderId="4" xfId="26" applyNumberFormat="1" applyFont="1" applyFill="1" applyBorder="1" applyAlignment="1">
      <alignment horizontal="right" vertical="center" wrapText="1"/>
    </xf>
    <xf numFmtId="170" fontId="20" fillId="0" borderId="4" xfId="26" applyNumberFormat="1" applyFont="1" applyFill="1" applyBorder="1" applyAlignment="1">
      <alignment horizontal="center" vertical="center" wrapText="1"/>
    </xf>
    <xf numFmtId="170" fontId="20" fillId="0" borderId="12" xfId="26" applyNumberFormat="1" applyFont="1" applyFill="1" applyBorder="1" applyAlignment="1">
      <alignment horizontal="right" vertical="center" wrapText="1"/>
    </xf>
    <xf numFmtId="3" fontId="20" fillId="0" borderId="1" xfId="26" applyNumberFormat="1" applyFont="1" applyFill="1" applyBorder="1" applyAlignment="1">
      <alignment horizontal="center" vertical="center"/>
    </xf>
    <xf numFmtId="165" fontId="12" fillId="0" borderId="1" xfId="19" applyNumberFormat="1" applyFont="1" applyFill="1" applyBorder="1"/>
    <xf numFmtId="0" fontId="0" fillId="0" borderId="1" xfId="0" applyFill="1" applyBorder="1" applyAlignment="1">
      <alignment vertical="center"/>
    </xf>
    <xf numFmtId="0" fontId="12" fillId="0" borderId="1" xfId="19" applyFont="1" applyFill="1" applyBorder="1" applyAlignment="1"/>
    <xf numFmtId="0" fontId="12" fillId="0" borderId="11" xfId="19" applyFont="1" applyFill="1" applyBorder="1"/>
    <xf numFmtId="9" fontId="20" fillId="0" borderId="1" xfId="26" applyNumberFormat="1" applyFont="1" applyFill="1" applyBorder="1" applyAlignment="1">
      <alignment horizontal="center" vertical="center" wrapText="1"/>
    </xf>
    <xf numFmtId="0" fontId="43" fillId="0" borderId="3" xfId="26" applyFont="1" applyFill="1" applyBorder="1" applyAlignment="1">
      <alignment horizontal="right" vertical="center" wrapText="1"/>
    </xf>
    <xf numFmtId="0" fontId="12" fillId="0" borderId="3" xfId="26" applyFont="1" applyFill="1" applyBorder="1" applyAlignment="1">
      <alignment horizontal="right" vertical="center" wrapText="1"/>
    </xf>
    <xf numFmtId="164" fontId="12" fillId="0" borderId="1" xfId="13" applyFont="1" applyFill="1" applyBorder="1" applyAlignment="1">
      <alignment horizontal="center" vertical="center" wrapText="1"/>
    </xf>
    <xf numFmtId="2" fontId="12" fillId="0" borderId="1" xfId="19" applyNumberFormat="1" applyFont="1" applyFill="1" applyBorder="1" applyAlignment="1">
      <alignment horizontal="center" vertical="center" wrapText="1"/>
    </xf>
    <xf numFmtId="174" fontId="12" fillId="0" borderId="1" xfId="28" applyNumberFormat="1" applyFont="1" applyFill="1" applyBorder="1" applyAlignment="1">
      <alignment horizontal="center" vertical="center" wrapText="1"/>
    </xf>
    <xf numFmtId="177" fontId="12" fillId="0" borderId="1" xfId="28" applyNumberFormat="1" applyFont="1" applyFill="1" applyBorder="1" applyAlignment="1">
      <alignment horizontal="center" vertical="center" wrapText="1"/>
    </xf>
    <xf numFmtId="167" fontId="35" fillId="0" borderId="1" xfId="28" applyFont="1" applyFill="1" applyBorder="1" applyAlignment="1">
      <alignment horizontal="center" vertical="center" wrapText="1"/>
    </xf>
    <xf numFmtId="3" fontId="12" fillId="0" borderId="1" xfId="26" applyNumberFormat="1" applyFont="1" applyFill="1" applyBorder="1" applyAlignment="1">
      <alignment horizontal="center" vertical="center"/>
    </xf>
    <xf numFmtId="2" fontId="12" fillId="0" borderId="1" xfId="26" applyNumberFormat="1" applyFont="1" applyFill="1" applyBorder="1" applyAlignment="1">
      <alignment horizontal="right" vertical="center"/>
    </xf>
    <xf numFmtId="170" fontId="12" fillId="0" borderId="4" xfId="26" applyNumberFormat="1" applyFont="1" applyFill="1" applyBorder="1" applyAlignment="1">
      <alignment horizontal="right" vertical="center"/>
    </xf>
    <xf numFmtId="170" fontId="12" fillId="0" borderId="4" xfId="26" applyNumberFormat="1" applyFont="1" applyFill="1" applyBorder="1" applyAlignment="1">
      <alignment horizontal="center" vertical="center"/>
    </xf>
    <xf numFmtId="170" fontId="35" fillId="0" borderId="4" xfId="26" applyNumberFormat="1" applyFont="1" applyFill="1" applyBorder="1" applyAlignment="1">
      <alignment horizontal="right" vertical="center"/>
    </xf>
    <xf numFmtId="170" fontId="12" fillId="0" borderId="1" xfId="26" applyNumberFormat="1" applyFont="1" applyFill="1" applyBorder="1" applyAlignment="1">
      <alignment horizontal="center" vertical="center" wrapText="1"/>
    </xf>
    <xf numFmtId="4" fontId="12" fillId="0" borderId="1" xfId="0" applyNumberFormat="1" applyFont="1" applyFill="1" applyBorder="1" applyAlignment="1">
      <alignment horizontal="right" vertical="center"/>
    </xf>
    <xf numFmtId="3" fontId="12" fillId="0" borderId="1" xfId="0" applyNumberFormat="1" applyFont="1" applyFill="1" applyBorder="1" applyAlignment="1">
      <alignment horizontal="center" vertical="center"/>
    </xf>
    <xf numFmtId="189" fontId="12" fillId="0" borderId="4" xfId="0" applyNumberFormat="1" applyFont="1" applyFill="1" applyBorder="1" applyAlignment="1">
      <alignment horizontal="center" vertical="center"/>
    </xf>
    <xf numFmtId="184" fontId="20" fillId="0" borderId="3" xfId="19" applyNumberFormat="1" applyFont="1" applyFill="1" applyBorder="1" applyAlignment="1">
      <alignment horizontal="center" vertical="center" wrapText="1"/>
    </xf>
    <xf numFmtId="3" fontId="12" fillId="0" borderId="3" xfId="0" applyNumberFormat="1" applyFont="1" applyFill="1" applyBorder="1" applyAlignment="1">
      <alignment horizontal="center" vertical="center" wrapText="1"/>
    </xf>
    <xf numFmtId="1" fontId="20" fillId="0" borderId="3" xfId="26" applyNumberFormat="1" applyFont="1" applyFill="1" applyBorder="1" applyAlignment="1">
      <alignment horizontal="right" vertical="center" wrapText="1"/>
    </xf>
    <xf numFmtId="1" fontId="20" fillId="0" borderId="3" xfId="26" applyNumberFormat="1" applyFont="1" applyFill="1" applyBorder="1" applyAlignment="1">
      <alignment horizontal="center" vertical="center" wrapText="1"/>
    </xf>
    <xf numFmtId="0" fontId="20" fillId="0" borderId="0" xfId="26" applyFont="1" applyFill="1" applyBorder="1" applyAlignment="1">
      <alignment horizontal="center" vertical="center" wrapText="1"/>
    </xf>
    <xf numFmtId="0" fontId="20" fillId="0" borderId="0" xfId="26" applyFont="1" applyFill="1" applyBorder="1" applyAlignment="1">
      <alignment horizontal="right" vertical="center" wrapText="1"/>
    </xf>
    <xf numFmtId="170" fontId="20" fillId="0" borderId="0" xfId="26" applyNumberFormat="1" applyFont="1" applyFill="1" applyBorder="1" applyAlignment="1">
      <alignment horizontal="center" vertical="center" wrapText="1"/>
    </xf>
    <xf numFmtId="170" fontId="20" fillId="0" borderId="0" xfId="26" applyNumberFormat="1" applyFont="1" applyFill="1" applyBorder="1" applyAlignment="1">
      <alignment horizontal="right" vertical="center"/>
    </xf>
    <xf numFmtId="4" fontId="20" fillId="0" borderId="1" xfId="26" applyNumberFormat="1" applyFont="1" applyFill="1" applyBorder="1" applyAlignment="1">
      <alignment horizontal="center" vertical="center"/>
    </xf>
    <xf numFmtId="4" fontId="20" fillId="0" borderId="4" xfId="26" applyNumberFormat="1" applyFont="1" applyFill="1" applyBorder="1" applyAlignment="1">
      <alignment horizontal="center" vertical="center"/>
    </xf>
    <xf numFmtId="0" fontId="20" fillId="0" borderId="4" xfId="26" applyFont="1" applyFill="1" applyBorder="1" applyAlignment="1">
      <alignment horizontal="right" vertical="center" wrapText="1"/>
    </xf>
    <xf numFmtId="0" fontId="20" fillId="6" borderId="5" xfId="19" applyFont="1" applyFill="1" applyBorder="1" applyAlignment="1">
      <alignment vertical="center" wrapText="1"/>
    </xf>
    <xf numFmtId="170" fontId="20" fillId="6" borderId="38" xfId="19" applyNumberFormat="1" applyFont="1" applyFill="1" applyBorder="1" applyAlignment="1">
      <alignment horizontal="left" vertical="center" wrapText="1"/>
    </xf>
    <xf numFmtId="3" fontId="20" fillId="6" borderId="5" xfId="26" applyNumberFormat="1" applyFont="1" applyFill="1" applyBorder="1" applyAlignment="1">
      <alignment horizontal="center" vertical="center" wrapText="1"/>
    </xf>
    <xf numFmtId="183" fontId="20" fillId="0" borderId="5" xfId="5" applyNumberFormat="1" applyFont="1" applyFill="1" applyBorder="1" applyAlignment="1">
      <alignment vertical="center" wrapText="1"/>
    </xf>
    <xf numFmtId="183" fontId="20" fillId="13" borderId="5" xfId="5" applyNumberFormat="1" applyFont="1" applyFill="1" applyBorder="1" applyAlignment="1">
      <alignment vertical="center" wrapText="1"/>
    </xf>
    <xf numFmtId="0" fontId="25" fillId="6" borderId="5" xfId="0" applyFont="1" applyFill="1" applyBorder="1" applyAlignment="1">
      <alignment horizontal="center" vertical="center" wrapText="1"/>
    </xf>
    <xf numFmtId="1" fontId="25" fillId="6" borderId="5" xfId="0" applyNumberFormat="1" applyFont="1" applyFill="1" applyBorder="1" applyAlignment="1">
      <alignment horizontal="center" vertical="center" wrapText="1"/>
    </xf>
    <xf numFmtId="3" fontId="12" fillId="6" borderId="5" xfId="26" applyNumberFormat="1" applyFont="1" applyFill="1" applyBorder="1" applyAlignment="1">
      <alignment horizontal="center" vertical="center" wrapText="1"/>
    </xf>
    <xf numFmtId="1" fontId="25" fillId="6" borderId="53" xfId="0" applyNumberFormat="1" applyFont="1" applyFill="1" applyBorder="1" applyAlignment="1">
      <alignment horizontal="center" vertical="center" wrapText="1"/>
    </xf>
    <xf numFmtId="183" fontId="20" fillId="0" borderId="1" xfId="5" applyNumberFormat="1" applyFont="1" applyFill="1" applyBorder="1" applyAlignment="1">
      <alignment vertical="center" wrapText="1"/>
    </xf>
    <xf numFmtId="0" fontId="20" fillId="6" borderId="4" xfId="19" applyFont="1" applyFill="1" applyBorder="1" applyAlignment="1">
      <alignment horizontal="left" vertical="center" wrapText="1"/>
    </xf>
    <xf numFmtId="183" fontId="12" fillId="6" borderId="4" xfId="19" applyNumberFormat="1" applyFont="1" applyFill="1" applyBorder="1"/>
    <xf numFmtId="0" fontId="12" fillId="6" borderId="4" xfId="19" applyFont="1" applyFill="1" applyBorder="1"/>
    <xf numFmtId="0" fontId="16" fillId="0" borderId="4" xfId="19" applyFont="1" applyFill="1" applyBorder="1" applyAlignment="1">
      <alignment horizontal="right"/>
    </xf>
    <xf numFmtId="3" fontId="12" fillId="6" borderId="4" xfId="19" applyNumberFormat="1" applyFont="1" applyFill="1" applyBorder="1" applyAlignment="1">
      <alignment horizontal="center" vertical="center"/>
    </xf>
    <xf numFmtId="3" fontId="12" fillId="11" borderId="4" xfId="19" applyNumberFormat="1" applyFont="1" applyFill="1" applyBorder="1" applyAlignment="1">
      <alignment horizontal="center" vertical="center"/>
    </xf>
    <xf numFmtId="0" fontId="0" fillId="11" borderId="0" xfId="0" applyFill="1"/>
    <xf numFmtId="0" fontId="50" fillId="0" borderId="0" xfId="0" applyFont="1" applyFill="1" applyBorder="1"/>
    <xf numFmtId="183" fontId="52" fillId="0" borderId="0" xfId="5" applyNumberFormat="1" applyFont="1" applyFill="1" applyBorder="1" applyAlignment="1">
      <alignment vertical="center" wrapText="1"/>
    </xf>
    <xf numFmtId="0" fontId="52" fillId="0" borderId="0" xfId="19" applyFont="1" applyFill="1" applyBorder="1" applyAlignment="1">
      <alignment horizontal="left" vertical="center" wrapText="1"/>
    </xf>
    <xf numFmtId="191" fontId="50" fillId="15" borderId="0" xfId="0" applyNumberFormat="1" applyFont="1" applyFill="1" applyBorder="1"/>
    <xf numFmtId="183" fontId="50" fillId="0" borderId="0" xfId="0" applyNumberFormat="1" applyFont="1" applyFill="1" applyBorder="1"/>
    <xf numFmtId="174" fontId="28" fillId="0" borderId="5" xfId="28" applyNumberFormat="1" applyFont="1" applyFill="1" applyBorder="1" applyAlignment="1">
      <alignment horizontal="left" vertical="center"/>
    </xf>
    <xf numFmtId="171" fontId="29" fillId="4" borderId="1" xfId="0" applyNumberFormat="1" applyFont="1" applyFill="1" applyBorder="1" applyAlignment="1">
      <alignment horizontal="center" vertical="center"/>
    </xf>
    <xf numFmtId="171" fontId="29" fillId="0" borderId="1" xfId="0" applyNumberFormat="1" applyFont="1" applyFill="1" applyBorder="1" applyAlignment="1">
      <alignment horizontal="center" vertical="center"/>
    </xf>
    <xf numFmtId="171" fontId="3" fillId="0" borderId="1" xfId="0" applyNumberFormat="1" applyFont="1" applyFill="1" applyBorder="1" applyAlignment="1">
      <alignment horizontal="center" vertical="center"/>
    </xf>
    <xf numFmtId="0" fontId="5" fillId="4" borderId="5" xfId="0" applyFont="1" applyFill="1" applyBorder="1" applyAlignment="1">
      <alignment horizontal="left" vertical="top" wrapText="1"/>
    </xf>
    <xf numFmtId="0" fontId="5" fillId="4" borderId="5" xfId="0" applyFont="1" applyFill="1" applyBorder="1" applyAlignment="1">
      <alignment horizontal="left" vertical="center" wrapText="1"/>
    </xf>
    <xf numFmtId="0" fontId="5" fillId="4" borderId="53"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4" borderId="1" xfId="0" applyFont="1" applyFill="1" applyBorder="1" applyAlignment="1">
      <alignment horizontal="left" vertical="top" wrapText="1"/>
    </xf>
    <xf numFmtId="0" fontId="5" fillId="4" borderId="11" xfId="0" applyNumberFormat="1" applyFont="1" applyFill="1" applyBorder="1" applyAlignment="1">
      <alignment horizontal="left" vertical="center" wrapText="1"/>
    </xf>
    <xf numFmtId="0" fontId="5" fillId="4" borderId="1" xfId="0" applyNumberFormat="1" applyFont="1" applyFill="1" applyBorder="1" applyAlignment="1">
      <alignment horizontal="left" vertical="center" wrapText="1"/>
    </xf>
    <xf numFmtId="2" fontId="5" fillId="4" borderId="1" xfId="0" applyNumberFormat="1" applyFont="1" applyFill="1" applyBorder="1" applyAlignment="1">
      <alignment horizontal="left" vertical="center" wrapText="1"/>
    </xf>
    <xf numFmtId="0" fontId="28" fillId="0" borderId="1" xfId="0" applyFont="1" applyFill="1" applyBorder="1" applyAlignment="1">
      <alignment horizontal="center" vertical="center" wrapText="1"/>
    </xf>
    <xf numFmtId="167" fontId="28" fillId="0" borderId="1" xfId="28" applyNumberFormat="1" applyFont="1" applyFill="1" applyBorder="1" applyAlignment="1">
      <alignment horizontal="left" vertical="center"/>
    </xf>
    <xf numFmtId="10" fontId="31" fillId="4" borderId="1" xfId="16" applyNumberFormat="1" applyFont="1" applyFill="1" applyBorder="1" applyAlignment="1">
      <alignment horizontal="center" vertical="center" wrapText="1"/>
    </xf>
    <xf numFmtId="10" fontId="31" fillId="0" borderId="1" xfId="21" applyNumberFormat="1" applyFont="1" applyFill="1" applyBorder="1" applyAlignment="1">
      <alignment horizontal="center" vertical="center" wrapText="1"/>
    </xf>
    <xf numFmtId="10" fontId="28" fillId="0" borderId="1" xfId="29" applyNumberFormat="1" applyFont="1" applyFill="1" applyBorder="1" applyAlignment="1">
      <alignment horizontal="center" vertical="center" wrapText="1"/>
    </xf>
    <xf numFmtId="10" fontId="28" fillId="0" borderId="21" xfId="21" applyNumberFormat="1" applyFont="1" applyFill="1" applyBorder="1" applyAlignment="1">
      <alignment vertical="center"/>
    </xf>
    <xf numFmtId="0" fontId="7" fillId="0" borderId="1" xfId="0" applyFont="1" applyBorder="1" applyAlignment="1">
      <alignment horizontal="center" vertical="center"/>
    </xf>
    <xf numFmtId="0" fontId="28"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2" xfId="0" applyFont="1" applyFill="1" applyBorder="1" applyAlignment="1">
      <alignment horizontal="center" vertical="center"/>
    </xf>
    <xf numFmtId="0" fontId="28" fillId="0" borderId="5" xfId="0" applyFont="1" applyFill="1" applyBorder="1" applyAlignment="1">
      <alignment horizontal="center" vertical="center"/>
    </xf>
    <xf numFmtId="0" fontId="5" fillId="6" borderId="16"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5" fillId="6" borderId="4"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10" fillId="0" borderId="27" xfId="0" applyFont="1" applyFill="1" applyBorder="1" applyAlignment="1">
      <alignment horizontal="right" vertical="center"/>
    </xf>
    <xf numFmtId="0" fontId="10" fillId="0" borderId="28" xfId="0" applyFont="1" applyFill="1" applyBorder="1" applyAlignment="1">
      <alignment horizontal="right" vertical="center"/>
    </xf>
    <xf numFmtId="0" fontId="10" fillId="0" borderId="58" xfId="0" applyFont="1" applyFill="1" applyBorder="1" applyAlignment="1">
      <alignment horizontal="right" vertical="center"/>
    </xf>
    <xf numFmtId="0" fontId="28" fillId="0" borderId="22" xfId="0" applyFont="1" applyFill="1" applyBorder="1" applyAlignment="1">
      <alignment horizontal="center"/>
    </xf>
    <xf numFmtId="0" fontId="28" fillId="0" borderId="23" xfId="0" applyFont="1" applyFill="1" applyBorder="1" applyAlignment="1">
      <alignment horizontal="center"/>
    </xf>
    <xf numFmtId="0" fontId="28" fillId="0" borderId="24" xfId="0" applyFont="1" applyFill="1" applyBorder="1" applyAlignment="1">
      <alignment horizontal="center"/>
    </xf>
    <xf numFmtId="0" fontId="28" fillId="0" borderId="25" xfId="0" applyFont="1" applyFill="1" applyBorder="1" applyAlignment="1">
      <alignment horizontal="center"/>
    </xf>
    <xf numFmtId="0" fontId="28" fillId="0" borderId="0" xfId="0" applyFont="1" applyFill="1" applyBorder="1" applyAlignment="1">
      <alignment horizontal="center"/>
    </xf>
    <xf numFmtId="0" fontId="28" fillId="0" borderId="9" xfId="0" applyFont="1" applyFill="1" applyBorder="1" applyAlignment="1">
      <alignment horizontal="center"/>
    </xf>
    <xf numFmtId="0" fontId="5"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4"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4" fillId="0" borderId="14" xfId="0" applyFont="1" applyFill="1" applyBorder="1" applyAlignment="1">
      <alignment horizontal="justify" vertical="center" wrapText="1"/>
    </xf>
    <xf numFmtId="0" fontId="4" fillId="0" borderId="8" xfId="0" applyFont="1" applyFill="1" applyBorder="1" applyAlignment="1">
      <alignment horizontal="justify" vertical="center" wrapText="1"/>
    </xf>
    <xf numFmtId="0" fontId="4" fillId="0" borderId="34" xfId="0" applyFont="1" applyFill="1" applyBorder="1" applyAlignment="1">
      <alignment horizontal="justify"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3" fillId="0" borderId="3"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4" xfId="0" applyFont="1" applyFill="1" applyBorder="1" applyAlignment="1">
      <alignment horizontal="left" vertical="top" wrapText="1"/>
    </xf>
    <xf numFmtId="0" fontId="5" fillId="0" borderId="46"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4" fillId="0" borderId="15" xfId="0" applyFont="1" applyFill="1" applyBorder="1" applyAlignment="1">
      <alignment horizontal="justify" vertical="center" wrapText="1"/>
    </xf>
    <xf numFmtId="0" fontId="4" fillId="0" borderId="16" xfId="0" applyFont="1" applyFill="1" applyBorder="1" applyAlignment="1">
      <alignment horizontal="justify" vertical="center" wrapText="1"/>
    </xf>
    <xf numFmtId="0" fontId="4" fillId="0" borderId="17" xfId="0" applyFont="1" applyFill="1" applyBorder="1" applyAlignment="1">
      <alignment horizontal="justify"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2"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19" xfId="0" applyFont="1" applyFill="1" applyBorder="1" applyAlignment="1">
      <alignment horizontal="justify" vertical="center" wrapText="1"/>
    </xf>
    <xf numFmtId="0" fontId="4" fillId="0" borderId="3" xfId="0" applyFont="1" applyFill="1" applyBorder="1" applyAlignment="1">
      <alignment horizontal="justify" vertical="center" wrapText="1"/>
    </xf>
    <xf numFmtId="0" fontId="11"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3" fillId="0" borderId="3"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0" borderId="10" xfId="0" applyFont="1" applyFill="1" applyBorder="1" applyAlignment="1">
      <alignment horizontal="justify" vertical="center" wrapText="1"/>
    </xf>
    <xf numFmtId="0" fontId="3" fillId="0" borderId="11" xfId="0" applyFont="1" applyFill="1" applyBorder="1" applyAlignment="1">
      <alignment horizontal="justify" vertical="center" wrapText="1"/>
    </xf>
    <xf numFmtId="0" fontId="3" fillId="0" borderId="12" xfId="0" applyFont="1" applyFill="1" applyBorder="1" applyAlignment="1">
      <alignment horizontal="justify" vertical="center" wrapText="1"/>
    </xf>
    <xf numFmtId="0" fontId="5" fillId="0" borderId="17" xfId="0" applyFont="1" applyFill="1" applyBorder="1" applyAlignment="1">
      <alignment horizontal="center" vertical="center" wrapText="1"/>
    </xf>
    <xf numFmtId="0" fontId="11" fillId="0" borderId="49"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48"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0" borderId="4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4" xfId="0" applyFont="1" applyFill="1" applyBorder="1" applyAlignment="1">
      <alignment horizontal="justify" vertical="center" wrapText="1"/>
    </xf>
    <xf numFmtId="0" fontId="4" fillId="0" borderId="17" xfId="0" applyFont="1" applyFill="1" applyBorder="1" applyAlignment="1">
      <alignment horizontal="center" vertical="center" wrapText="1"/>
    </xf>
    <xf numFmtId="0" fontId="19" fillId="0" borderId="1" xfId="0" applyFont="1" applyFill="1" applyBorder="1" applyAlignment="1">
      <alignment horizontal="right"/>
    </xf>
    <xf numFmtId="0" fontId="3" fillId="6" borderId="25"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5" fillId="6" borderId="17"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2" xfId="0" applyFont="1" applyFill="1" applyBorder="1" applyAlignment="1">
      <alignment horizontal="center"/>
    </xf>
    <xf numFmtId="0" fontId="5" fillId="6" borderId="14" xfId="0" applyFont="1" applyFill="1" applyBorder="1" applyAlignment="1">
      <alignment horizontal="center" vertical="center"/>
    </xf>
    <xf numFmtId="0" fontId="5" fillId="6" borderId="31" xfId="0" applyFont="1" applyFill="1" applyBorder="1" applyAlignment="1">
      <alignment horizontal="center" vertical="center"/>
    </xf>
    <xf numFmtId="0" fontId="5" fillId="6" borderId="23" xfId="0" applyFont="1" applyFill="1" applyBorder="1" applyAlignment="1">
      <alignment horizontal="center" vertical="center"/>
    </xf>
    <xf numFmtId="0" fontId="5" fillId="6" borderId="41" xfId="0" applyFont="1" applyFill="1" applyBorder="1" applyAlignment="1">
      <alignment horizontal="center" vertical="center"/>
    </xf>
    <xf numFmtId="0" fontId="0" fillId="0" borderId="15" xfId="0" applyFill="1" applyBorder="1" applyAlignment="1">
      <alignment horizontal="center"/>
    </xf>
    <xf numFmtId="0" fontId="0" fillId="0" borderId="3" xfId="0" applyFill="1" applyBorder="1" applyAlignment="1">
      <alignment horizontal="center"/>
    </xf>
    <xf numFmtId="0" fontId="0" fillId="0" borderId="16" xfId="0" applyFill="1" applyBorder="1" applyAlignment="1">
      <alignment horizontal="center"/>
    </xf>
    <xf numFmtId="0" fontId="0" fillId="0" borderId="1" xfId="0" applyFill="1" applyBorder="1" applyAlignment="1">
      <alignment horizontal="center"/>
    </xf>
    <xf numFmtId="0" fontId="0" fillId="0" borderId="17" xfId="0" applyFill="1" applyBorder="1" applyAlignment="1">
      <alignment horizontal="center"/>
    </xf>
    <xf numFmtId="0" fontId="0" fillId="0" borderId="4" xfId="0" applyFill="1" applyBorder="1" applyAlignment="1">
      <alignment horizontal="center"/>
    </xf>
    <xf numFmtId="0" fontId="5" fillId="6" borderId="8"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50" xfId="0" applyFont="1" applyFill="1" applyBorder="1" applyAlignment="1">
      <alignment horizontal="center" vertical="center"/>
    </xf>
    <xf numFmtId="0" fontId="5" fillId="6" borderId="51" xfId="0" applyFont="1" applyFill="1" applyBorder="1" applyAlignment="1">
      <alignment horizontal="center" vertical="center"/>
    </xf>
    <xf numFmtId="0" fontId="5" fillId="6" borderId="52" xfId="0" applyFont="1" applyFill="1" applyBorder="1" applyAlignment="1">
      <alignment horizontal="center" vertical="center"/>
    </xf>
    <xf numFmtId="0" fontId="10" fillId="6" borderId="8"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3" xfId="0" applyFont="1" applyFill="1" applyBorder="1" applyAlignment="1">
      <alignment horizontal="center" vertical="center" wrapText="1"/>
    </xf>
    <xf numFmtId="0" fontId="10" fillId="6" borderId="43"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16" fillId="0" borderId="1" xfId="16" applyFont="1" applyFill="1" applyBorder="1" applyAlignment="1">
      <alignment horizontal="center" vertical="top" textRotation="180" wrapText="1"/>
    </xf>
    <xf numFmtId="10" fontId="31" fillId="0" borderId="11" xfId="25" applyNumberFormat="1" applyFont="1" applyFill="1" applyBorder="1" applyAlignment="1">
      <alignment horizontal="center" vertical="center" wrapText="1"/>
    </xf>
    <xf numFmtId="0" fontId="4" fillId="0" borderId="11" xfId="16" applyNumberFormat="1" applyFont="1" applyFill="1" applyBorder="1" applyAlignment="1">
      <alignment horizontal="left" vertical="center" wrapText="1"/>
    </xf>
    <xf numFmtId="0" fontId="4" fillId="0" borderId="1" xfId="16" applyFont="1" applyFill="1" applyBorder="1" applyAlignment="1">
      <alignment vertical="top" wrapText="1"/>
    </xf>
    <xf numFmtId="0" fontId="4" fillId="0" borderId="4" xfId="16" applyFont="1" applyFill="1" applyBorder="1" applyAlignment="1">
      <alignment vertical="top" wrapText="1"/>
    </xf>
    <xf numFmtId="0" fontId="4" fillId="0" borderId="1" xfId="16" applyNumberFormat="1" applyFont="1" applyFill="1" applyBorder="1" applyAlignment="1">
      <alignment vertical="top" wrapText="1"/>
    </xf>
    <xf numFmtId="0" fontId="16" fillId="0" borderId="1" xfId="16" applyFont="1" applyFill="1" applyBorder="1" applyAlignment="1">
      <alignment horizontal="center" vertical="center" wrapText="1"/>
    </xf>
    <xf numFmtId="10" fontId="31" fillId="0" borderId="1" xfId="23" applyNumberFormat="1" applyFont="1" applyFill="1" applyBorder="1" applyAlignment="1">
      <alignment horizontal="center" vertical="center" wrapText="1"/>
    </xf>
    <xf numFmtId="10" fontId="31" fillId="0" borderId="11" xfId="23" applyNumberFormat="1" applyFont="1" applyFill="1" applyBorder="1" applyAlignment="1">
      <alignment horizontal="center" vertical="center" wrapText="1"/>
    </xf>
    <xf numFmtId="0" fontId="31" fillId="0" borderId="18" xfId="16" applyFont="1" applyFill="1" applyBorder="1" applyAlignment="1">
      <alignment horizontal="left" vertical="center" wrapText="1"/>
    </xf>
    <xf numFmtId="0" fontId="31" fillId="0" borderId="53" xfId="16" applyFont="1" applyFill="1" applyBorder="1" applyAlignment="1">
      <alignment horizontal="left" vertical="center" wrapText="1"/>
    </xf>
    <xf numFmtId="10" fontId="31" fillId="0" borderId="1" xfId="25" applyNumberFormat="1" applyFont="1" applyFill="1" applyBorder="1" applyAlignment="1">
      <alignment horizontal="center" vertical="center" wrapText="1"/>
    </xf>
    <xf numFmtId="10" fontId="31" fillId="0" borderId="4" xfId="25" applyNumberFormat="1" applyFont="1" applyFill="1" applyBorder="1" applyAlignment="1">
      <alignment horizontal="center" vertical="center" wrapText="1"/>
    </xf>
    <xf numFmtId="0" fontId="2" fillId="5" borderId="13" xfId="16" applyFont="1" applyFill="1" applyBorder="1" applyAlignment="1">
      <alignment horizontal="center" vertical="center" wrapText="1"/>
    </xf>
    <xf numFmtId="0" fontId="2" fillId="5" borderId="21" xfId="16" applyFont="1" applyFill="1" applyBorder="1" applyAlignment="1">
      <alignment horizontal="center" vertical="center" wrapText="1"/>
    </xf>
    <xf numFmtId="0" fontId="4" fillId="0" borderId="2" xfId="16" applyNumberFormat="1" applyFont="1" applyFill="1" applyBorder="1" applyAlignment="1">
      <alignment horizontal="center" vertical="top" wrapText="1"/>
    </xf>
    <xf numFmtId="0" fontId="4" fillId="0" borderId="5" xfId="16" applyNumberFormat="1" applyFont="1" applyFill="1" applyBorder="1" applyAlignment="1">
      <alignment horizontal="center" vertical="top" wrapText="1"/>
    </xf>
    <xf numFmtId="0" fontId="16" fillId="0" borderId="2" xfId="16" applyFont="1" applyFill="1" applyBorder="1" applyAlignment="1">
      <alignment horizontal="center" vertical="center" wrapText="1"/>
    </xf>
    <xf numFmtId="0" fontId="16" fillId="0" borderId="5" xfId="16" applyFont="1" applyFill="1" applyBorder="1" applyAlignment="1">
      <alignment horizontal="center" vertical="center" wrapText="1"/>
    </xf>
    <xf numFmtId="10" fontId="31" fillId="0" borderId="18" xfId="23" applyNumberFormat="1" applyFont="1" applyFill="1" applyBorder="1" applyAlignment="1">
      <alignment horizontal="center" vertical="center" wrapText="1"/>
    </xf>
    <xf numFmtId="10" fontId="31" fillId="0" borderId="53" xfId="23" applyNumberFormat="1" applyFont="1" applyFill="1" applyBorder="1" applyAlignment="1">
      <alignment horizontal="center" vertical="center" wrapText="1"/>
    </xf>
    <xf numFmtId="0" fontId="31" fillId="0" borderId="19" xfId="16" applyFont="1" applyFill="1" applyBorder="1" applyAlignment="1">
      <alignment horizontal="center" vertical="top" wrapText="1"/>
    </xf>
    <xf numFmtId="0" fontId="31" fillId="0" borderId="42" xfId="16" applyFont="1" applyFill="1" applyBorder="1" applyAlignment="1">
      <alignment horizontal="center" vertical="top" wrapText="1"/>
    </xf>
    <xf numFmtId="10" fontId="31" fillId="0" borderId="18" xfId="25" applyNumberFormat="1" applyFont="1" applyFill="1" applyBorder="1" applyAlignment="1">
      <alignment horizontal="center" vertical="center" wrapText="1"/>
    </xf>
    <xf numFmtId="10" fontId="31" fillId="0" borderId="20" xfId="25" applyNumberFormat="1" applyFont="1" applyFill="1" applyBorder="1" applyAlignment="1">
      <alignment horizontal="center" vertical="center" wrapText="1"/>
    </xf>
    <xf numFmtId="10" fontId="31" fillId="0" borderId="39" xfId="25" applyNumberFormat="1" applyFont="1" applyFill="1" applyBorder="1" applyAlignment="1">
      <alignment horizontal="center" vertical="center" wrapText="1"/>
    </xf>
    <xf numFmtId="0" fontId="4" fillId="0" borderId="19" xfId="16" applyNumberFormat="1" applyFont="1" applyFill="1" applyBorder="1" applyAlignment="1">
      <alignment horizontal="center" vertical="top" wrapText="1"/>
    </xf>
    <xf numFmtId="0" fontId="4" fillId="0" borderId="13" xfId="16" applyNumberFormat="1" applyFont="1" applyFill="1" applyBorder="1" applyAlignment="1">
      <alignment horizontal="center" vertical="top" wrapText="1"/>
    </xf>
    <xf numFmtId="0" fontId="4" fillId="0" borderId="60" xfId="16" applyNumberFormat="1" applyFont="1" applyFill="1" applyBorder="1" applyAlignment="1">
      <alignment horizontal="center" vertical="top" wrapText="1"/>
    </xf>
    <xf numFmtId="0" fontId="2" fillId="4" borderId="16" xfId="16" applyFont="1" applyFill="1" applyBorder="1" applyAlignment="1">
      <alignment horizontal="center" vertical="center" wrapText="1"/>
    </xf>
    <xf numFmtId="0" fontId="2" fillId="4" borderId="17" xfId="16" applyFont="1" applyFill="1" applyBorder="1" applyAlignment="1">
      <alignment horizontal="center" vertical="center" wrapText="1"/>
    </xf>
    <xf numFmtId="0" fontId="53" fillId="0" borderId="11" xfId="16" applyFont="1" applyFill="1" applyBorder="1" applyAlignment="1">
      <alignment horizontal="left" vertical="center" wrapText="1"/>
    </xf>
    <xf numFmtId="0" fontId="31" fillId="0" borderId="11" xfId="16" applyFont="1" applyFill="1" applyBorder="1" applyAlignment="1">
      <alignment horizontal="left" vertical="center" wrapText="1"/>
    </xf>
    <xf numFmtId="10" fontId="31" fillId="0" borderId="11" xfId="25" applyNumberFormat="1" applyFont="1" applyFill="1" applyBorder="1" applyAlignment="1">
      <alignment horizontal="left" vertical="center" wrapText="1"/>
    </xf>
    <xf numFmtId="0" fontId="4" fillId="0" borderId="1" xfId="0" applyNumberFormat="1" applyFont="1" applyFill="1" applyBorder="1" applyAlignment="1">
      <alignment vertical="top" wrapText="1"/>
    </xf>
    <xf numFmtId="0" fontId="4" fillId="0" borderId="1" xfId="0" applyFont="1" applyFill="1" applyBorder="1" applyAlignment="1">
      <alignment horizontal="left" vertical="top" wrapText="1"/>
    </xf>
    <xf numFmtId="10" fontId="31" fillId="0" borderId="1" xfId="0" applyNumberFormat="1" applyFont="1" applyFill="1" applyBorder="1" applyAlignment="1" applyProtection="1">
      <alignment horizontal="center" vertical="center" wrapText="1"/>
      <protection locked="0"/>
    </xf>
    <xf numFmtId="10" fontId="31" fillId="0" borderId="11" xfId="23" applyNumberFormat="1" applyFont="1" applyFill="1" applyBorder="1" applyAlignment="1" applyProtection="1">
      <alignment horizontal="center" vertical="center" wrapText="1"/>
      <protection locked="0"/>
    </xf>
    <xf numFmtId="10" fontId="31" fillId="0" borderId="40" xfId="23" applyNumberFormat="1" applyFont="1" applyFill="1" applyBorder="1" applyAlignment="1" applyProtection="1">
      <alignment horizontal="center" vertical="top" wrapText="1"/>
      <protection locked="0"/>
    </xf>
    <xf numFmtId="10" fontId="31" fillId="0" borderId="56" xfId="23" applyNumberFormat="1" applyFont="1" applyFill="1" applyBorder="1" applyAlignment="1" applyProtection="1">
      <alignment horizontal="center" vertical="top" wrapText="1"/>
      <protection locked="0"/>
    </xf>
    <xf numFmtId="0" fontId="16" fillId="0" borderId="1" xfId="16" applyFont="1" applyFill="1" applyBorder="1" applyAlignment="1">
      <alignment horizontal="center" vertical="top" wrapText="1"/>
    </xf>
    <xf numFmtId="10" fontId="31" fillId="0" borderId="2" xfId="23" applyNumberFormat="1" applyFont="1" applyFill="1" applyBorder="1" applyAlignment="1">
      <alignment horizontal="center" vertical="center" wrapText="1"/>
    </xf>
    <xf numFmtId="10" fontId="31" fillId="0" borderId="21" xfId="23" applyNumberFormat="1" applyFont="1" applyFill="1" applyBorder="1" applyAlignment="1">
      <alignment horizontal="center" vertical="center" wrapText="1"/>
    </xf>
    <xf numFmtId="10" fontId="31" fillId="0" borderId="5" xfId="23" applyNumberFormat="1" applyFont="1" applyFill="1" applyBorder="1" applyAlignment="1">
      <alignment horizontal="center" vertical="center" wrapText="1"/>
    </xf>
    <xf numFmtId="0" fontId="4" fillId="0" borderId="2" xfId="16" applyFont="1" applyFill="1" applyBorder="1" applyAlignment="1">
      <alignment horizontal="center" vertical="top" wrapText="1"/>
    </xf>
    <xf numFmtId="0" fontId="4" fillId="0" borderId="5" xfId="16" applyFont="1" applyFill="1" applyBorder="1" applyAlignment="1">
      <alignment horizontal="center" vertical="top" wrapText="1"/>
    </xf>
    <xf numFmtId="0" fontId="2" fillId="4" borderId="19" xfId="16" applyFont="1" applyFill="1" applyBorder="1" applyAlignment="1">
      <alignment horizontal="center" vertical="center" wrapText="1"/>
    </xf>
    <xf numFmtId="0" fontId="2" fillId="4" borderId="13" xfId="16" applyFont="1" applyFill="1" applyBorder="1" applyAlignment="1">
      <alignment horizontal="center" vertical="center" wrapText="1"/>
    </xf>
    <xf numFmtId="0" fontId="2" fillId="4" borderId="42" xfId="16" applyFont="1" applyFill="1" applyBorder="1" applyAlignment="1">
      <alignment horizontal="center" vertical="center" wrapText="1"/>
    </xf>
    <xf numFmtId="0" fontId="4" fillId="0" borderId="2" xfId="16" applyFont="1" applyFill="1" applyBorder="1" applyAlignment="1">
      <alignment vertical="top" wrapText="1"/>
    </xf>
    <xf numFmtId="0" fontId="4" fillId="0" borderId="21" xfId="16" applyFont="1" applyFill="1" applyBorder="1" applyAlignment="1">
      <alignment vertical="top" wrapText="1"/>
    </xf>
    <xf numFmtId="0" fontId="4" fillId="0" borderId="5" xfId="16" applyFont="1" applyFill="1" applyBorder="1" applyAlignment="1">
      <alignment vertical="top" wrapText="1"/>
    </xf>
    <xf numFmtId="0" fontId="4" fillId="0" borderId="1" xfId="16" applyNumberFormat="1" applyFont="1" applyFill="1" applyBorder="1" applyAlignment="1">
      <alignment horizontal="left" vertical="top" wrapText="1"/>
    </xf>
    <xf numFmtId="0" fontId="4" fillId="0" borderId="1" xfId="16" applyFont="1" applyFill="1" applyBorder="1" applyAlignment="1">
      <alignment horizontal="left" vertical="center" wrapText="1"/>
    </xf>
    <xf numFmtId="0" fontId="4" fillId="0" borderId="1" xfId="16" applyNumberFormat="1" applyFont="1" applyFill="1" applyBorder="1" applyAlignment="1">
      <alignment horizontal="left" vertical="center" wrapText="1"/>
    </xf>
    <xf numFmtId="0" fontId="31" fillId="0" borderId="11" xfId="16" applyFont="1" applyFill="1" applyBorder="1" applyAlignment="1">
      <alignment vertical="top" wrapText="1"/>
    </xf>
    <xf numFmtId="0" fontId="31" fillId="0" borderId="11" xfId="16" applyNumberFormat="1" applyFont="1" applyFill="1" applyBorder="1" applyAlignment="1">
      <alignment horizontal="justify" vertical="top" wrapText="1"/>
    </xf>
    <xf numFmtId="0" fontId="31" fillId="0" borderId="19" xfId="16" applyFont="1" applyFill="1" applyBorder="1" applyAlignment="1">
      <alignment horizontal="justify" vertical="top" wrapText="1"/>
    </xf>
    <xf numFmtId="0" fontId="31" fillId="0" borderId="42" xfId="16" applyFont="1" applyFill="1" applyBorder="1" applyAlignment="1">
      <alignment horizontal="justify" vertical="top" wrapText="1"/>
    </xf>
    <xf numFmtId="0" fontId="31" fillId="0" borderId="11" xfId="16" applyNumberFormat="1" applyFont="1" applyFill="1" applyBorder="1" applyAlignment="1">
      <alignment vertical="top" wrapText="1"/>
    </xf>
    <xf numFmtId="0" fontId="2" fillId="5" borderId="3" xfId="16" applyFont="1" applyFill="1" applyBorder="1" applyAlignment="1">
      <alignment horizontal="center" vertical="center" wrapText="1"/>
    </xf>
    <xf numFmtId="0" fontId="31" fillId="0" borderId="40" xfId="16" applyFont="1" applyFill="1" applyBorder="1" applyAlignment="1">
      <alignment horizontal="left" vertical="top" wrapText="1"/>
    </xf>
    <xf numFmtId="0" fontId="31" fillId="0" borderId="56" xfId="16" applyFont="1" applyFill="1" applyBorder="1" applyAlignment="1">
      <alignment horizontal="left" vertical="top" wrapText="1"/>
    </xf>
    <xf numFmtId="0" fontId="4" fillId="0" borderId="15" xfId="16" applyBorder="1"/>
    <xf numFmtId="0" fontId="4" fillId="0" borderId="3" xfId="16" applyBorder="1"/>
    <xf numFmtId="0" fontId="4" fillId="0" borderId="16" xfId="16" applyBorder="1"/>
    <xf numFmtId="0" fontId="4" fillId="0" borderId="1" xfId="16" applyBorder="1"/>
    <xf numFmtId="0" fontId="4" fillId="0" borderId="17" xfId="16" applyBorder="1"/>
    <xf numFmtId="0" fontId="4" fillId="0" borderId="4" xfId="16" applyBorder="1"/>
    <xf numFmtId="0" fontId="21" fillId="5" borderId="3"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6" fillId="5" borderId="11" xfId="0" applyFont="1" applyFill="1" applyBorder="1" applyAlignment="1">
      <alignment horizontal="center" vertical="center" wrapText="1"/>
    </xf>
    <xf numFmtId="0" fontId="26" fillId="5" borderId="4"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 fillId="5" borderId="10" xfId="16" applyFont="1" applyFill="1" applyBorder="1" applyAlignment="1">
      <alignment horizontal="center" vertical="center" wrapText="1"/>
    </xf>
    <xf numFmtId="0" fontId="2" fillId="5" borderId="12" xfId="16" applyFont="1" applyFill="1" applyBorder="1" applyAlignment="1">
      <alignment horizontal="center" vertical="center" wrapText="1"/>
    </xf>
    <xf numFmtId="0" fontId="2" fillId="5" borderId="37" xfId="16" applyFont="1" applyFill="1" applyBorder="1" applyAlignment="1">
      <alignment horizontal="center" vertical="center" wrapText="1"/>
    </xf>
    <xf numFmtId="0" fontId="16" fillId="5" borderId="14" xfId="16" applyFont="1" applyFill="1" applyBorder="1" applyAlignment="1">
      <alignment horizontal="center" vertical="center" wrapText="1"/>
    </xf>
    <xf numFmtId="0" fontId="16" fillId="5" borderId="41" xfId="16" applyFont="1" applyFill="1" applyBorder="1" applyAlignment="1">
      <alignment horizontal="center" vertical="center" wrapText="1"/>
    </xf>
    <xf numFmtId="0" fontId="2" fillId="5" borderId="22" xfId="16" applyFont="1" applyFill="1" applyBorder="1" applyAlignment="1">
      <alignment horizontal="center" vertical="center" wrapText="1"/>
    </xf>
    <xf numFmtId="0" fontId="2" fillId="5" borderId="25" xfId="16" applyFont="1" applyFill="1" applyBorder="1" applyAlignment="1">
      <alignment horizontal="center" vertical="center" wrapText="1"/>
    </xf>
    <xf numFmtId="0" fontId="2" fillId="5" borderId="2" xfId="16" applyFont="1" applyFill="1" applyBorder="1" applyAlignment="1">
      <alignment horizontal="center" vertical="center" wrapText="1"/>
    </xf>
    <xf numFmtId="0" fontId="49" fillId="0" borderId="1" xfId="0" applyFont="1" applyBorder="1" applyAlignment="1">
      <alignment horizontal="right"/>
    </xf>
    <xf numFmtId="0" fontId="31" fillId="0" borderId="53" xfId="16" applyNumberFormat="1" applyFont="1" applyFill="1" applyBorder="1" applyAlignment="1">
      <alignment horizontal="left" vertical="center" wrapText="1"/>
    </xf>
    <xf numFmtId="0" fontId="31" fillId="0" borderId="11" xfId="16" applyNumberFormat="1" applyFont="1" applyFill="1" applyBorder="1" applyAlignment="1">
      <alignment horizontal="left" vertical="center" wrapText="1"/>
    </xf>
    <xf numFmtId="49" fontId="31" fillId="0" borderId="11" xfId="16" applyNumberFormat="1" applyFont="1" applyFill="1" applyBorder="1" applyAlignment="1">
      <alignment horizontal="left" vertical="center" wrapText="1"/>
    </xf>
    <xf numFmtId="3" fontId="12" fillId="0" borderId="1" xfId="26" applyNumberFormat="1" applyFont="1" applyFill="1" applyBorder="1" applyAlignment="1">
      <alignment horizontal="center" vertical="center" wrapText="1"/>
    </xf>
    <xf numFmtId="1" fontId="25" fillId="0" borderId="3" xfId="0" applyNumberFormat="1" applyFont="1" applyFill="1" applyBorder="1" applyAlignment="1">
      <alignment horizontal="center" vertical="center" wrapText="1"/>
    </xf>
    <xf numFmtId="1" fontId="25" fillId="0" borderId="1" xfId="0" applyNumberFormat="1" applyFont="1" applyFill="1" applyBorder="1" applyAlignment="1">
      <alignment horizontal="center" vertical="center" wrapText="1"/>
    </xf>
    <xf numFmtId="1" fontId="25" fillId="0" borderId="4" xfId="0" applyNumberFormat="1" applyFont="1" applyFill="1" applyBorder="1" applyAlignment="1">
      <alignment horizontal="center" vertical="center" wrapText="1"/>
    </xf>
    <xf numFmtId="3" fontId="12" fillId="0" borderId="3" xfId="26" applyNumberFormat="1" applyFont="1" applyFill="1" applyBorder="1" applyAlignment="1">
      <alignment horizontal="center" vertical="center" wrapText="1"/>
    </xf>
    <xf numFmtId="3" fontId="35" fillId="0" borderId="3" xfId="26" applyNumberFormat="1" applyFont="1" applyFill="1" applyBorder="1" applyAlignment="1">
      <alignment horizontal="center" vertical="center" wrapText="1"/>
    </xf>
    <xf numFmtId="3" fontId="35" fillId="0" borderId="1" xfId="26" applyNumberFormat="1" applyFont="1" applyFill="1" applyBorder="1" applyAlignment="1">
      <alignment horizontal="center" vertical="center" wrapText="1"/>
    </xf>
    <xf numFmtId="3" fontId="35" fillId="0" borderId="4" xfId="26" applyNumberFormat="1" applyFont="1" applyFill="1" applyBorder="1" applyAlignment="1">
      <alignment horizontal="center" vertical="center" wrapText="1"/>
    </xf>
    <xf numFmtId="0" fontId="12" fillId="0" borderId="1" xfId="26" applyFont="1" applyFill="1" applyBorder="1" applyAlignment="1">
      <alignment horizontal="center" vertical="center" wrapText="1"/>
    </xf>
    <xf numFmtId="0" fontId="12" fillId="0" borderId="4" xfId="26" applyFont="1" applyFill="1" applyBorder="1" applyAlignment="1">
      <alignment horizontal="center" vertical="center" wrapText="1"/>
    </xf>
    <xf numFmtId="0" fontId="20" fillId="0" borderId="15" xfId="19" applyFont="1" applyFill="1" applyBorder="1" applyAlignment="1">
      <alignment horizontal="center" vertical="center" wrapText="1"/>
    </xf>
    <xf numFmtId="0" fontId="20" fillId="0" borderId="16" xfId="19" applyFont="1" applyFill="1" applyBorder="1" applyAlignment="1">
      <alignment horizontal="center" vertical="center" wrapText="1"/>
    </xf>
    <xf numFmtId="0" fontId="20" fillId="0" borderId="17" xfId="19" applyFont="1" applyFill="1" applyBorder="1" applyAlignment="1">
      <alignment horizontal="center" vertical="center" wrapText="1"/>
    </xf>
    <xf numFmtId="0" fontId="20" fillId="0" borderId="3" xfId="19" applyFont="1" applyFill="1" applyBorder="1" applyAlignment="1">
      <alignment horizontal="center" vertical="center" wrapText="1"/>
    </xf>
    <xf numFmtId="0" fontId="20" fillId="0" borderId="1" xfId="19" applyFont="1" applyFill="1" applyBorder="1" applyAlignment="1">
      <alignment horizontal="center" vertical="center" wrapText="1"/>
    </xf>
    <xf numFmtId="0" fontId="20" fillId="0" borderId="4" xfId="19" applyFont="1" applyFill="1" applyBorder="1" applyAlignment="1">
      <alignment horizontal="center" vertical="center" wrapText="1"/>
    </xf>
    <xf numFmtId="3" fontId="20" fillId="0" borderId="1" xfId="26" applyNumberFormat="1"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4" xfId="0" applyFont="1" applyFill="1" applyBorder="1" applyAlignment="1">
      <alignment horizontal="center" vertical="center" wrapText="1"/>
    </xf>
    <xf numFmtId="3" fontId="12" fillId="0" borderId="4" xfId="26" applyNumberFormat="1" applyFont="1" applyFill="1" applyBorder="1" applyAlignment="1">
      <alignment horizontal="center" vertical="center" wrapText="1"/>
    </xf>
    <xf numFmtId="0" fontId="20" fillId="0" borderId="3" xfId="26" applyFont="1" applyFill="1" applyBorder="1" applyAlignment="1">
      <alignment horizontal="center" vertical="center" wrapText="1"/>
    </xf>
    <xf numFmtId="0" fontId="20" fillId="0" borderId="1" xfId="26" applyFont="1" applyFill="1" applyBorder="1" applyAlignment="1">
      <alignment horizontal="center" vertical="center" wrapText="1"/>
    </xf>
    <xf numFmtId="0" fontId="0" fillId="0" borderId="16" xfId="0" applyFill="1" applyBorder="1"/>
    <xf numFmtId="0" fontId="0" fillId="0" borderId="17" xfId="0" applyFill="1" applyBorder="1"/>
    <xf numFmtId="0" fontId="20" fillId="0" borderId="5" xfId="19" applyFont="1" applyFill="1" applyBorder="1" applyAlignment="1">
      <alignment horizontal="center" vertical="center" wrapText="1"/>
    </xf>
    <xf numFmtId="0" fontId="0" fillId="0" borderId="1" xfId="0" applyFill="1" applyBorder="1"/>
    <xf numFmtId="0" fontId="0" fillId="0" borderId="4" xfId="0" applyFill="1" applyBorder="1"/>
    <xf numFmtId="1" fontId="25" fillId="0" borderId="5" xfId="0" applyNumberFormat="1" applyFont="1" applyFill="1" applyBorder="1" applyAlignment="1">
      <alignment horizontal="center" vertical="center" wrapText="1"/>
    </xf>
    <xf numFmtId="0" fontId="20" fillId="0" borderId="2" xfId="19" applyFont="1" applyFill="1" applyBorder="1" applyAlignment="1">
      <alignment horizontal="center" vertical="center" wrapText="1"/>
    </xf>
    <xf numFmtId="1" fontId="25" fillId="0" borderId="2" xfId="0" applyNumberFormat="1" applyFont="1" applyFill="1" applyBorder="1" applyAlignment="1">
      <alignment horizontal="center" vertical="center" wrapText="1"/>
    </xf>
    <xf numFmtId="0" fontId="20" fillId="0" borderId="46" xfId="19" applyFont="1" applyFill="1" applyBorder="1" applyAlignment="1">
      <alignment horizontal="center" vertical="center" wrapText="1"/>
    </xf>
    <xf numFmtId="0" fontId="20" fillId="0" borderId="47" xfId="19" applyFont="1" applyFill="1" applyBorder="1" applyAlignment="1">
      <alignment horizontal="center" vertical="center" wrapText="1"/>
    </xf>
    <xf numFmtId="0" fontId="20" fillId="0" borderId="62" xfId="19" applyFont="1" applyFill="1" applyBorder="1" applyAlignment="1">
      <alignment horizontal="center" vertical="center" wrapText="1"/>
    </xf>
    <xf numFmtId="3" fontId="20" fillId="0" borderId="3" xfId="26" applyNumberFormat="1" applyFont="1" applyFill="1" applyBorder="1" applyAlignment="1">
      <alignment horizontal="center" vertical="center" wrapText="1"/>
    </xf>
    <xf numFmtId="3" fontId="34" fillId="0" borderId="5" xfId="26" applyNumberFormat="1" applyFont="1" applyFill="1" applyBorder="1" applyAlignment="1">
      <alignment horizontal="center" vertical="center" wrapText="1"/>
    </xf>
    <xf numFmtId="3" fontId="34" fillId="0" borderId="1" xfId="26" applyNumberFormat="1" applyFont="1" applyFill="1" applyBorder="1" applyAlignment="1">
      <alignment horizontal="center" vertical="center" wrapText="1"/>
    </xf>
    <xf numFmtId="3" fontId="34" fillId="0" borderId="4" xfId="26" applyNumberFormat="1" applyFont="1" applyFill="1" applyBorder="1" applyAlignment="1">
      <alignment horizontal="center" vertical="center" wrapText="1"/>
    </xf>
    <xf numFmtId="0" fontId="20" fillId="0" borderId="2" xfId="26" applyFont="1" applyFill="1" applyBorder="1" applyAlignment="1">
      <alignment horizontal="center" vertical="center" wrapText="1"/>
    </xf>
    <xf numFmtId="3" fontId="34" fillId="0" borderId="3" xfId="26" applyNumberFormat="1" applyFont="1" applyFill="1" applyBorder="1" applyAlignment="1">
      <alignment horizontal="center" vertical="center" wrapText="1"/>
    </xf>
    <xf numFmtId="3" fontId="34" fillId="0" borderId="2" xfId="26" applyNumberFormat="1" applyFont="1" applyFill="1" applyBorder="1" applyAlignment="1">
      <alignment horizontal="center" vertical="center" wrapText="1"/>
    </xf>
    <xf numFmtId="0" fontId="25" fillId="0" borderId="5" xfId="0" applyFont="1" applyFill="1" applyBorder="1" applyAlignment="1">
      <alignment horizontal="center" vertical="center" wrapText="1"/>
    </xf>
    <xf numFmtId="0" fontId="12" fillId="0" borderId="3" xfId="26" applyFont="1" applyFill="1" applyBorder="1" applyAlignment="1">
      <alignment horizontal="center" vertical="center" wrapText="1"/>
    </xf>
    <xf numFmtId="1" fontId="12" fillId="0" borderId="3" xfId="0" applyNumberFormat="1"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1" fontId="12" fillId="0" borderId="2" xfId="0" applyNumberFormat="1" applyFont="1" applyFill="1" applyBorder="1" applyAlignment="1">
      <alignment horizontal="center" vertical="center" wrapText="1"/>
    </xf>
    <xf numFmtId="0" fontId="4" fillId="0" borderId="1" xfId="19" applyFont="1" applyFill="1" applyBorder="1" applyAlignment="1">
      <alignment horizontal="center" vertical="center" wrapText="1"/>
    </xf>
    <xf numFmtId="170" fontId="4" fillId="0" borderId="3" xfId="26" applyNumberFormat="1" applyFont="1" applyFill="1" applyBorder="1" applyAlignment="1">
      <alignment horizontal="center" vertical="center" wrapText="1"/>
    </xf>
    <xf numFmtId="170" fontId="4" fillId="0" borderId="1" xfId="26" applyNumberFormat="1" applyFont="1" applyFill="1" applyBorder="1" applyAlignment="1">
      <alignment horizontal="center" vertical="center" wrapText="1"/>
    </xf>
    <xf numFmtId="170" fontId="4" fillId="0" borderId="2" xfId="26" applyNumberFormat="1" applyFont="1" applyFill="1" applyBorder="1" applyAlignment="1">
      <alignment horizontal="center" vertical="center" wrapText="1"/>
    </xf>
    <xf numFmtId="3" fontId="4" fillId="0" borderId="1" xfId="26" applyNumberFormat="1" applyFont="1" applyFill="1" applyBorder="1" applyAlignment="1">
      <alignment horizontal="center" vertical="center" wrapText="1"/>
    </xf>
    <xf numFmtId="0" fontId="20" fillId="0" borderId="4" xfId="26" applyFont="1" applyFill="1" applyBorder="1" applyAlignment="1">
      <alignment horizontal="center" vertical="center" wrapText="1"/>
    </xf>
    <xf numFmtId="182" fontId="25" fillId="0" borderId="3" xfId="0" applyNumberFormat="1" applyFont="1" applyFill="1" applyBorder="1" applyAlignment="1">
      <alignment horizontal="center" vertical="center" wrapText="1"/>
    </xf>
    <xf numFmtId="3" fontId="20" fillId="0" borderId="4" xfId="26" applyNumberFormat="1" applyFont="1" applyFill="1" applyBorder="1" applyAlignment="1">
      <alignment horizontal="center" vertical="center" wrapText="1"/>
    </xf>
    <xf numFmtId="0" fontId="12" fillId="0" borderId="22" xfId="19" applyFont="1" applyBorder="1" applyAlignment="1">
      <alignment horizontal="center"/>
    </xf>
    <xf numFmtId="0" fontId="12" fillId="0" borderId="23" xfId="19" applyFont="1" applyBorder="1" applyAlignment="1">
      <alignment horizontal="center"/>
    </xf>
    <xf numFmtId="0" fontId="12" fillId="0" borderId="24" xfId="19" applyFont="1" applyBorder="1" applyAlignment="1">
      <alignment horizontal="center"/>
    </xf>
    <xf numFmtId="0" fontId="12" fillId="0" borderId="25" xfId="19" applyFont="1" applyBorder="1" applyAlignment="1">
      <alignment horizontal="center"/>
    </xf>
    <xf numFmtId="0" fontId="12" fillId="0" borderId="0" xfId="19" applyFont="1" applyBorder="1" applyAlignment="1">
      <alignment horizontal="center"/>
    </xf>
    <xf numFmtId="0" fontId="12" fillId="0" borderId="9" xfId="19" applyFont="1" applyBorder="1" applyAlignment="1">
      <alignment horizontal="center"/>
    </xf>
    <xf numFmtId="0" fontId="16" fillId="6" borderId="35" xfId="19" applyFont="1" applyFill="1" applyBorder="1" applyAlignment="1">
      <alignment horizontal="center" vertical="center" wrapText="1"/>
    </xf>
    <xf numFmtId="0" fontId="16" fillId="6" borderId="36" xfId="19" applyFont="1" applyFill="1" applyBorder="1" applyAlignment="1">
      <alignment horizontal="center" vertical="center" wrapText="1"/>
    </xf>
    <xf numFmtId="0" fontId="16" fillId="6" borderId="22" xfId="19" applyFont="1" applyFill="1" applyBorder="1" applyAlignment="1">
      <alignment horizontal="center" vertical="center" wrapText="1"/>
    </xf>
    <xf numFmtId="0" fontId="16" fillId="6" borderId="25" xfId="19" applyFont="1" applyFill="1" applyBorder="1" applyAlignment="1">
      <alignment horizontal="center" vertical="center" wrapText="1"/>
    </xf>
    <xf numFmtId="0" fontId="16" fillId="6" borderId="37" xfId="19" applyFont="1" applyFill="1" applyBorder="1" applyAlignment="1">
      <alignment horizontal="center" vertical="center" wrapText="1"/>
    </xf>
    <xf numFmtId="0" fontId="16" fillId="6" borderId="21" xfId="19" applyFont="1" applyFill="1" applyBorder="1" applyAlignment="1">
      <alignment horizontal="center" vertical="center" wrapText="1"/>
    </xf>
    <xf numFmtId="0" fontId="16" fillId="6" borderId="3" xfId="19" applyFont="1" applyFill="1" applyBorder="1" applyAlignment="1">
      <alignment horizontal="center" vertical="center" wrapText="1"/>
    </xf>
    <xf numFmtId="0" fontId="46" fillId="6" borderId="3" xfId="19" applyFont="1" applyFill="1" applyBorder="1" applyAlignment="1">
      <alignment horizontal="center" vertical="center" wrapText="1"/>
    </xf>
    <xf numFmtId="0" fontId="46" fillId="6" borderId="1" xfId="19" applyFont="1" applyFill="1" applyBorder="1" applyAlignment="1">
      <alignment horizontal="center" vertical="center" wrapText="1"/>
    </xf>
    <xf numFmtId="0" fontId="20" fillId="0" borderId="5" xfId="26" applyFont="1" applyFill="1" applyBorder="1" applyAlignment="1">
      <alignment horizontal="center" vertical="center" wrapText="1"/>
    </xf>
    <xf numFmtId="170" fontId="20" fillId="0" borderId="1" xfId="26" applyNumberFormat="1" applyFont="1" applyFill="1" applyBorder="1" applyAlignment="1">
      <alignment horizontal="center" vertical="center" wrapText="1"/>
    </xf>
    <xf numFmtId="0" fontId="20" fillId="0" borderId="1" xfId="26" applyNumberFormat="1" applyFont="1" applyFill="1" applyBorder="1" applyAlignment="1">
      <alignment horizontal="center" vertical="center"/>
    </xf>
    <xf numFmtId="170" fontId="4" fillId="0" borderId="3" xfId="26" applyNumberFormat="1" applyFont="1" applyFill="1" applyBorder="1" applyAlignment="1">
      <alignment horizontal="center" vertical="center"/>
    </xf>
    <xf numFmtId="170" fontId="4" fillId="0" borderId="1" xfId="26" applyNumberFormat="1" applyFont="1" applyFill="1" applyBorder="1" applyAlignment="1">
      <alignment horizontal="center" vertical="center"/>
    </xf>
    <xf numFmtId="170" fontId="4" fillId="0" borderId="2" xfId="26" applyNumberFormat="1" applyFont="1" applyFill="1" applyBorder="1" applyAlignment="1">
      <alignment horizontal="center" vertical="center"/>
    </xf>
    <xf numFmtId="170" fontId="20" fillId="0" borderId="3" xfId="26" applyNumberFormat="1" applyFont="1" applyFill="1" applyBorder="1" applyAlignment="1">
      <alignment horizontal="center" vertical="center"/>
    </xf>
    <xf numFmtId="170" fontId="20" fillId="0" borderId="1" xfId="26" applyNumberFormat="1" applyFont="1" applyFill="1" applyBorder="1" applyAlignment="1">
      <alignment horizontal="center" vertical="center"/>
    </xf>
    <xf numFmtId="170" fontId="20" fillId="0" borderId="3" xfId="26" applyNumberFormat="1" applyFont="1" applyFill="1" applyBorder="1" applyAlignment="1">
      <alignment horizontal="center" vertical="center" wrapText="1"/>
    </xf>
    <xf numFmtId="0" fontId="20" fillId="0" borderId="3" xfId="26" applyNumberFormat="1" applyFont="1" applyFill="1" applyBorder="1" applyAlignment="1">
      <alignment horizontal="center" vertical="center"/>
    </xf>
    <xf numFmtId="3" fontId="4" fillId="0" borderId="5" xfId="26" applyNumberFormat="1" applyFont="1" applyFill="1" applyBorder="1" applyAlignment="1">
      <alignment horizontal="center" vertical="center" wrapText="1"/>
    </xf>
    <xf numFmtId="3" fontId="4" fillId="0" borderId="4" xfId="26"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3" fontId="4" fillId="0" borderId="3" xfId="26" applyNumberFormat="1" applyFont="1" applyFill="1" applyBorder="1" applyAlignment="1">
      <alignment horizontal="center" vertical="center" wrapText="1"/>
    </xf>
    <xf numFmtId="3" fontId="4" fillId="0" borderId="2" xfId="26" applyNumberFormat="1" applyFont="1" applyFill="1" applyBorder="1" applyAlignment="1">
      <alignment horizontal="center" vertical="center" wrapText="1"/>
    </xf>
    <xf numFmtId="175" fontId="0" fillId="0" borderId="1" xfId="4" applyNumberFormat="1" applyFont="1" applyFill="1" applyBorder="1" applyAlignment="1">
      <alignment horizontal="center" vertical="center"/>
    </xf>
    <xf numFmtId="0" fontId="20" fillId="0" borderId="48" xfId="19" applyFont="1" applyFill="1" applyBorder="1" applyAlignment="1">
      <alignment horizontal="center" vertical="center" wrapText="1"/>
    </xf>
    <xf numFmtId="0" fontId="20" fillId="0" borderId="49" xfId="19" applyFont="1" applyFill="1" applyBorder="1" applyAlignment="1">
      <alignment horizontal="center" vertical="center" wrapText="1"/>
    </xf>
    <xf numFmtId="3" fontId="16" fillId="0" borderId="3" xfId="26" applyNumberFormat="1" applyFont="1" applyFill="1" applyBorder="1" applyAlignment="1">
      <alignment horizontal="center" vertical="center" wrapText="1"/>
    </xf>
    <xf numFmtId="3" fontId="16" fillId="0" borderId="1" xfId="26" applyNumberFormat="1" applyFont="1" applyFill="1" applyBorder="1" applyAlignment="1">
      <alignment horizontal="center" vertical="center" wrapText="1"/>
    </xf>
    <xf numFmtId="0" fontId="51" fillId="6" borderId="1" xfId="19" applyFont="1" applyFill="1" applyBorder="1" applyAlignment="1">
      <alignment horizontal="center" vertical="center" wrapText="1"/>
    </xf>
    <xf numFmtId="0" fontId="16" fillId="6" borderId="54" xfId="19" applyFont="1" applyFill="1" applyBorder="1" applyAlignment="1">
      <alignment horizontal="center" vertical="center" wrapText="1"/>
    </xf>
    <xf numFmtId="0" fontId="16" fillId="6" borderId="55" xfId="19" applyFont="1" applyFill="1" applyBorder="1" applyAlignment="1">
      <alignment horizontal="center" vertical="center" wrapText="1"/>
    </xf>
    <xf numFmtId="0" fontId="16" fillId="6" borderId="23" xfId="19" applyFont="1" applyFill="1" applyBorder="1" applyAlignment="1">
      <alignment horizontal="center" vertical="center" wrapText="1"/>
    </xf>
    <xf numFmtId="1" fontId="25" fillId="0" borderId="10" xfId="0" applyNumberFormat="1" applyFont="1" applyFill="1" applyBorder="1" applyAlignment="1">
      <alignment horizontal="center" vertical="center" wrapText="1"/>
    </xf>
    <xf numFmtId="1" fontId="25" fillId="0" borderId="11" xfId="0" applyNumberFormat="1" applyFont="1" applyFill="1" applyBorder="1" applyAlignment="1">
      <alignment horizontal="center" vertical="center" wrapText="1"/>
    </xf>
    <xf numFmtId="1" fontId="25" fillId="0" borderId="12" xfId="0" applyNumberFormat="1" applyFont="1" applyFill="1" applyBorder="1" applyAlignment="1">
      <alignment horizontal="center" vertical="center" wrapText="1"/>
    </xf>
    <xf numFmtId="1" fontId="4" fillId="0" borderId="10" xfId="0" applyNumberFormat="1" applyFont="1" applyFill="1" applyBorder="1" applyAlignment="1">
      <alignment horizontal="center" vertical="center" wrapText="1"/>
    </xf>
    <xf numFmtId="1" fontId="4" fillId="0" borderId="11" xfId="0" applyNumberFormat="1" applyFont="1" applyFill="1" applyBorder="1" applyAlignment="1">
      <alignment horizontal="center" vertical="center" wrapText="1"/>
    </xf>
    <xf numFmtId="1" fontId="4" fillId="0" borderId="18" xfId="0" applyNumberFormat="1" applyFont="1" applyFill="1" applyBorder="1" applyAlignment="1">
      <alignment horizontal="center" vertical="center" wrapText="1"/>
    </xf>
    <xf numFmtId="1" fontId="25" fillId="0" borderId="53" xfId="0" applyNumberFormat="1" applyFont="1" applyFill="1" applyBorder="1" applyAlignment="1">
      <alignment horizontal="center" vertical="center" wrapText="1"/>
    </xf>
    <xf numFmtId="1" fontId="25" fillId="0" borderId="18" xfId="0" applyNumberFormat="1" applyFont="1" applyFill="1" applyBorder="1" applyAlignment="1">
      <alignment horizontal="center" vertical="center" wrapText="1"/>
    </xf>
    <xf numFmtId="174" fontId="25" fillId="0" borderId="11" xfId="28" applyNumberFormat="1" applyFont="1" applyFill="1" applyBorder="1" applyAlignment="1">
      <alignment horizontal="center" vertical="center" wrapText="1"/>
    </xf>
    <xf numFmtId="0" fontId="39" fillId="0" borderId="49" xfId="26" applyFont="1" applyFill="1" applyBorder="1" applyAlignment="1">
      <alignment horizontal="center" vertical="center" wrapText="1"/>
    </xf>
    <xf numFmtId="0" fontId="39" fillId="0" borderId="47" xfId="26" applyFont="1" applyFill="1" applyBorder="1" applyAlignment="1">
      <alignment horizontal="center" vertical="center" wrapText="1"/>
    </xf>
    <xf numFmtId="0" fontId="39" fillId="0" borderId="48" xfId="26" applyFont="1" applyFill="1" applyBorder="1" applyAlignment="1">
      <alignment horizontal="center" vertical="center" wrapText="1"/>
    </xf>
    <xf numFmtId="0" fontId="39" fillId="0" borderId="15" xfId="26" applyFont="1" applyFill="1" applyBorder="1" applyAlignment="1">
      <alignment horizontal="center" vertical="center" wrapText="1"/>
    </xf>
    <xf numFmtId="0" fontId="39" fillId="0" borderId="16" xfId="26" applyFont="1" applyFill="1" applyBorder="1" applyAlignment="1">
      <alignment horizontal="center" vertical="center" wrapText="1"/>
    </xf>
    <xf numFmtId="0" fontId="39" fillId="0" borderId="17" xfId="26" applyFont="1" applyFill="1" applyBorder="1" applyAlignment="1">
      <alignment horizontal="center" vertical="center" wrapText="1"/>
    </xf>
    <xf numFmtId="3" fontId="12" fillId="0" borderId="11" xfId="26" applyNumberFormat="1" applyFont="1" applyFill="1" applyBorder="1" applyAlignment="1">
      <alignment horizontal="center" vertical="center" wrapText="1"/>
    </xf>
    <xf numFmtId="3" fontId="12" fillId="0" borderId="10" xfId="26" applyNumberFormat="1" applyFont="1" applyFill="1" applyBorder="1" applyAlignment="1">
      <alignment horizontal="center" vertical="center" wrapText="1"/>
    </xf>
    <xf numFmtId="3" fontId="35" fillId="0" borderId="10" xfId="26" applyNumberFormat="1" applyFont="1" applyFill="1" applyBorder="1" applyAlignment="1">
      <alignment horizontal="center" vertical="center" wrapText="1"/>
    </xf>
    <xf numFmtId="3" fontId="35" fillId="0" borderId="11" xfId="26" applyNumberFormat="1" applyFont="1" applyFill="1" applyBorder="1" applyAlignment="1">
      <alignment horizontal="center" vertical="center" wrapText="1"/>
    </xf>
    <xf numFmtId="3" fontId="35" fillId="0" borderId="12" xfId="26" applyNumberFormat="1" applyFont="1" applyFill="1" applyBorder="1" applyAlignment="1">
      <alignment horizontal="center" vertical="center" wrapText="1"/>
    </xf>
    <xf numFmtId="0" fontId="20" fillId="6" borderId="5" xfId="19" applyFont="1" applyFill="1" applyBorder="1" applyAlignment="1">
      <alignment horizontal="center" vertical="center" wrapText="1"/>
    </xf>
    <xf numFmtId="0" fontId="20" fillId="6" borderId="1" xfId="19" applyFont="1" applyFill="1" applyBorder="1" applyAlignment="1">
      <alignment horizontal="center" vertical="center" wrapText="1"/>
    </xf>
    <xf numFmtId="0" fontId="16" fillId="6" borderId="16" xfId="19" applyFont="1" applyFill="1" applyBorder="1" applyAlignment="1">
      <alignment horizontal="center" vertical="center" wrapText="1"/>
    </xf>
    <xf numFmtId="0" fontId="16" fillId="6" borderId="1" xfId="19" applyFont="1" applyFill="1" applyBorder="1" applyAlignment="1">
      <alignment horizontal="center" vertical="center" wrapText="1"/>
    </xf>
    <xf numFmtId="0" fontId="16" fillId="6" borderId="17" xfId="19" applyFont="1" applyFill="1" applyBorder="1" applyAlignment="1">
      <alignment horizontal="center" vertical="center" wrapText="1"/>
    </xf>
    <xf numFmtId="0" fontId="16" fillId="6" borderId="4" xfId="19" applyFont="1" applyFill="1" applyBorder="1" applyAlignment="1">
      <alignment horizontal="center" vertical="center" wrapText="1"/>
    </xf>
    <xf numFmtId="0" fontId="16" fillId="6" borderId="4" xfId="19" applyFont="1" applyFill="1" applyBorder="1" applyAlignment="1">
      <alignment horizontal="right"/>
    </xf>
    <xf numFmtId="0" fontId="16" fillId="6" borderId="12" xfId="19" applyFont="1" applyFill="1" applyBorder="1" applyAlignment="1">
      <alignment horizontal="right"/>
    </xf>
  </cellXfs>
  <cellStyles count="30">
    <cellStyle name="Coma 2" xfId="1" xr:uid="{00000000-0005-0000-0000-000000000000}"/>
    <cellStyle name="Coma 2 2" xfId="2" xr:uid="{00000000-0005-0000-0000-000001000000}"/>
    <cellStyle name="Millares" xfId="3" builtinId="3"/>
    <cellStyle name="Millares 10" xfId="28" xr:uid="{00000000-0005-0000-0000-000003000000}"/>
    <cellStyle name="Millares 2" xfId="4" xr:uid="{00000000-0005-0000-0000-000004000000}"/>
    <cellStyle name="Millares 2 2" xfId="5" xr:uid="{00000000-0005-0000-0000-000005000000}"/>
    <cellStyle name="Millares 2 3" xfId="27" xr:uid="{00000000-0005-0000-0000-000006000000}"/>
    <cellStyle name="Millares 3" xfId="6" xr:uid="{00000000-0005-0000-0000-000007000000}"/>
    <cellStyle name="Millares 3 2" xfId="7" xr:uid="{00000000-0005-0000-0000-000008000000}"/>
    <cellStyle name="Millares 4" xfId="8" xr:uid="{00000000-0005-0000-0000-000009000000}"/>
    <cellStyle name="Moneda" xfId="9" builtinId="4"/>
    <cellStyle name="Moneda 2" xfId="10" xr:uid="{00000000-0005-0000-0000-00000B000000}"/>
    <cellStyle name="Moneda 2 2" xfId="11" xr:uid="{00000000-0005-0000-0000-00000C000000}"/>
    <cellStyle name="Moneda 2 2 2" xfId="12" xr:uid="{00000000-0005-0000-0000-00000D000000}"/>
    <cellStyle name="Moneda 2 3" xfId="13" xr:uid="{00000000-0005-0000-0000-00000E000000}"/>
    <cellStyle name="Moneda 2 4 3" xfId="24" xr:uid="{00000000-0005-0000-0000-00000F000000}"/>
    <cellStyle name="Moneda 3" xfId="14" xr:uid="{00000000-0005-0000-0000-000010000000}"/>
    <cellStyle name="Moneda 4" xfId="15" xr:uid="{00000000-0005-0000-0000-000011000000}"/>
    <cellStyle name="Normal" xfId="0" builtinId="0"/>
    <cellStyle name="Normal 2" xfId="16" xr:uid="{00000000-0005-0000-0000-000013000000}"/>
    <cellStyle name="Normal 2 10" xfId="17" xr:uid="{00000000-0005-0000-0000-000014000000}"/>
    <cellStyle name="Normal 3" xfId="18" xr:uid="{00000000-0005-0000-0000-000015000000}"/>
    <cellStyle name="Normal 3 2" xfId="19" xr:uid="{00000000-0005-0000-0000-000016000000}"/>
    <cellStyle name="Normal 4 2" xfId="20" xr:uid="{00000000-0005-0000-0000-000017000000}"/>
    <cellStyle name="Normal 4 4 2" xfId="26" xr:uid="{00000000-0005-0000-0000-000018000000}"/>
    <cellStyle name="Porcentaje" xfId="21" builtinId="5"/>
    <cellStyle name="Porcentaje 2" xfId="29" xr:uid="{00000000-0005-0000-0000-00001A000000}"/>
    <cellStyle name="Porcentual 2" xfId="22" xr:uid="{00000000-0005-0000-0000-00001B000000}"/>
    <cellStyle name="Porcentual 2 2" xfId="23" xr:uid="{00000000-0005-0000-0000-00001C000000}"/>
    <cellStyle name="Porcentual 2 2 2" xfId="25" xr:uid="{00000000-0005-0000-0000-00001D000000}"/>
  </cellStyles>
  <dxfs count="0"/>
  <tableStyles count="0" defaultTableStyle="TableStyleMedium9" defaultPivotStyle="PivotStyleLight16"/>
  <colors>
    <mruColors>
      <color rgb="FF669900"/>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923925</xdr:colOff>
      <xdr:row>1</xdr:row>
      <xdr:rowOff>285750</xdr:rowOff>
    </xdr:from>
    <xdr:to>
      <xdr:col>4</xdr:col>
      <xdr:colOff>47625</xdr:colOff>
      <xdr:row>4</xdr:row>
      <xdr:rowOff>9525</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14475" y="552450"/>
          <a:ext cx="2914650" cy="923925"/>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825500</xdr:colOff>
      <xdr:row>0</xdr:row>
      <xdr:rowOff>266700</xdr:rowOff>
    </xdr:from>
    <xdr:to>
      <xdr:col>2</xdr:col>
      <xdr:colOff>1571625</xdr:colOff>
      <xdr:row>3</xdr:row>
      <xdr:rowOff>19050</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39850" y="266700"/>
          <a:ext cx="1574800" cy="981075"/>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254000</xdr:colOff>
      <xdr:row>0</xdr:row>
      <xdr:rowOff>284692</xdr:rowOff>
    </xdr:from>
    <xdr:to>
      <xdr:col>1</xdr:col>
      <xdr:colOff>789516</xdr:colOff>
      <xdr:row>3</xdr:row>
      <xdr:rowOff>20135</xdr:rowOff>
    </xdr:to>
    <xdr:pic>
      <xdr:nvPicPr>
        <xdr:cNvPr id="3" name="Imagen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4000" y="284692"/>
          <a:ext cx="535516" cy="887968"/>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62006</xdr:colOff>
      <xdr:row>0</xdr:row>
      <xdr:rowOff>236070</xdr:rowOff>
    </xdr:from>
    <xdr:to>
      <xdr:col>3</xdr:col>
      <xdr:colOff>234509</xdr:colOff>
      <xdr:row>3</xdr:row>
      <xdr:rowOff>89646</xdr:rowOff>
    </xdr:to>
    <xdr:pic>
      <xdr:nvPicPr>
        <xdr:cNvPr id="3" name="Imagen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3031" y="236070"/>
          <a:ext cx="2229903" cy="1110876"/>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28"/>
  <sheetViews>
    <sheetView view="pageBreakPreview" topLeftCell="A7" zoomScale="70" zoomScaleNormal="60" zoomScaleSheetLayoutView="70" workbookViewId="0">
      <selection activeCell="H26" sqref="H26"/>
    </sheetView>
  </sheetViews>
  <sheetFormatPr baseColWidth="10" defaultColWidth="11.42578125" defaultRowHeight="15" x14ac:dyDescent="0.25"/>
  <cols>
    <col min="1" max="1" width="8.85546875" style="1" customWidth="1"/>
    <col min="2" max="2" width="20.85546875" style="1" customWidth="1"/>
    <col min="3" max="3" width="8.85546875" style="1" customWidth="1"/>
    <col min="4" max="4" width="27.140625" style="1" customWidth="1"/>
    <col min="5" max="5" width="7.5703125" style="1" customWidth="1"/>
    <col min="6" max="6" width="17.42578125" style="1" customWidth="1"/>
    <col min="7" max="7" width="19.5703125" style="1" customWidth="1"/>
    <col min="8" max="8" width="12.85546875" style="1" customWidth="1"/>
    <col min="9" max="9" width="13.5703125" style="20" customWidth="1"/>
    <col min="10" max="10" width="12.7109375" style="27" customWidth="1"/>
    <col min="11" max="11" width="12.7109375" style="20" customWidth="1"/>
    <col min="12" max="12" width="19" style="28" customWidth="1"/>
    <col min="13" max="13" width="12.7109375" style="27" customWidth="1"/>
    <col min="14" max="14" width="14.28515625" style="27" customWidth="1"/>
    <col min="15" max="15" width="17" style="27" customWidth="1"/>
    <col min="16" max="16" width="12.140625" style="27" customWidth="1"/>
    <col min="17" max="17" width="12.7109375" style="28" customWidth="1"/>
    <col min="18" max="18" width="9.28515625" style="27" customWidth="1"/>
    <col min="19" max="21" width="12.7109375" style="27" customWidth="1"/>
    <col min="22" max="22" width="12.7109375" style="28" customWidth="1"/>
    <col min="23" max="26" width="12.7109375" style="27" customWidth="1"/>
    <col min="27" max="32" width="12.7109375" style="28" customWidth="1"/>
    <col min="33" max="33" width="12.85546875" style="1" customWidth="1"/>
    <col min="34" max="34" width="16.5703125" style="1" customWidth="1"/>
    <col min="35" max="35" width="12.85546875" style="1" customWidth="1"/>
    <col min="36" max="36" width="18.85546875" style="1" customWidth="1"/>
    <col min="37" max="37" width="13.140625" style="1" customWidth="1"/>
    <col min="38" max="38" width="14.5703125" style="1" customWidth="1"/>
    <col min="39" max="39" width="60" style="1" customWidth="1"/>
    <col min="40" max="40" width="18.5703125" style="1" customWidth="1"/>
    <col min="41" max="41" width="21.42578125" style="1" customWidth="1"/>
    <col min="42" max="42" width="19.140625" style="1" customWidth="1"/>
    <col min="43" max="43" width="16.7109375" style="1" customWidth="1"/>
    <col min="44" max="44" width="11.42578125" style="1"/>
    <col min="45" max="45" width="56.5703125" style="1" customWidth="1"/>
    <col min="46" max="16384" width="11.42578125" style="1"/>
  </cols>
  <sheetData>
    <row r="1" spans="1:43" ht="21" customHeight="1" thickBot="1" x14ac:dyDescent="0.3">
      <c r="A1" s="4"/>
      <c r="B1" s="4"/>
      <c r="C1" s="4"/>
      <c r="D1" s="4"/>
      <c r="E1" s="4"/>
      <c r="F1" s="4"/>
      <c r="G1" s="4"/>
      <c r="H1" s="4"/>
      <c r="I1" s="18"/>
      <c r="J1" s="18"/>
      <c r="K1" s="18"/>
      <c r="L1" s="18"/>
      <c r="M1" s="18"/>
      <c r="N1" s="18"/>
      <c r="O1" s="18"/>
      <c r="P1" s="18"/>
      <c r="Q1" s="18"/>
      <c r="R1" s="18"/>
      <c r="S1" s="18"/>
      <c r="T1" s="18"/>
      <c r="U1" s="18"/>
      <c r="V1" s="18"/>
      <c r="W1" s="18"/>
      <c r="X1" s="18"/>
      <c r="Y1" s="18"/>
      <c r="Z1" s="18"/>
      <c r="AA1" s="18"/>
      <c r="AB1" s="18"/>
      <c r="AC1" s="18"/>
      <c r="AD1" s="18"/>
      <c r="AE1" s="18"/>
      <c r="AF1" s="18"/>
      <c r="AG1" s="4"/>
      <c r="AH1" s="4"/>
      <c r="AI1" s="4"/>
      <c r="AJ1" s="4"/>
      <c r="AK1" s="4"/>
      <c r="AL1" s="4"/>
      <c r="AM1" s="4"/>
      <c r="AN1" s="4"/>
      <c r="AO1" s="4"/>
      <c r="AP1" s="4"/>
      <c r="AQ1" s="4"/>
    </row>
    <row r="2" spans="1:43" ht="38.25" customHeight="1" x14ac:dyDescent="0.25">
      <c r="A2" s="692"/>
      <c r="B2" s="693"/>
      <c r="C2" s="693"/>
      <c r="D2" s="693"/>
      <c r="E2" s="693"/>
      <c r="F2" s="694"/>
      <c r="G2" s="699" t="s">
        <v>0</v>
      </c>
      <c r="H2" s="699"/>
      <c r="I2" s="699"/>
      <c r="J2" s="699"/>
      <c r="K2" s="699"/>
      <c r="L2" s="699"/>
      <c r="M2" s="699"/>
      <c r="N2" s="699"/>
      <c r="O2" s="699"/>
      <c r="P2" s="699"/>
      <c r="Q2" s="699"/>
      <c r="R2" s="699"/>
      <c r="S2" s="699"/>
      <c r="T2" s="699"/>
      <c r="U2" s="699"/>
      <c r="V2" s="699"/>
      <c r="W2" s="699"/>
      <c r="X2" s="699"/>
      <c r="Y2" s="699"/>
      <c r="Z2" s="699"/>
      <c r="AA2" s="699"/>
      <c r="AB2" s="699"/>
      <c r="AC2" s="699"/>
      <c r="AD2" s="699"/>
      <c r="AE2" s="699"/>
      <c r="AF2" s="699"/>
      <c r="AG2" s="699"/>
      <c r="AH2" s="699"/>
      <c r="AI2" s="699"/>
      <c r="AJ2" s="699"/>
      <c r="AK2" s="699"/>
      <c r="AL2" s="699"/>
      <c r="AM2" s="699"/>
      <c r="AN2" s="699"/>
      <c r="AO2" s="699"/>
      <c r="AP2" s="699"/>
      <c r="AQ2" s="700"/>
    </row>
    <row r="3" spans="1:43" ht="28.5" customHeight="1" x14ac:dyDescent="0.25">
      <c r="A3" s="695"/>
      <c r="B3" s="696"/>
      <c r="C3" s="696"/>
      <c r="D3" s="696"/>
      <c r="E3" s="696"/>
      <c r="F3" s="697"/>
      <c r="G3" s="675" t="s">
        <v>112</v>
      </c>
      <c r="H3" s="675"/>
      <c r="I3" s="675"/>
      <c r="J3" s="675"/>
      <c r="K3" s="675"/>
      <c r="L3" s="675"/>
      <c r="M3" s="675"/>
      <c r="N3" s="675"/>
      <c r="O3" s="675"/>
      <c r="P3" s="675"/>
      <c r="Q3" s="675"/>
      <c r="R3" s="675"/>
      <c r="S3" s="675"/>
      <c r="T3" s="675"/>
      <c r="U3" s="675"/>
      <c r="V3" s="675"/>
      <c r="W3" s="675"/>
      <c r="X3" s="675"/>
      <c r="Y3" s="675"/>
      <c r="Z3" s="675"/>
      <c r="AA3" s="675"/>
      <c r="AB3" s="675"/>
      <c r="AC3" s="675"/>
      <c r="AD3" s="675"/>
      <c r="AE3" s="675"/>
      <c r="AF3" s="675"/>
      <c r="AG3" s="675"/>
      <c r="AH3" s="675"/>
      <c r="AI3" s="675"/>
      <c r="AJ3" s="675"/>
      <c r="AK3" s="675"/>
      <c r="AL3" s="675"/>
      <c r="AM3" s="675"/>
      <c r="AN3" s="675"/>
      <c r="AO3" s="675"/>
      <c r="AP3" s="675"/>
      <c r="AQ3" s="676"/>
    </row>
    <row r="4" spans="1:43" ht="27.75" customHeight="1" x14ac:dyDescent="0.25">
      <c r="A4" s="695"/>
      <c r="B4" s="696"/>
      <c r="C4" s="696"/>
      <c r="D4" s="696"/>
      <c r="E4" s="696"/>
      <c r="F4" s="697"/>
      <c r="G4" s="675" t="s">
        <v>1</v>
      </c>
      <c r="H4" s="675"/>
      <c r="I4" s="675"/>
      <c r="J4" s="675"/>
      <c r="K4" s="675"/>
      <c r="L4" s="675"/>
      <c r="M4" s="675"/>
      <c r="N4" s="675"/>
      <c r="O4" s="675"/>
      <c r="P4" s="675" t="s">
        <v>115</v>
      </c>
      <c r="Q4" s="675"/>
      <c r="R4" s="675"/>
      <c r="S4" s="675"/>
      <c r="T4" s="675"/>
      <c r="U4" s="675"/>
      <c r="V4" s="675"/>
      <c r="W4" s="675"/>
      <c r="X4" s="675"/>
      <c r="Y4" s="675"/>
      <c r="Z4" s="675"/>
      <c r="AA4" s="675"/>
      <c r="AB4" s="675"/>
      <c r="AC4" s="675"/>
      <c r="AD4" s="675"/>
      <c r="AE4" s="675"/>
      <c r="AF4" s="675"/>
      <c r="AG4" s="675"/>
      <c r="AH4" s="675"/>
      <c r="AI4" s="675"/>
      <c r="AJ4" s="675"/>
      <c r="AK4" s="675"/>
      <c r="AL4" s="675"/>
      <c r="AM4" s="675"/>
      <c r="AN4" s="675"/>
      <c r="AO4" s="675"/>
      <c r="AP4" s="675"/>
      <c r="AQ4" s="676"/>
    </row>
    <row r="5" spans="1:43" ht="26.25" customHeight="1" x14ac:dyDescent="0.25">
      <c r="A5" s="695"/>
      <c r="B5" s="696"/>
      <c r="C5" s="696"/>
      <c r="D5" s="696"/>
      <c r="E5" s="696"/>
      <c r="F5" s="697"/>
      <c r="G5" s="675" t="s">
        <v>3</v>
      </c>
      <c r="H5" s="675"/>
      <c r="I5" s="675"/>
      <c r="J5" s="675"/>
      <c r="K5" s="675"/>
      <c r="L5" s="675"/>
      <c r="M5" s="675"/>
      <c r="N5" s="675"/>
      <c r="O5" s="675"/>
      <c r="P5" s="675" t="s">
        <v>116</v>
      </c>
      <c r="Q5" s="675"/>
      <c r="R5" s="675"/>
      <c r="S5" s="675"/>
      <c r="T5" s="675"/>
      <c r="U5" s="675"/>
      <c r="V5" s="675"/>
      <c r="W5" s="675"/>
      <c r="X5" s="675"/>
      <c r="Y5" s="675"/>
      <c r="Z5" s="675"/>
      <c r="AA5" s="675"/>
      <c r="AB5" s="675"/>
      <c r="AC5" s="675"/>
      <c r="AD5" s="675"/>
      <c r="AE5" s="675"/>
      <c r="AF5" s="675"/>
      <c r="AG5" s="675"/>
      <c r="AH5" s="675"/>
      <c r="AI5" s="675"/>
      <c r="AJ5" s="675"/>
      <c r="AK5" s="675"/>
      <c r="AL5" s="675"/>
      <c r="AM5" s="675"/>
      <c r="AN5" s="675"/>
      <c r="AO5" s="675"/>
      <c r="AP5" s="675"/>
      <c r="AQ5" s="676"/>
    </row>
    <row r="6" spans="1:43" ht="15.75" x14ac:dyDescent="0.25">
      <c r="A6" s="35"/>
      <c r="B6" s="36"/>
      <c r="C6" s="36"/>
      <c r="D6" s="36"/>
      <c r="E6" s="36"/>
      <c r="F6" s="36"/>
      <c r="G6" s="36"/>
      <c r="H6" s="36"/>
      <c r="I6" s="37"/>
      <c r="J6" s="37"/>
      <c r="K6" s="37"/>
      <c r="L6" s="37"/>
      <c r="M6" s="37"/>
      <c r="N6" s="37"/>
      <c r="O6" s="37"/>
      <c r="P6" s="37"/>
      <c r="Q6" s="37"/>
      <c r="R6" s="37"/>
      <c r="S6" s="37"/>
      <c r="T6" s="37"/>
      <c r="U6" s="37"/>
      <c r="V6" s="37"/>
      <c r="W6" s="37"/>
      <c r="X6" s="37"/>
      <c r="Y6" s="37"/>
      <c r="Z6" s="37"/>
      <c r="AA6" s="37"/>
      <c r="AB6" s="37"/>
      <c r="AC6" s="37"/>
      <c r="AD6" s="37"/>
      <c r="AE6" s="37"/>
      <c r="AF6" s="37"/>
      <c r="AG6" s="36"/>
      <c r="AH6" s="36"/>
      <c r="AI6" s="36"/>
      <c r="AJ6" s="36"/>
      <c r="AK6" s="36"/>
      <c r="AL6" s="36"/>
      <c r="AM6" s="36"/>
      <c r="AN6" s="36"/>
      <c r="AO6" s="36"/>
      <c r="AP6" s="36"/>
      <c r="AQ6" s="38"/>
    </row>
    <row r="7" spans="1:43" ht="30" customHeight="1" x14ac:dyDescent="0.25">
      <c r="A7" s="703" t="s">
        <v>4</v>
      </c>
      <c r="B7" s="675"/>
      <c r="C7" s="675"/>
      <c r="D7" s="675"/>
      <c r="E7" s="675"/>
      <c r="F7" s="675"/>
      <c r="G7" s="675"/>
      <c r="H7" s="675"/>
      <c r="I7" s="675"/>
      <c r="J7" s="675"/>
      <c r="K7" s="675"/>
      <c r="L7" s="675"/>
      <c r="M7" s="675"/>
      <c r="N7" s="675"/>
      <c r="O7" s="675"/>
      <c r="P7" s="706" t="s">
        <v>114</v>
      </c>
      <c r="Q7" s="706"/>
      <c r="R7" s="706"/>
      <c r="S7" s="706"/>
      <c r="T7" s="706"/>
      <c r="U7" s="706"/>
      <c r="V7" s="706"/>
      <c r="W7" s="706"/>
      <c r="X7" s="706"/>
      <c r="Y7" s="706"/>
      <c r="Z7" s="706"/>
      <c r="AA7" s="706"/>
      <c r="AB7" s="706"/>
      <c r="AC7" s="706"/>
      <c r="AD7" s="706"/>
      <c r="AE7" s="706"/>
      <c r="AF7" s="706"/>
      <c r="AG7" s="706"/>
      <c r="AH7" s="706"/>
      <c r="AI7" s="706"/>
      <c r="AJ7" s="706"/>
      <c r="AK7" s="706"/>
      <c r="AL7" s="706"/>
      <c r="AM7" s="706"/>
      <c r="AN7" s="706"/>
      <c r="AO7" s="706"/>
      <c r="AP7" s="706"/>
      <c r="AQ7" s="707"/>
    </row>
    <row r="8" spans="1:43" ht="30" customHeight="1" thickBot="1" x14ac:dyDescent="0.3">
      <c r="A8" s="704" t="s">
        <v>2</v>
      </c>
      <c r="B8" s="705"/>
      <c r="C8" s="705" t="s">
        <v>2</v>
      </c>
      <c r="D8" s="705"/>
      <c r="E8" s="705"/>
      <c r="F8" s="705"/>
      <c r="G8" s="705"/>
      <c r="H8" s="705"/>
      <c r="I8" s="705"/>
      <c r="J8" s="705"/>
      <c r="K8" s="705"/>
      <c r="L8" s="705"/>
      <c r="M8" s="705"/>
      <c r="N8" s="705"/>
      <c r="O8" s="705"/>
      <c r="P8" s="701" t="s">
        <v>117</v>
      </c>
      <c r="Q8" s="701"/>
      <c r="R8" s="701"/>
      <c r="S8" s="701"/>
      <c r="T8" s="701"/>
      <c r="U8" s="701"/>
      <c r="V8" s="701"/>
      <c r="W8" s="701"/>
      <c r="X8" s="701"/>
      <c r="Y8" s="701"/>
      <c r="Z8" s="701"/>
      <c r="AA8" s="701"/>
      <c r="AB8" s="701"/>
      <c r="AC8" s="701"/>
      <c r="AD8" s="701"/>
      <c r="AE8" s="701"/>
      <c r="AF8" s="701"/>
      <c r="AG8" s="701"/>
      <c r="AH8" s="701"/>
      <c r="AI8" s="701"/>
      <c r="AJ8" s="701"/>
      <c r="AK8" s="701"/>
      <c r="AL8" s="701"/>
      <c r="AM8" s="701"/>
      <c r="AN8" s="701"/>
      <c r="AO8" s="701"/>
      <c r="AP8" s="701"/>
      <c r="AQ8" s="702"/>
    </row>
    <row r="9" spans="1:43" ht="36" customHeight="1" thickBot="1" x14ac:dyDescent="0.3">
      <c r="A9" s="32"/>
      <c r="B9" s="33"/>
      <c r="C9" s="33"/>
      <c r="D9" s="33"/>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6"/>
      <c r="AH9" s="36"/>
      <c r="AI9" s="36"/>
      <c r="AJ9" s="36"/>
      <c r="AK9" s="36"/>
      <c r="AL9" s="36"/>
      <c r="AM9" s="36"/>
      <c r="AN9" s="36"/>
      <c r="AO9" s="36"/>
      <c r="AP9" s="36"/>
      <c r="AQ9" s="38"/>
    </row>
    <row r="10" spans="1:43" s="2" customFormat="1" ht="70.5" customHeight="1" x14ac:dyDescent="0.25">
      <c r="A10" s="698" t="s">
        <v>90</v>
      </c>
      <c r="B10" s="684"/>
      <c r="C10" s="684" t="s">
        <v>93</v>
      </c>
      <c r="D10" s="684"/>
      <c r="E10" s="684" t="s">
        <v>95</v>
      </c>
      <c r="F10" s="684"/>
      <c r="G10" s="684"/>
      <c r="H10" s="684"/>
      <c r="I10" s="684"/>
      <c r="J10" s="684"/>
      <c r="K10" s="684"/>
      <c r="L10" s="684"/>
      <c r="M10" s="684"/>
      <c r="N10" s="684"/>
      <c r="O10" s="684"/>
      <c r="P10" s="684"/>
      <c r="Q10" s="684"/>
      <c r="R10" s="684"/>
      <c r="S10" s="684"/>
      <c r="T10" s="684"/>
      <c r="U10" s="684"/>
      <c r="V10" s="684"/>
      <c r="W10" s="684"/>
      <c r="X10" s="684"/>
      <c r="Y10" s="684"/>
      <c r="Z10" s="684"/>
      <c r="AA10" s="684"/>
      <c r="AB10" s="684"/>
      <c r="AC10" s="684"/>
      <c r="AD10" s="684"/>
      <c r="AE10" s="684"/>
      <c r="AF10" s="684"/>
      <c r="AG10" s="684"/>
      <c r="AH10" s="684"/>
      <c r="AI10" s="684"/>
      <c r="AJ10" s="684"/>
      <c r="AK10" s="684" t="s">
        <v>103</v>
      </c>
      <c r="AL10" s="684" t="s">
        <v>104</v>
      </c>
      <c r="AM10" s="677" t="s">
        <v>105</v>
      </c>
      <c r="AN10" s="677" t="s">
        <v>106</v>
      </c>
      <c r="AO10" s="677" t="s">
        <v>107</v>
      </c>
      <c r="AP10" s="677" t="s">
        <v>108</v>
      </c>
      <c r="AQ10" s="680" t="s">
        <v>109</v>
      </c>
    </row>
    <row r="11" spans="1:43" s="3" customFormat="1" ht="45.75" customHeight="1" x14ac:dyDescent="0.2">
      <c r="A11" s="671" t="s">
        <v>91</v>
      </c>
      <c r="B11" s="673" t="s">
        <v>92</v>
      </c>
      <c r="C11" s="673" t="s">
        <v>73</v>
      </c>
      <c r="D11" s="673" t="s">
        <v>94</v>
      </c>
      <c r="E11" s="673" t="s">
        <v>96</v>
      </c>
      <c r="F11" s="673" t="s">
        <v>97</v>
      </c>
      <c r="G11" s="673" t="s">
        <v>98</v>
      </c>
      <c r="H11" s="673" t="s">
        <v>99</v>
      </c>
      <c r="I11" s="673" t="s">
        <v>100</v>
      </c>
      <c r="J11" s="686" t="s">
        <v>101</v>
      </c>
      <c r="K11" s="687"/>
      <c r="L11" s="687"/>
      <c r="M11" s="687"/>
      <c r="N11" s="687"/>
      <c r="O11" s="687"/>
      <c r="P11" s="687"/>
      <c r="Q11" s="687"/>
      <c r="R11" s="687"/>
      <c r="S11" s="687"/>
      <c r="T11" s="687"/>
      <c r="U11" s="687"/>
      <c r="V11" s="687"/>
      <c r="W11" s="687"/>
      <c r="X11" s="687"/>
      <c r="Y11" s="687"/>
      <c r="Z11" s="687"/>
      <c r="AA11" s="687"/>
      <c r="AB11" s="687"/>
      <c r="AC11" s="687"/>
      <c r="AD11" s="687"/>
      <c r="AE11" s="687"/>
      <c r="AF11" s="688"/>
      <c r="AG11" s="685" t="s">
        <v>102</v>
      </c>
      <c r="AH11" s="685"/>
      <c r="AI11" s="685"/>
      <c r="AJ11" s="685"/>
      <c r="AK11" s="673"/>
      <c r="AL11" s="673"/>
      <c r="AM11" s="678"/>
      <c r="AN11" s="678"/>
      <c r="AO11" s="678"/>
      <c r="AP11" s="678"/>
      <c r="AQ11" s="681"/>
    </row>
    <row r="12" spans="1:43" s="3" customFormat="1" ht="51" customHeight="1" x14ac:dyDescent="0.2">
      <c r="A12" s="671"/>
      <c r="B12" s="673"/>
      <c r="C12" s="673"/>
      <c r="D12" s="673"/>
      <c r="E12" s="673"/>
      <c r="F12" s="673"/>
      <c r="G12" s="673"/>
      <c r="H12" s="673"/>
      <c r="I12" s="673"/>
      <c r="J12" s="685">
        <v>2012</v>
      </c>
      <c r="K12" s="685"/>
      <c r="L12" s="685"/>
      <c r="M12" s="685">
        <v>2013</v>
      </c>
      <c r="N12" s="685"/>
      <c r="O12" s="685"/>
      <c r="P12" s="685"/>
      <c r="Q12" s="685"/>
      <c r="R12" s="685">
        <v>2014</v>
      </c>
      <c r="S12" s="685"/>
      <c r="T12" s="685"/>
      <c r="U12" s="685"/>
      <c r="V12" s="685"/>
      <c r="W12" s="685">
        <v>2015</v>
      </c>
      <c r="X12" s="685"/>
      <c r="Y12" s="685"/>
      <c r="Z12" s="685"/>
      <c r="AA12" s="685"/>
      <c r="AB12" s="685">
        <v>2016</v>
      </c>
      <c r="AC12" s="685"/>
      <c r="AD12" s="685"/>
      <c r="AE12" s="685"/>
      <c r="AF12" s="685"/>
      <c r="AG12" s="673" t="s">
        <v>5</v>
      </c>
      <c r="AH12" s="673" t="s">
        <v>6</v>
      </c>
      <c r="AI12" s="673" t="s">
        <v>7</v>
      </c>
      <c r="AJ12" s="673" t="s">
        <v>8</v>
      </c>
      <c r="AK12" s="673"/>
      <c r="AL12" s="673"/>
      <c r="AM12" s="678"/>
      <c r="AN12" s="678"/>
      <c r="AO12" s="678"/>
      <c r="AP12" s="678"/>
      <c r="AQ12" s="681"/>
    </row>
    <row r="13" spans="1:43" s="3" customFormat="1" ht="54" customHeight="1" thickBot="1" x14ac:dyDescent="0.25">
      <c r="A13" s="672"/>
      <c r="B13" s="674"/>
      <c r="C13" s="674"/>
      <c r="D13" s="674"/>
      <c r="E13" s="674"/>
      <c r="F13" s="674"/>
      <c r="G13" s="674"/>
      <c r="H13" s="674"/>
      <c r="I13" s="674"/>
      <c r="J13" s="46" t="s">
        <v>7</v>
      </c>
      <c r="K13" s="46" t="s">
        <v>8</v>
      </c>
      <c r="L13" s="46" t="s">
        <v>31</v>
      </c>
      <c r="M13" s="46" t="s">
        <v>5</v>
      </c>
      <c r="N13" s="46" t="s">
        <v>6</v>
      </c>
      <c r="O13" s="46" t="s">
        <v>7</v>
      </c>
      <c r="P13" s="46" t="s">
        <v>8</v>
      </c>
      <c r="Q13" s="46" t="s">
        <v>31</v>
      </c>
      <c r="R13" s="46" t="s">
        <v>5</v>
      </c>
      <c r="S13" s="46" t="s">
        <v>6</v>
      </c>
      <c r="T13" s="46" t="s">
        <v>7</v>
      </c>
      <c r="U13" s="46" t="s">
        <v>8</v>
      </c>
      <c r="V13" s="46" t="s">
        <v>31</v>
      </c>
      <c r="W13" s="46" t="s">
        <v>5</v>
      </c>
      <c r="X13" s="46" t="s">
        <v>6</v>
      </c>
      <c r="Y13" s="46" t="s">
        <v>7</v>
      </c>
      <c r="Z13" s="46" t="s">
        <v>8</v>
      </c>
      <c r="AA13" s="46" t="s">
        <v>31</v>
      </c>
      <c r="AB13" s="46" t="s">
        <v>5</v>
      </c>
      <c r="AC13" s="46" t="s">
        <v>6</v>
      </c>
      <c r="AD13" s="46" t="s">
        <v>7</v>
      </c>
      <c r="AE13" s="46" t="s">
        <v>8</v>
      </c>
      <c r="AF13" s="46" t="s">
        <v>31</v>
      </c>
      <c r="AG13" s="683"/>
      <c r="AH13" s="683"/>
      <c r="AI13" s="683"/>
      <c r="AJ13" s="683"/>
      <c r="AK13" s="683"/>
      <c r="AL13" s="674"/>
      <c r="AM13" s="679"/>
      <c r="AN13" s="679"/>
      <c r="AO13" s="679"/>
      <c r="AP13" s="679"/>
      <c r="AQ13" s="682"/>
    </row>
    <row r="14" spans="1:43" s="74" customFormat="1" ht="389.25" customHeight="1" thickBot="1" x14ac:dyDescent="0.25">
      <c r="A14" s="664">
        <v>179</v>
      </c>
      <c r="B14" s="665" t="s">
        <v>118</v>
      </c>
      <c r="C14" s="332">
        <v>299</v>
      </c>
      <c r="D14" s="110" t="s">
        <v>119</v>
      </c>
      <c r="E14" s="332">
        <v>314</v>
      </c>
      <c r="F14" s="331" t="s">
        <v>120</v>
      </c>
      <c r="G14" s="331" t="s">
        <v>126</v>
      </c>
      <c r="H14" s="332" t="s">
        <v>123</v>
      </c>
      <c r="I14" s="112">
        <v>32</v>
      </c>
      <c r="J14" s="113">
        <v>1.6</v>
      </c>
      <c r="K14" s="114">
        <v>1.6</v>
      </c>
      <c r="L14" s="114">
        <v>1.25</v>
      </c>
      <c r="M14" s="114">
        <v>13.4</v>
      </c>
      <c r="N14" s="114">
        <v>13.4</v>
      </c>
      <c r="O14" s="114">
        <v>13.4</v>
      </c>
      <c r="P14" s="114">
        <v>13.4</v>
      </c>
      <c r="Q14" s="115">
        <f>7.51</f>
        <v>7.51</v>
      </c>
      <c r="R14" s="116">
        <v>16</v>
      </c>
      <c r="S14" s="116">
        <v>16</v>
      </c>
      <c r="T14" s="116">
        <v>14</v>
      </c>
      <c r="U14" s="324">
        <v>14</v>
      </c>
      <c r="V14" s="123">
        <v>13.62</v>
      </c>
      <c r="W14" s="399">
        <v>30</v>
      </c>
      <c r="X14" s="113">
        <v>30</v>
      </c>
      <c r="Y14" s="113"/>
      <c r="Z14" s="113"/>
      <c r="AA14" s="112"/>
      <c r="AB14" s="116">
        <v>57</v>
      </c>
      <c r="AC14" s="116"/>
      <c r="AD14" s="116"/>
      <c r="AE14" s="112"/>
      <c r="AF14" s="112"/>
      <c r="AG14" s="400">
        <f>+V14+0.53-0.2</f>
        <v>13.95</v>
      </c>
      <c r="AH14" s="115">
        <v>14.625999999999999</v>
      </c>
      <c r="AI14" s="115"/>
      <c r="AJ14" s="115"/>
      <c r="AK14" s="662">
        <f>AH14/X14</f>
        <v>0.48753333333333332</v>
      </c>
      <c r="AL14" s="118">
        <f>AH14/I14</f>
        <v>0.45706249999999998</v>
      </c>
      <c r="AM14" s="649" t="s">
        <v>542</v>
      </c>
      <c r="AN14" s="650"/>
      <c r="AO14" s="650"/>
      <c r="AP14" s="650" t="s">
        <v>449</v>
      </c>
      <c r="AQ14" s="651" t="s">
        <v>450</v>
      </c>
    </row>
    <row r="15" spans="1:43" s="3" customFormat="1" ht="167.25" customHeight="1" thickBot="1" x14ac:dyDescent="0.25">
      <c r="A15" s="664"/>
      <c r="B15" s="665"/>
      <c r="C15" s="109">
        <v>300</v>
      </c>
      <c r="D15" s="110" t="s">
        <v>124</v>
      </c>
      <c r="E15" s="109">
        <v>315</v>
      </c>
      <c r="F15" s="111" t="s">
        <v>125</v>
      </c>
      <c r="G15" s="111" t="s">
        <v>129</v>
      </c>
      <c r="H15" s="109" t="s">
        <v>121</v>
      </c>
      <c r="I15" s="112">
        <v>8</v>
      </c>
      <c r="J15" s="116"/>
      <c r="K15" s="112"/>
      <c r="L15" s="112">
        <v>0</v>
      </c>
      <c r="M15" s="116">
        <v>4</v>
      </c>
      <c r="N15" s="116">
        <v>4</v>
      </c>
      <c r="O15" s="116">
        <v>4</v>
      </c>
      <c r="P15" s="116">
        <v>4</v>
      </c>
      <c r="Q15" s="658">
        <v>4</v>
      </c>
      <c r="R15" s="116">
        <v>4</v>
      </c>
      <c r="S15" s="116">
        <v>4</v>
      </c>
      <c r="T15" s="116">
        <v>4</v>
      </c>
      <c r="U15" s="326">
        <v>4</v>
      </c>
      <c r="V15" s="123">
        <v>2.2999999999999998</v>
      </c>
      <c r="W15" s="401">
        <v>1.7</v>
      </c>
      <c r="X15" s="116">
        <v>1.7</v>
      </c>
      <c r="Y15" s="116">
        <v>0</v>
      </c>
      <c r="Z15" s="116">
        <v>0</v>
      </c>
      <c r="AA15" s="112"/>
      <c r="AB15" s="116">
        <v>0</v>
      </c>
      <c r="AC15" s="116">
        <v>0</v>
      </c>
      <c r="AD15" s="116"/>
      <c r="AE15" s="112"/>
      <c r="AF15" s="112"/>
      <c r="AG15" s="115">
        <v>1.7</v>
      </c>
      <c r="AH15" s="658">
        <v>1.7</v>
      </c>
      <c r="AI15" s="658"/>
      <c r="AJ15" s="658"/>
      <c r="AK15" s="662">
        <f>AH15/X15</f>
        <v>1</v>
      </c>
      <c r="AL15" s="118">
        <v>1</v>
      </c>
      <c r="AM15" s="652" t="s">
        <v>451</v>
      </c>
      <c r="AN15" s="652" t="s">
        <v>383</v>
      </c>
      <c r="AO15" s="652" t="s">
        <v>383</v>
      </c>
      <c r="AP15" s="652" t="s">
        <v>452</v>
      </c>
      <c r="AQ15" s="653" t="s">
        <v>453</v>
      </c>
    </row>
    <row r="16" spans="1:43" s="3" customFormat="1" ht="409.6" customHeight="1" x14ac:dyDescent="0.2">
      <c r="A16" s="664"/>
      <c r="B16" s="665"/>
      <c r="C16" s="669">
        <v>302</v>
      </c>
      <c r="D16" s="667" t="s">
        <v>127</v>
      </c>
      <c r="E16" s="109">
        <v>317</v>
      </c>
      <c r="F16" s="111" t="s">
        <v>128</v>
      </c>
      <c r="G16" s="111" t="s">
        <v>129</v>
      </c>
      <c r="H16" s="109" t="s">
        <v>121</v>
      </c>
      <c r="I16" s="112">
        <v>40</v>
      </c>
      <c r="J16" s="116"/>
      <c r="K16" s="112"/>
      <c r="L16" s="112">
        <v>0</v>
      </c>
      <c r="M16" s="116">
        <v>2</v>
      </c>
      <c r="N16" s="116">
        <v>2</v>
      </c>
      <c r="O16" s="116">
        <v>2</v>
      </c>
      <c r="P16" s="116">
        <v>2</v>
      </c>
      <c r="Q16" s="658">
        <v>0.31</v>
      </c>
      <c r="R16" s="116">
        <v>2</v>
      </c>
      <c r="S16" s="116">
        <v>2</v>
      </c>
      <c r="T16" s="116">
        <v>2</v>
      </c>
      <c r="U16" s="327">
        <v>1.56</v>
      </c>
      <c r="V16" s="123"/>
      <c r="W16" s="325">
        <v>0</v>
      </c>
      <c r="X16" s="113">
        <v>0</v>
      </c>
      <c r="Y16" s="113"/>
      <c r="Z16" s="113"/>
      <c r="AA16" s="114"/>
      <c r="AB16" s="116">
        <v>0</v>
      </c>
      <c r="AC16" s="116"/>
      <c r="AD16" s="116"/>
      <c r="AE16" s="112"/>
      <c r="AF16" s="112"/>
      <c r="AG16" s="115"/>
      <c r="AH16" s="658"/>
      <c r="AI16" s="658"/>
      <c r="AJ16" s="658"/>
      <c r="AK16" s="119">
        <v>0</v>
      </c>
      <c r="AL16" s="118">
        <f>(0.31+1.56)/40</f>
        <v>4.675E-2</v>
      </c>
      <c r="AM16" s="652" t="s">
        <v>454</v>
      </c>
      <c r="AN16" s="652"/>
      <c r="AO16" s="652"/>
      <c r="AP16" s="652"/>
      <c r="AQ16" s="653"/>
    </row>
    <row r="17" spans="1:45" s="3" customFormat="1" ht="263.25" customHeight="1" thickBot="1" x14ac:dyDescent="0.25">
      <c r="A17" s="664"/>
      <c r="B17" s="665"/>
      <c r="C17" s="670"/>
      <c r="D17" s="668"/>
      <c r="E17" s="196">
        <v>580</v>
      </c>
      <c r="F17" s="195" t="s">
        <v>382</v>
      </c>
      <c r="G17" s="195" t="s">
        <v>129</v>
      </c>
      <c r="H17" s="196"/>
      <c r="I17" s="112"/>
      <c r="J17" s="116"/>
      <c r="K17" s="112"/>
      <c r="L17" s="112"/>
      <c r="M17" s="116"/>
      <c r="N17" s="116"/>
      <c r="O17" s="116"/>
      <c r="P17" s="116"/>
      <c r="Q17" s="658"/>
      <c r="R17" s="116"/>
      <c r="S17" s="116"/>
      <c r="T17" s="326">
        <v>30</v>
      </c>
      <c r="U17" s="326">
        <v>30</v>
      </c>
      <c r="V17" s="123">
        <v>69.929999999999993</v>
      </c>
      <c r="W17" s="412">
        <v>95.93</v>
      </c>
      <c r="X17" s="113">
        <v>95.93</v>
      </c>
      <c r="Y17" s="113"/>
      <c r="Z17" s="113"/>
      <c r="AA17" s="114"/>
      <c r="AB17" s="116">
        <v>40</v>
      </c>
      <c r="AC17" s="116"/>
      <c r="AD17" s="116"/>
      <c r="AE17" s="112"/>
      <c r="AF17" s="112"/>
      <c r="AG17" s="658">
        <f>V17+4.5</f>
        <v>74.429999999999993</v>
      </c>
      <c r="AH17" s="658">
        <v>85.929999999999993</v>
      </c>
      <c r="AI17" s="658"/>
      <c r="AJ17" s="658"/>
      <c r="AK17" s="119">
        <f>AH17/X17</f>
        <v>0.89575732304805578</v>
      </c>
      <c r="AL17" s="118">
        <v>0.74429999999999996</v>
      </c>
      <c r="AM17" s="654" t="s">
        <v>543</v>
      </c>
      <c r="AN17" s="652" t="s">
        <v>383</v>
      </c>
      <c r="AO17" s="652" t="s">
        <v>383</v>
      </c>
      <c r="AP17" s="652" t="s">
        <v>455</v>
      </c>
      <c r="AQ17" s="653" t="s">
        <v>456</v>
      </c>
    </row>
    <row r="18" spans="1:45" s="3" customFormat="1" ht="167.25" customHeight="1" thickBot="1" x14ac:dyDescent="0.25">
      <c r="A18" s="664"/>
      <c r="B18" s="665"/>
      <c r="C18" s="109">
        <v>303</v>
      </c>
      <c r="D18" s="110" t="s">
        <v>130</v>
      </c>
      <c r="E18" s="109">
        <v>318</v>
      </c>
      <c r="F18" s="111" t="s">
        <v>131</v>
      </c>
      <c r="G18" s="111" t="s">
        <v>129</v>
      </c>
      <c r="H18" s="109" t="s">
        <v>123</v>
      </c>
      <c r="I18" s="112">
        <v>45</v>
      </c>
      <c r="J18" s="116"/>
      <c r="K18" s="112">
        <v>10</v>
      </c>
      <c r="L18" s="114">
        <v>1.5</v>
      </c>
      <c r="M18" s="113">
        <v>12.5</v>
      </c>
      <c r="N18" s="113">
        <v>12.5</v>
      </c>
      <c r="O18" s="113">
        <v>12.5</v>
      </c>
      <c r="P18" s="113">
        <v>12.5</v>
      </c>
      <c r="Q18" s="115">
        <v>12.5</v>
      </c>
      <c r="R18" s="116">
        <v>25</v>
      </c>
      <c r="S18" s="116">
        <v>25</v>
      </c>
      <c r="T18" s="116">
        <v>25</v>
      </c>
      <c r="U18" s="328">
        <v>25</v>
      </c>
      <c r="V18" s="123">
        <v>25</v>
      </c>
      <c r="W18" s="401">
        <v>40</v>
      </c>
      <c r="X18" s="116">
        <v>40</v>
      </c>
      <c r="Y18" s="116"/>
      <c r="Z18" s="112"/>
      <c r="AA18" s="112"/>
      <c r="AB18" s="116">
        <v>45</v>
      </c>
      <c r="AC18" s="116"/>
      <c r="AD18" s="116"/>
      <c r="AE18" s="112"/>
      <c r="AF18" s="112"/>
      <c r="AG18" s="413">
        <f>+V18+4.46</f>
        <v>29.46</v>
      </c>
      <c r="AH18" s="658">
        <v>29.46</v>
      </c>
      <c r="AI18" s="658"/>
      <c r="AJ18" s="658"/>
      <c r="AK18" s="117">
        <f>AH18/X18</f>
        <v>0.73650000000000004</v>
      </c>
      <c r="AL18" s="118">
        <f>AH18/I18</f>
        <v>0.65466666666666673</v>
      </c>
      <c r="AM18" s="652" t="s">
        <v>544</v>
      </c>
      <c r="AN18" s="652" t="s">
        <v>383</v>
      </c>
      <c r="AO18" s="652" t="s">
        <v>383</v>
      </c>
      <c r="AP18" s="652" t="s">
        <v>457</v>
      </c>
      <c r="AQ18" s="652" t="s">
        <v>534</v>
      </c>
    </row>
    <row r="19" spans="1:45" s="3" customFormat="1" ht="167.25" customHeight="1" thickBot="1" x14ac:dyDescent="0.25">
      <c r="A19" s="664"/>
      <c r="B19" s="665"/>
      <c r="C19" s="666">
        <v>304</v>
      </c>
      <c r="D19" s="665" t="s">
        <v>132</v>
      </c>
      <c r="E19" s="109">
        <v>319</v>
      </c>
      <c r="F19" s="111" t="s">
        <v>133</v>
      </c>
      <c r="G19" s="111" t="s">
        <v>129</v>
      </c>
      <c r="H19" s="109" t="s">
        <v>123</v>
      </c>
      <c r="I19" s="112">
        <v>520</v>
      </c>
      <c r="J19" s="116"/>
      <c r="K19" s="112"/>
      <c r="L19" s="112">
        <v>0</v>
      </c>
      <c r="M19" s="116">
        <v>120</v>
      </c>
      <c r="N19" s="116">
        <v>120</v>
      </c>
      <c r="O19" s="116">
        <v>120</v>
      </c>
      <c r="P19" s="116">
        <v>120</v>
      </c>
      <c r="Q19" s="120">
        <v>73.180000000000007</v>
      </c>
      <c r="R19" s="116">
        <v>180</v>
      </c>
      <c r="S19" s="116">
        <v>180</v>
      </c>
      <c r="T19" s="116">
        <v>133.34</v>
      </c>
      <c r="U19" s="329">
        <f>+T19</f>
        <v>133.34</v>
      </c>
      <c r="V19" s="123">
        <v>118.29</v>
      </c>
      <c r="W19" s="401">
        <v>260</v>
      </c>
      <c r="X19" s="113">
        <v>137.07</v>
      </c>
      <c r="Y19" s="116"/>
      <c r="Z19" s="116"/>
      <c r="AA19" s="112"/>
      <c r="AB19" s="116">
        <v>520</v>
      </c>
      <c r="AC19" s="116"/>
      <c r="AD19" s="116"/>
      <c r="AE19" s="112"/>
      <c r="AF19" s="112"/>
      <c r="AG19" s="115">
        <f>+V19+2.23</f>
        <v>120.52000000000001</v>
      </c>
      <c r="AH19" s="120">
        <v>126.10900000000001</v>
      </c>
      <c r="AI19" s="120"/>
      <c r="AJ19" s="120"/>
      <c r="AK19" s="117">
        <f>AH19/X19</f>
        <v>0.92003355949514853</v>
      </c>
      <c r="AL19" s="118">
        <v>0.24249999999999999</v>
      </c>
      <c r="AM19" s="652" t="s">
        <v>545</v>
      </c>
      <c r="AN19" s="652" t="s">
        <v>383</v>
      </c>
      <c r="AO19" s="652" t="s">
        <v>383</v>
      </c>
      <c r="AP19" s="652" t="s">
        <v>156</v>
      </c>
      <c r="AQ19" s="653" t="s">
        <v>459</v>
      </c>
    </row>
    <row r="20" spans="1:45" s="3" customFormat="1" ht="167.25" customHeight="1" x14ac:dyDescent="0.2">
      <c r="A20" s="664"/>
      <c r="B20" s="665"/>
      <c r="C20" s="666"/>
      <c r="D20" s="665"/>
      <c r="E20" s="109">
        <v>320</v>
      </c>
      <c r="F20" s="111" t="s">
        <v>134</v>
      </c>
      <c r="G20" s="111" t="s">
        <v>135</v>
      </c>
      <c r="H20" s="109" t="s">
        <v>121</v>
      </c>
      <c r="I20" s="112">
        <v>6</v>
      </c>
      <c r="J20" s="116"/>
      <c r="K20" s="112"/>
      <c r="L20" s="112">
        <v>0</v>
      </c>
      <c r="M20" s="116">
        <v>2</v>
      </c>
      <c r="N20" s="116">
        <v>2</v>
      </c>
      <c r="O20" s="116">
        <v>2</v>
      </c>
      <c r="P20" s="112">
        <v>2</v>
      </c>
      <c r="Q20" s="121">
        <v>2</v>
      </c>
      <c r="R20" s="116">
        <v>2</v>
      </c>
      <c r="S20" s="116">
        <v>2</v>
      </c>
      <c r="T20" s="116">
        <v>2</v>
      </c>
      <c r="U20" s="326">
        <v>2</v>
      </c>
      <c r="V20" s="123">
        <v>2</v>
      </c>
      <c r="W20" s="325">
        <v>1</v>
      </c>
      <c r="X20" s="116">
        <v>1</v>
      </c>
      <c r="Y20" s="116"/>
      <c r="Z20" s="116"/>
      <c r="AA20" s="112"/>
      <c r="AB20" s="116">
        <v>1</v>
      </c>
      <c r="AC20" s="116"/>
      <c r="AD20" s="116"/>
      <c r="AE20" s="112"/>
      <c r="AF20" s="112"/>
      <c r="AG20" s="658">
        <v>1</v>
      </c>
      <c r="AH20" s="658">
        <v>1</v>
      </c>
      <c r="AI20" s="121"/>
      <c r="AJ20" s="121"/>
      <c r="AK20" s="117">
        <f>AH20/X20</f>
        <v>1</v>
      </c>
      <c r="AL20" s="118">
        <f>5/6</f>
        <v>0.83333333333333337</v>
      </c>
      <c r="AM20" s="652" t="s">
        <v>460</v>
      </c>
      <c r="AN20" s="652" t="s">
        <v>383</v>
      </c>
      <c r="AO20" s="652" t="s">
        <v>383</v>
      </c>
      <c r="AP20" s="652" t="s">
        <v>461</v>
      </c>
      <c r="AQ20" s="655" t="s">
        <v>462</v>
      </c>
    </row>
    <row r="21" spans="1:45" s="3" customFormat="1" ht="167.25" customHeight="1" x14ac:dyDescent="0.2">
      <c r="A21" s="664">
        <v>180</v>
      </c>
      <c r="B21" s="665" t="s">
        <v>144</v>
      </c>
      <c r="C21" s="109">
        <v>305</v>
      </c>
      <c r="D21" s="110" t="s">
        <v>136</v>
      </c>
      <c r="E21" s="109">
        <v>321</v>
      </c>
      <c r="F21" s="111" t="s">
        <v>137</v>
      </c>
      <c r="G21" s="111" t="s">
        <v>138</v>
      </c>
      <c r="H21" s="109" t="s">
        <v>123</v>
      </c>
      <c r="I21" s="112">
        <v>2</v>
      </c>
      <c r="J21" s="116"/>
      <c r="K21" s="114">
        <v>0.2</v>
      </c>
      <c r="L21" s="114">
        <v>0.1</v>
      </c>
      <c r="M21" s="122">
        <v>0.8</v>
      </c>
      <c r="N21" s="122">
        <v>0.8</v>
      </c>
      <c r="O21" s="122">
        <v>0.8</v>
      </c>
      <c r="P21" s="122">
        <v>0.8</v>
      </c>
      <c r="Q21" s="120">
        <v>0.8</v>
      </c>
      <c r="R21" s="122">
        <v>1.4</v>
      </c>
      <c r="S21" s="122">
        <v>1.4</v>
      </c>
      <c r="T21" s="122">
        <v>1.4</v>
      </c>
      <c r="U21" s="330">
        <v>1.4</v>
      </c>
      <c r="V21" s="123">
        <v>1.4</v>
      </c>
      <c r="W21" s="325">
        <v>1.9</v>
      </c>
      <c r="X21" s="122">
        <v>1.9</v>
      </c>
      <c r="Y21" s="122"/>
      <c r="Z21" s="122"/>
      <c r="AA21" s="112"/>
      <c r="AB21" s="116">
        <v>2</v>
      </c>
      <c r="AC21" s="116"/>
      <c r="AD21" s="116"/>
      <c r="AE21" s="112"/>
      <c r="AF21" s="112"/>
      <c r="AG21" s="437">
        <f>1.4+((0.5/12)*3)</f>
        <v>1.5249999999999999</v>
      </c>
      <c r="AH21" s="658">
        <v>1.65</v>
      </c>
      <c r="AI21" s="121"/>
      <c r="AJ21" s="120"/>
      <c r="AK21" s="117">
        <f>AH21/X21</f>
        <v>0.86842105263157898</v>
      </c>
      <c r="AL21" s="118">
        <v>0.82499999999999996</v>
      </c>
      <c r="AM21" s="652" t="s">
        <v>535</v>
      </c>
      <c r="AN21" s="652" t="s">
        <v>383</v>
      </c>
      <c r="AO21" s="652" t="s">
        <v>383</v>
      </c>
      <c r="AP21" s="656" t="s">
        <v>463</v>
      </c>
      <c r="AQ21" s="656" t="s">
        <v>536</v>
      </c>
    </row>
    <row r="22" spans="1:45" s="3" customFormat="1" ht="167.25" customHeight="1" x14ac:dyDescent="0.2">
      <c r="A22" s="664"/>
      <c r="B22" s="665"/>
      <c r="C22" s="109">
        <v>306</v>
      </c>
      <c r="D22" s="110" t="s">
        <v>139</v>
      </c>
      <c r="E22" s="109">
        <v>322</v>
      </c>
      <c r="F22" s="111" t="s">
        <v>140</v>
      </c>
      <c r="G22" s="111" t="s">
        <v>126</v>
      </c>
      <c r="H22" s="109" t="s">
        <v>121</v>
      </c>
      <c r="I22" s="112">
        <v>14</v>
      </c>
      <c r="J22" s="116"/>
      <c r="K22" s="112"/>
      <c r="L22" s="112">
        <v>0</v>
      </c>
      <c r="M22" s="116">
        <v>0</v>
      </c>
      <c r="N22" s="116">
        <v>0</v>
      </c>
      <c r="O22" s="116">
        <v>0</v>
      </c>
      <c r="P22" s="116">
        <v>0</v>
      </c>
      <c r="Q22" s="121">
        <v>0</v>
      </c>
      <c r="R22" s="116">
        <v>0</v>
      </c>
      <c r="S22" s="116">
        <v>0</v>
      </c>
      <c r="T22" s="116">
        <v>0</v>
      </c>
      <c r="U22" s="326">
        <f>T22</f>
        <v>0</v>
      </c>
      <c r="V22" s="123"/>
      <c r="W22" s="325">
        <v>0.8</v>
      </c>
      <c r="X22" s="116">
        <v>0.8</v>
      </c>
      <c r="Y22" s="116">
        <v>10</v>
      </c>
      <c r="Z22" s="112">
        <v>10</v>
      </c>
      <c r="AA22" s="112"/>
      <c r="AB22" s="116">
        <v>4</v>
      </c>
      <c r="AC22" s="116">
        <v>4</v>
      </c>
      <c r="AD22" s="116"/>
      <c r="AE22" s="112"/>
      <c r="AF22" s="112"/>
      <c r="AG22" s="658">
        <v>0</v>
      </c>
      <c r="AH22" s="658">
        <v>0</v>
      </c>
      <c r="AI22" s="121"/>
      <c r="AJ22" s="121"/>
      <c r="AK22" s="119">
        <v>0</v>
      </c>
      <c r="AL22" s="663">
        <f>+(AI22+M22)/E22</f>
        <v>0</v>
      </c>
      <c r="AM22" s="652" t="s">
        <v>537</v>
      </c>
      <c r="AN22" s="652"/>
      <c r="AO22" s="652"/>
      <c r="AP22" s="652"/>
      <c r="AQ22" s="653"/>
    </row>
    <row r="23" spans="1:45" s="3" customFormat="1" ht="167.25" customHeight="1" x14ac:dyDescent="0.2">
      <c r="A23" s="664"/>
      <c r="B23" s="665"/>
      <c r="C23" s="109">
        <v>307</v>
      </c>
      <c r="D23" s="110" t="s">
        <v>141</v>
      </c>
      <c r="E23" s="109">
        <v>551</v>
      </c>
      <c r="F23" s="111" t="s">
        <v>142</v>
      </c>
      <c r="G23" s="111" t="s">
        <v>143</v>
      </c>
      <c r="H23" s="109" t="s">
        <v>123</v>
      </c>
      <c r="I23" s="112">
        <v>1</v>
      </c>
      <c r="J23" s="116"/>
      <c r="K23" s="112"/>
      <c r="L23" s="123">
        <v>0.1</v>
      </c>
      <c r="M23" s="122">
        <v>0.4</v>
      </c>
      <c r="N23" s="122">
        <v>0.4</v>
      </c>
      <c r="O23" s="122">
        <v>0.4</v>
      </c>
      <c r="P23" s="122">
        <v>0.4</v>
      </c>
      <c r="Q23" s="121">
        <v>0.4</v>
      </c>
      <c r="R23" s="122">
        <v>0.7</v>
      </c>
      <c r="S23" s="122">
        <v>0.7</v>
      </c>
      <c r="T23" s="122">
        <v>0.7</v>
      </c>
      <c r="U23" s="330">
        <v>0.7</v>
      </c>
      <c r="V23" s="123">
        <v>0.7</v>
      </c>
      <c r="W23" s="325">
        <v>0.95</v>
      </c>
      <c r="X23" s="113">
        <v>0.95</v>
      </c>
      <c r="Y23" s="113">
        <v>0.95</v>
      </c>
      <c r="Z23" s="113">
        <v>0.95</v>
      </c>
      <c r="AA23" s="112"/>
      <c r="AB23" s="116">
        <v>1</v>
      </c>
      <c r="AC23" s="116">
        <v>1</v>
      </c>
      <c r="AD23" s="116"/>
      <c r="AE23" s="112"/>
      <c r="AF23" s="112"/>
      <c r="AG23" s="115">
        <f>+U23+((0.25/12)*3)</f>
        <v>0.76249999999999996</v>
      </c>
      <c r="AH23" s="658">
        <v>0.95</v>
      </c>
      <c r="AI23" s="121"/>
      <c r="AJ23" s="121"/>
      <c r="AK23" s="117">
        <f>AH23/X23</f>
        <v>1</v>
      </c>
      <c r="AL23" s="118">
        <f>AH23/I23</f>
        <v>0.95</v>
      </c>
      <c r="AM23" s="652" t="s">
        <v>546</v>
      </c>
      <c r="AN23" s="657" t="s">
        <v>383</v>
      </c>
      <c r="AO23" s="657" t="s">
        <v>383</v>
      </c>
      <c r="AP23" s="652" t="s">
        <v>157</v>
      </c>
      <c r="AQ23" s="653" t="s">
        <v>538</v>
      </c>
    </row>
    <row r="24" spans="1:45" s="3" customFormat="1" ht="282.60000000000002" customHeight="1" x14ac:dyDescent="0.2">
      <c r="A24" s="19">
        <v>182</v>
      </c>
      <c r="B24" s="110" t="s">
        <v>147</v>
      </c>
      <c r="C24" s="109">
        <v>311</v>
      </c>
      <c r="D24" s="110" t="s">
        <v>145</v>
      </c>
      <c r="E24" s="109">
        <v>327</v>
      </c>
      <c r="F24" s="111" t="s">
        <v>146</v>
      </c>
      <c r="G24" s="111" t="s">
        <v>129</v>
      </c>
      <c r="H24" s="109" t="s">
        <v>123</v>
      </c>
      <c r="I24" s="112">
        <v>100</v>
      </c>
      <c r="J24" s="116"/>
      <c r="K24" s="114">
        <v>58.98</v>
      </c>
      <c r="L24" s="114">
        <v>58.98</v>
      </c>
      <c r="M24" s="116">
        <v>76080</v>
      </c>
      <c r="N24" s="116">
        <v>76080</v>
      </c>
      <c r="O24" s="116">
        <v>76080</v>
      </c>
      <c r="P24" s="113">
        <v>71</v>
      </c>
      <c r="Q24" s="120">
        <v>76.08</v>
      </c>
      <c r="R24" s="116">
        <v>80</v>
      </c>
      <c r="S24" s="116">
        <v>80</v>
      </c>
      <c r="T24" s="116">
        <v>80</v>
      </c>
      <c r="U24" s="326">
        <v>80</v>
      </c>
      <c r="V24" s="123">
        <v>78.809999999999988</v>
      </c>
      <c r="W24" s="325">
        <v>98</v>
      </c>
      <c r="X24" s="116">
        <v>98</v>
      </c>
      <c r="Y24" s="116"/>
      <c r="Z24" s="112"/>
      <c r="AA24" s="112"/>
      <c r="AB24" s="116">
        <v>100</v>
      </c>
      <c r="AC24" s="116">
        <v>100</v>
      </c>
      <c r="AD24" s="116"/>
      <c r="AE24" s="112"/>
      <c r="AF24" s="112"/>
      <c r="AG24" s="115">
        <f>(58.98+17.1-58.98)+30+28.91+2.8+33.2</f>
        <v>112.01</v>
      </c>
      <c r="AH24" s="115">
        <v>117.81</v>
      </c>
      <c r="AI24" s="124"/>
      <c r="AJ24" s="124"/>
      <c r="AK24" s="117">
        <f>AH24/X24</f>
        <v>1.2021428571428572</v>
      </c>
      <c r="AL24" s="118">
        <f>AH24/I24</f>
        <v>1.1780999999999999</v>
      </c>
      <c r="AM24" s="652" t="s">
        <v>547</v>
      </c>
      <c r="AN24" s="657" t="s">
        <v>383</v>
      </c>
      <c r="AO24" s="657" t="s">
        <v>383</v>
      </c>
      <c r="AP24" s="652" t="s">
        <v>158</v>
      </c>
      <c r="AQ24" s="653" t="s">
        <v>159</v>
      </c>
    </row>
    <row r="25" spans="1:45" s="3" customFormat="1" ht="167.25" customHeight="1" x14ac:dyDescent="0.2">
      <c r="A25" s="664">
        <v>183</v>
      </c>
      <c r="B25" s="665" t="s">
        <v>148</v>
      </c>
      <c r="C25" s="109">
        <v>313</v>
      </c>
      <c r="D25" s="110" t="s">
        <v>149</v>
      </c>
      <c r="E25" s="109">
        <v>329</v>
      </c>
      <c r="F25" s="111" t="s">
        <v>150</v>
      </c>
      <c r="G25" s="111" t="s">
        <v>151</v>
      </c>
      <c r="H25" s="109" t="s">
        <v>123</v>
      </c>
      <c r="I25" s="112">
        <v>500</v>
      </c>
      <c r="J25" s="116"/>
      <c r="K25" s="112">
        <v>80</v>
      </c>
      <c r="L25" s="112">
        <v>80</v>
      </c>
      <c r="M25" s="116">
        <v>130</v>
      </c>
      <c r="N25" s="116">
        <v>130</v>
      </c>
      <c r="O25" s="116">
        <v>130</v>
      </c>
      <c r="P25" s="116">
        <v>130</v>
      </c>
      <c r="Q25" s="121">
        <v>91</v>
      </c>
      <c r="R25" s="116">
        <v>161</v>
      </c>
      <c r="S25" s="116">
        <v>161</v>
      </c>
      <c r="T25" s="116">
        <v>161</v>
      </c>
      <c r="U25" s="326">
        <v>161</v>
      </c>
      <c r="V25" s="123">
        <v>161</v>
      </c>
      <c r="W25" s="645">
        <v>450</v>
      </c>
      <c r="X25" s="116">
        <v>450</v>
      </c>
      <c r="Y25" s="116"/>
      <c r="Z25" s="116"/>
      <c r="AA25" s="112"/>
      <c r="AB25" s="116">
        <v>500</v>
      </c>
      <c r="AC25" s="116"/>
      <c r="AD25" s="116"/>
      <c r="AE25" s="112"/>
      <c r="AF25" s="112"/>
      <c r="AG25" s="413">
        <v>244</v>
      </c>
      <c r="AH25" s="658">
        <v>283</v>
      </c>
      <c r="AI25" s="121"/>
      <c r="AJ25" s="121"/>
      <c r="AK25" s="117">
        <f>AH25/X25</f>
        <v>0.62888888888888894</v>
      </c>
      <c r="AL25" s="118">
        <f>AH25/I25</f>
        <v>0.56599999999999995</v>
      </c>
      <c r="AM25" s="652" t="s">
        <v>539</v>
      </c>
      <c r="AN25" s="652"/>
      <c r="AO25" s="652"/>
      <c r="AP25" s="652" t="s">
        <v>465</v>
      </c>
      <c r="AQ25" s="652" t="s">
        <v>540</v>
      </c>
    </row>
    <row r="26" spans="1:45" s="3" customFormat="1" ht="167.25" customHeight="1" x14ac:dyDescent="0.2">
      <c r="A26" s="664"/>
      <c r="B26" s="665"/>
      <c r="C26" s="109">
        <v>314</v>
      </c>
      <c r="D26" s="110" t="s">
        <v>152</v>
      </c>
      <c r="E26" s="109">
        <v>330</v>
      </c>
      <c r="F26" s="111" t="s">
        <v>153</v>
      </c>
      <c r="G26" s="111" t="s">
        <v>154</v>
      </c>
      <c r="H26" s="111" t="s">
        <v>123</v>
      </c>
      <c r="I26" s="112">
        <v>2</v>
      </c>
      <c r="J26" s="116"/>
      <c r="K26" s="114">
        <v>0.2</v>
      </c>
      <c r="L26" s="114">
        <v>0.2</v>
      </c>
      <c r="M26" s="113">
        <v>1.2</v>
      </c>
      <c r="N26" s="113">
        <v>1.2</v>
      </c>
      <c r="O26" s="113">
        <v>1.2</v>
      </c>
      <c r="P26" s="113">
        <v>1.2</v>
      </c>
      <c r="Q26" s="120">
        <v>1.2</v>
      </c>
      <c r="R26" s="113">
        <v>1.5</v>
      </c>
      <c r="S26" s="113">
        <v>1.5</v>
      </c>
      <c r="T26" s="113">
        <v>1.5</v>
      </c>
      <c r="U26" s="329">
        <v>1.5</v>
      </c>
      <c r="V26" s="123">
        <v>1.5</v>
      </c>
      <c r="W26" s="659">
        <v>2</v>
      </c>
      <c r="X26" s="113">
        <v>2</v>
      </c>
      <c r="Y26" s="113"/>
      <c r="Z26" s="113"/>
      <c r="AA26" s="112"/>
      <c r="AB26" s="116">
        <v>2</v>
      </c>
      <c r="AC26" s="116"/>
      <c r="AD26" s="116"/>
      <c r="AE26" s="112"/>
      <c r="AF26" s="112"/>
      <c r="AG26" s="437">
        <f>1.5 +((0.5/12)*3)</f>
        <v>1.625</v>
      </c>
      <c r="AH26" s="115">
        <v>1.75</v>
      </c>
      <c r="AI26" s="120"/>
      <c r="AJ26" s="120"/>
      <c r="AK26" s="117">
        <f>AH26/X26</f>
        <v>0.875</v>
      </c>
      <c r="AL26" s="118">
        <f>AH26/I26</f>
        <v>0.875</v>
      </c>
      <c r="AM26" s="652" t="s">
        <v>539</v>
      </c>
      <c r="AN26" s="652"/>
      <c r="AO26" s="652"/>
      <c r="AP26" s="652" t="s">
        <v>160</v>
      </c>
      <c r="AQ26" s="652" t="s">
        <v>467</v>
      </c>
    </row>
    <row r="27" spans="1:45" ht="90.75" customHeight="1" thickBot="1" x14ac:dyDescent="0.3">
      <c r="A27" s="689" t="s">
        <v>32</v>
      </c>
      <c r="B27" s="690"/>
      <c r="C27" s="690"/>
      <c r="D27" s="690"/>
      <c r="E27" s="690"/>
      <c r="F27" s="690"/>
      <c r="G27" s="690"/>
      <c r="H27" s="690"/>
      <c r="I27" s="690"/>
      <c r="J27" s="690"/>
      <c r="K27" s="690"/>
      <c r="L27" s="690"/>
      <c r="M27" s="690"/>
      <c r="N27" s="690"/>
      <c r="O27" s="690"/>
      <c r="P27" s="690"/>
      <c r="Q27" s="690"/>
      <c r="R27" s="690"/>
      <c r="S27" s="690"/>
      <c r="T27" s="690"/>
      <c r="U27" s="690"/>
      <c r="V27" s="690"/>
      <c r="W27" s="690"/>
      <c r="X27" s="690"/>
      <c r="Y27" s="690"/>
      <c r="Z27" s="690"/>
      <c r="AA27" s="690"/>
      <c r="AB27" s="690"/>
      <c r="AC27" s="690"/>
      <c r="AD27" s="690"/>
      <c r="AE27" s="690"/>
      <c r="AF27" s="690"/>
      <c r="AG27" s="690"/>
      <c r="AH27" s="690"/>
      <c r="AI27" s="690"/>
      <c r="AJ27" s="690"/>
      <c r="AK27" s="690"/>
      <c r="AL27" s="690"/>
      <c r="AM27" s="690"/>
      <c r="AN27" s="690"/>
      <c r="AO27" s="690"/>
      <c r="AP27" s="690"/>
      <c r="AQ27" s="691"/>
    </row>
    <row r="28" spans="1:45" ht="15.75" x14ac:dyDescent="0.25">
      <c r="AS28" s="45"/>
    </row>
  </sheetData>
  <mergeCells count="52">
    <mergeCell ref="A27:AQ27"/>
    <mergeCell ref="A2:F5"/>
    <mergeCell ref="A10:B10"/>
    <mergeCell ref="G2:AQ2"/>
    <mergeCell ref="G3:AQ3"/>
    <mergeCell ref="P8:AQ8"/>
    <mergeCell ref="G4:O4"/>
    <mergeCell ref="C10:D10"/>
    <mergeCell ref="A7:O7"/>
    <mergeCell ref="A8:O8"/>
    <mergeCell ref="P7:AQ7"/>
    <mergeCell ref="AO10:AO13"/>
    <mergeCell ref="P4:AQ4"/>
    <mergeCell ref="J12:L12"/>
    <mergeCell ref="M12:Q12"/>
    <mergeCell ref="G5:O5"/>
    <mergeCell ref="AM10:AM13"/>
    <mergeCell ref="AG12:AG13"/>
    <mergeCell ref="AH12:AH13"/>
    <mergeCell ref="E10:AJ10"/>
    <mergeCell ref="AG11:AJ11"/>
    <mergeCell ref="P5:AQ5"/>
    <mergeCell ref="I11:I13"/>
    <mergeCell ref="AP10:AP13"/>
    <mergeCell ref="AQ10:AQ13"/>
    <mergeCell ref="F11:F13"/>
    <mergeCell ref="G11:G13"/>
    <mergeCell ref="H11:H13"/>
    <mergeCell ref="AI12:AI13"/>
    <mergeCell ref="AJ12:AJ13"/>
    <mergeCell ref="AK10:AK13"/>
    <mergeCell ref="AL10:AL13"/>
    <mergeCell ref="AN10:AN13"/>
    <mergeCell ref="R12:V12"/>
    <mergeCell ref="W12:AA12"/>
    <mergeCell ref="AB12:AF12"/>
    <mergeCell ref="J11:AF11"/>
    <mergeCell ref="A11:A13"/>
    <mergeCell ref="B11:B13"/>
    <mergeCell ref="C11:C13"/>
    <mergeCell ref="D11:D13"/>
    <mergeCell ref="E11:E13"/>
    <mergeCell ref="A25:A26"/>
    <mergeCell ref="B25:B26"/>
    <mergeCell ref="C19:C20"/>
    <mergeCell ref="D19:D20"/>
    <mergeCell ref="A14:A20"/>
    <mergeCell ref="B14:B20"/>
    <mergeCell ref="A21:A23"/>
    <mergeCell ref="B21:B23"/>
    <mergeCell ref="D16:D17"/>
    <mergeCell ref="C16:C17"/>
  </mergeCells>
  <phoneticPr fontId="8" type="noConversion"/>
  <dataValidations count="3">
    <dataValidation type="list" allowBlank="1" showInputMessage="1" showErrorMessage="1" sqref="H14 H16:H25" xr:uid="{00000000-0002-0000-0000-000000000000}">
      <formula1>$AS$14:$AS$28</formula1>
    </dataValidation>
    <dataValidation type="list" allowBlank="1" showInputMessage="1" showErrorMessage="1" sqref="H15" xr:uid="{00000000-0002-0000-0000-000001000000}">
      <formula1>$AS$15:$AS$19</formula1>
    </dataValidation>
    <dataValidation type="list" allowBlank="1" showInputMessage="1" showErrorMessage="1" sqref="H26" xr:uid="{00000000-0002-0000-0000-000002000000}">
      <formula1>$B$26:$B$26</formula1>
    </dataValidation>
  </dataValidations>
  <printOptions horizontalCentered="1" verticalCentered="1"/>
  <pageMargins left="0" right="0" top="0.55118110236220474" bottom="0" header="0.31496062992125984" footer="0.31496062992125984"/>
  <pageSetup scale="20" fitToHeight="2" orientation="landscape" r:id="rId1"/>
  <colBreaks count="1" manualBreakCount="1">
    <brk id="32" max="1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70"/>
  <sheetViews>
    <sheetView showGridLines="0" tabSelected="1" view="pageBreakPreview" topLeftCell="A2" zoomScale="50" zoomScaleNormal="50" zoomScaleSheetLayoutView="50" workbookViewId="0">
      <selection activeCell="D15" sqref="D15:D20"/>
    </sheetView>
  </sheetViews>
  <sheetFormatPr baseColWidth="10" defaultColWidth="11.42578125" defaultRowHeight="15.75" x14ac:dyDescent="0.25"/>
  <cols>
    <col min="1" max="1" width="7.7109375" style="1" customWidth="1"/>
    <col min="2" max="2" width="12.42578125" style="1" customWidth="1"/>
    <col min="3" max="3" width="25.140625" style="1" customWidth="1"/>
    <col min="4" max="4" width="17.85546875" style="7" customWidth="1"/>
    <col min="5" max="5" width="16.140625" style="7" customWidth="1"/>
    <col min="6" max="6" width="14.140625" style="7" customWidth="1"/>
    <col min="7" max="7" width="13.85546875" style="24" customWidth="1"/>
    <col min="8" max="8" width="20.5703125" style="8" customWidth="1"/>
    <col min="9" max="9" width="14.85546875" style="8" customWidth="1"/>
    <col min="10" max="10" width="18.42578125" style="8" customWidth="1"/>
    <col min="11" max="11" width="18" style="8" customWidth="1"/>
    <col min="12" max="15" width="19" style="8" customWidth="1"/>
    <col min="16" max="16" width="18.42578125" style="8" customWidth="1"/>
    <col min="17" max="21" width="19.42578125" style="8" customWidth="1"/>
    <col min="22" max="22" width="22.5703125" style="8" customWidth="1"/>
    <col min="23" max="23" width="20.140625" style="8" bestFit="1" customWidth="1"/>
    <col min="24" max="25" width="8" style="8" customWidth="1"/>
    <col min="26" max="26" width="15.5703125" style="8" customWidth="1"/>
    <col min="27" max="27" width="19.42578125" style="8" customWidth="1"/>
    <col min="28" max="29" width="8" style="8" customWidth="1"/>
    <col min="30" max="30" width="14.140625" style="8" customWidth="1"/>
    <col min="31" max="31" width="15.5703125" style="8" customWidth="1"/>
    <col min="32" max="32" width="20.85546875" style="1" customWidth="1"/>
    <col min="33" max="33" width="18.85546875" style="1" customWidth="1"/>
    <col min="34" max="34" width="22.28515625" style="20" customWidth="1"/>
    <col min="35" max="35" width="21.5703125" style="20" customWidth="1"/>
    <col min="36" max="36" width="20.42578125" style="1" customWidth="1"/>
    <col min="37" max="37" width="15.85546875" style="1" customWidth="1"/>
    <col min="38" max="38" width="42.140625" style="1" customWidth="1"/>
    <col min="39" max="39" width="16.85546875" style="1" customWidth="1"/>
    <col min="40" max="40" width="12.85546875" style="1" customWidth="1"/>
    <col min="41" max="42" width="17.42578125" style="1" customWidth="1"/>
    <col min="43" max="45" width="11.42578125" style="1" customWidth="1"/>
    <col min="46" max="16384" width="11.42578125" style="1"/>
  </cols>
  <sheetData>
    <row r="1" spans="1:42" ht="38.25" customHeight="1" x14ac:dyDescent="0.25">
      <c r="A1" s="781"/>
      <c r="B1" s="782"/>
      <c r="C1" s="782"/>
      <c r="D1" s="782"/>
      <c r="E1" s="782"/>
      <c r="F1" s="799" t="s">
        <v>0</v>
      </c>
      <c r="G1" s="800"/>
      <c r="H1" s="800"/>
      <c r="I1" s="800"/>
      <c r="J1" s="800"/>
      <c r="K1" s="800"/>
      <c r="L1" s="800"/>
      <c r="M1" s="800"/>
      <c r="N1" s="800"/>
      <c r="O1" s="800"/>
      <c r="P1" s="800"/>
      <c r="Q1" s="800"/>
      <c r="R1" s="800"/>
      <c r="S1" s="800"/>
      <c r="T1" s="800"/>
      <c r="U1" s="800"/>
      <c r="V1" s="800"/>
      <c r="W1" s="800"/>
      <c r="X1" s="800"/>
      <c r="Y1" s="800"/>
      <c r="Z1" s="800"/>
      <c r="AA1" s="800"/>
      <c r="AB1" s="800"/>
      <c r="AC1" s="800"/>
      <c r="AD1" s="800"/>
      <c r="AE1" s="800"/>
      <c r="AF1" s="800"/>
      <c r="AG1" s="800"/>
      <c r="AH1" s="800"/>
      <c r="AI1" s="800"/>
      <c r="AJ1" s="800"/>
      <c r="AK1" s="800"/>
      <c r="AL1" s="800"/>
      <c r="AM1" s="800"/>
      <c r="AN1" s="800"/>
      <c r="AO1" s="800"/>
      <c r="AP1" s="801"/>
    </row>
    <row r="2" spans="1:42" ht="30.75" customHeight="1" x14ac:dyDescent="0.25">
      <c r="A2" s="783"/>
      <c r="B2" s="784"/>
      <c r="C2" s="784"/>
      <c r="D2" s="784"/>
      <c r="E2" s="784"/>
      <c r="F2" s="793" t="s">
        <v>111</v>
      </c>
      <c r="G2" s="794"/>
      <c r="H2" s="794"/>
      <c r="I2" s="794"/>
      <c r="J2" s="794"/>
      <c r="K2" s="794"/>
      <c r="L2" s="794"/>
      <c r="M2" s="794"/>
      <c r="N2" s="794"/>
      <c r="O2" s="794"/>
      <c r="P2" s="794"/>
      <c r="Q2" s="794"/>
      <c r="R2" s="794"/>
      <c r="S2" s="794"/>
      <c r="T2" s="794"/>
      <c r="U2" s="794"/>
      <c r="V2" s="794"/>
      <c r="W2" s="794"/>
      <c r="X2" s="794"/>
      <c r="Y2" s="794"/>
      <c r="Z2" s="794"/>
      <c r="AA2" s="794"/>
      <c r="AB2" s="794"/>
      <c r="AC2" s="794"/>
      <c r="AD2" s="794"/>
      <c r="AE2" s="794"/>
      <c r="AF2" s="794"/>
      <c r="AG2" s="794"/>
      <c r="AH2" s="794"/>
      <c r="AI2" s="794"/>
      <c r="AJ2" s="794"/>
      <c r="AK2" s="794"/>
      <c r="AL2" s="794"/>
      <c r="AM2" s="794"/>
      <c r="AN2" s="794"/>
      <c r="AO2" s="794"/>
      <c r="AP2" s="795"/>
    </row>
    <row r="3" spans="1:42" ht="27.75" customHeight="1" x14ac:dyDescent="0.25">
      <c r="A3" s="783"/>
      <c r="B3" s="784"/>
      <c r="C3" s="784"/>
      <c r="D3" s="784"/>
      <c r="E3" s="784"/>
      <c r="F3" s="675" t="s">
        <v>1</v>
      </c>
      <c r="G3" s="675"/>
      <c r="H3" s="675"/>
      <c r="I3" s="675"/>
      <c r="J3" s="675"/>
      <c r="K3" s="675"/>
      <c r="L3" s="675"/>
      <c r="M3" s="675"/>
      <c r="N3" s="675"/>
      <c r="O3" s="793" t="s">
        <v>115</v>
      </c>
      <c r="P3" s="794"/>
      <c r="Q3" s="794"/>
      <c r="R3" s="794"/>
      <c r="S3" s="794"/>
      <c r="T3" s="794"/>
      <c r="U3" s="794"/>
      <c r="V3" s="794"/>
      <c r="W3" s="794"/>
      <c r="X3" s="794"/>
      <c r="Y3" s="794"/>
      <c r="Z3" s="794"/>
      <c r="AA3" s="794"/>
      <c r="AB3" s="794"/>
      <c r="AC3" s="794"/>
      <c r="AD3" s="794"/>
      <c r="AE3" s="794"/>
      <c r="AF3" s="794"/>
      <c r="AG3" s="794"/>
      <c r="AH3" s="794"/>
      <c r="AI3" s="794"/>
      <c r="AJ3" s="794"/>
      <c r="AK3" s="794"/>
      <c r="AL3" s="794"/>
      <c r="AM3" s="794"/>
      <c r="AN3" s="794"/>
      <c r="AO3" s="794"/>
      <c r="AP3" s="795"/>
    </row>
    <row r="4" spans="1:42" ht="26.25" customHeight="1" thickBot="1" x14ac:dyDescent="0.3">
      <c r="A4" s="785"/>
      <c r="B4" s="786"/>
      <c r="C4" s="786"/>
      <c r="D4" s="786"/>
      <c r="E4" s="786"/>
      <c r="F4" s="705" t="s">
        <v>3</v>
      </c>
      <c r="G4" s="705"/>
      <c r="H4" s="705"/>
      <c r="I4" s="705"/>
      <c r="J4" s="705"/>
      <c r="K4" s="705"/>
      <c r="L4" s="705"/>
      <c r="M4" s="705"/>
      <c r="N4" s="705"/>
      <c r="O4" s="796" t="s">
        <v>116</v>
      </c>
      <c r="P4" s="797"/>
      <c r="Q4" s="797"/>
      <c r="R4" s="797"/>
      <c r="S4" s="797"/>
      <c r="T4" s="797"/>
      <c r="U4" s="797"/>
      <c r="V4" s="797"/>
      <c r="W4" s="797"/>
      <c r="X4" s="797"/>
      <c r="Y4" s="797"/>
      <c r="Z4" s="797"/>
      <c r="AA4" s="797"/>
      <c r="AB4" s="797"/>
      <c r="AC4" s="797"/>
      <c r="AD4" s="797"/>
      <c r="AE4" s="797"/>
      <c r="AF4" s="797"/>
      <c r="AG4" s="797"/>
      <c r="AH4" s="797"/>
      <c r="AI4" s="797"/>
      <c r="AJ4" s="797"/>
      <c r="AK4" s="797"/>
      <c r="AL4" s="797"/>
      <c r="AM4" s="797"/>
      <c r="AN4" s="797"/>
      <c r="AO4" s="797"/>
      <c r="AP4" s="798"/>
    </row>
    <row r="5" spans="1:42" ht="14.25" customHeight="1" thickBot="1" x14ac:dyDescent="0.3">
      <c r="AI5" s="25"/>
    </row>
    <row r="6" spans="1:42" s="31" customFormat="1" ht="53.25" customHeight="1" thickBot="1" x14ac:dyDescent="0.3">
      <c r="A6" s="698" t="s">
        <v>62</v>
      </c>
      <c r="B6" s="684" t="s">
        <v>72</v>
      </c>
      <c r="C6" s="684"/>
      <c r="D6" s="684"/>
      <c r="E6" s="684" t="s">
        <v>76</v>
      </c>
      <c r="F6" s="684" t="s">
        <v>77</v>
      </c>
      <c r="G6" s="684" t="s">
        <v>78</v>
      </c>
      <c r="H6" s="684" t="s">
        <v>79</v>
      </c>
      <c r="I6" s="777" t="s">
        <v>80</v>
      </c>
      <c r="J6" s="778"/>
      <c r="K6" s="778"/>
      <c r="L6" s="778"/>
      <c r="M6" s="778"/>
      <c r="N6" s="778"/>
      <c r="O6" s="778"/>
      <c r="P6" s="778"/>
      <c r="Q6" s="779"/>
      <c r="R6" s="779"/>
      <c r="S6" s="779"/>
      <c r="T6" s="779"/>
      <c r="U6" s="779"/>
      <c r="V6" s="778"/>
      <c r="W6" s="778"/>
      <c r="X6" s="778"/>
      <c r="Y6" s="778"/>
      <c r="Z6" s="778"/>
      <c r="AA6" s="778"/>
      <c r="AB6" s="778"/>
      <c r="AC6" s="778"/>
      <c r="AD6" s="778"/>
      <c r="AE6" s="780"/>
      <c r="AF6" s="684" t="s">
        <v>81</v>
      </c>
      <c r="AG6" s="684"/>
      <c r="AH6" s="684"/>
      <c r="AI6" s="684"/>
      <c r="AJ6" s="684" t="s">
        <v>83</v>
      </c>
      <c r="AK6" s="684" t="s">
        <v>84</v>
      </c>
      <c r="AL6" s="684" t="s">
        <v>85</v>
      </c>
      <c r="AM6" s="684" t="s">
        <v>86</v>
      </c>
      <c r="AN6" s="684" t="s">
        <v>87</v>
      </c>
      <c r="AO6" s="684" t="s">
        <v>88</v>
      </c>
      <c r="AP6" s="773" t="s">
        <v>89</v>
      </c>
    </row>
    <row r="7" spans="1:42" s="31" customFormat="1" ht="53.25" customHeight="1" thickBot="1" x14ac:dyDescent="0.3">
      <c r="A7" s="671"/>
      <c r="B7" s="673"/>
      <c r="C7" s="673"/>
      <c r="D7" s="673"/>
      <c r="E7" s="673"/>
      <c r="F7" s="673"/>
      <c r="G7" s="673"/>
      <c r="H7" s="673"/>
      <c r="I7" s="685">
        <v>2012</v>
      </c>
      <c r="J7" s="685"/>
      <c r="K7" s="685"/>
      <c r="L7" s="685">
        <v>2013</v>
      </c>
      <c r="M7" s="685"/>
      <c r="N7" s="685"/>
      <c r="O7" s="685"/>
      <c r="P7" s="686"/>
      <c r="Q7" s="790">
        <v>2014</v>
      </c>
      <c r="R7" s="791"/>
      <c r="S7" s="791"/>
      <c r="T7" s="791"/>
      <c r="U7" s="792"/>
      <c r="V7" s="687">
        <v>2015</v>
      </c>
      <c r="W7" s="687"/>
      <c r="X7" s="687"/>
      <c r="Y7" s="687"/>
      <c r="Z7" s="688"/>
      <c r="AA7" s="686">
        <v>2016</v>
      </c>
      <c r="AB7" s="687"/>
      <c r="AC7" s="687"/>
      <c r="AD7" s="687"/>
      <c r="AE7" s="688"/>
      <c r="AF7" s="787" t="s">
        <v>82</v>
      </c>
      <c r="AG7" s="788"/>
      <c r="AH7" s="788"/>
      <c r="AI7" s="789"/>
      <c r="AJ7" s="673"/>
      <c r="AK7" s="673"/>
      <c r="AL7" s="673"/>
      <c r="AM7" s="673"/>
      <c r="AN7" s="673"/>
      <c r="AO7" s="673"/>
      <c r="AP7" s="774"/>
    </row>
    <row r="8" spans="1:42" s="31" customFormat="1" ht="55.5" customHeight="1" thickBot="1" x14ac:dyDescent="0.3">
      <c r="A8" s="772"/>
      <c r="B8" s="47" t="s">
        <v>73</v>
      </c>
      <c r="C8" s="47" t="s">
        <v>74</v>
      </c>
      <c r="D8" s="47" t="s">
        <v>75</v>
      </c>
      <c r="E8" s="674"/>
      <c r="F8" s="674"/>
      <c r="G8" s="674"/>
      <c r="H8" s="776"/>
      <c r="I8" s="57" t="s">
        <v>7</v>
      </c>
      <c r="J8" s="57" t="s">
        <v>8</v>
      </c>
      <c r="K8" s="57" t="s">
        <v>31</v>
      </c>
      <c r="L8" s="57" t="s">
        <v>5</v>
      </c>
      <c r="M8" s="57" t="s">
        <v>6</v>
      </c>
      <c r="N8" s="57" t="s">
        <v>7</v>
      </c>
      <c r="O8" s="57" t="s">
        <v>8</v>
      </c>
      <c r="P8" s="57" t="s">
        <v>31</v>
      </c>
      <c r="Q8" s="61" t="s">
        <v>5</v>
      </c>
      <c r="R8" s="61" t="s">
        <v>6</v>
      </c>
      <c r="S8" s="61" t="s">
        <v>7</v>
      </c>
      <c r="T8" s="61" t="s">
        <v>8</v>
      </c>
      <c r="U8" s="61" t="s">
        <v>31</v>
      </c>
      <c r="V8" s="57" t="s">
        <v>5</v>
      </c>
      <c r="W8" s="57" t="s">
        <v>6</v>
      </c>
      <c r="X8" s="57" t="s">
        <v>7</v>
      </c>
      <c r="Y8" s="57" t="s">
        <v>8</v>
      </c>
      <c r="Z8" s="57" t="s">
        <v>31</v>
      </c>
      <c r="AA8" s="57" t="s">
        <v>5</v>
      </c>
      <c r="AB8" s="57" t="s">
        <v>6</v>
      </c>
      <c r="AC8" s="57" t="s">
        <v>7</v>
      </c>
      <c r="AD8" s="57" t="s">
        <v>8</v>
      </c>
      <c r="AE8" s="57" t="s">
        <v>31</v>
      </c>
      <c r="AF8" s="57" t="s">
        <v>5</v>
      </c>
      <c r="AG8" s="57" t="s">
        <v>6</v>
      </c>
      <c r="AH8" s="57" t="s">
        <v>7</v>
      </c>
      <c r="AI8" s="57" t="s">
        <v>8</v>
      </c>
      <c r="AJ8" s="674"/>
      <c r="AK8" s="674"/>
      <c r="AL8" s="674"/>
      <c r="AM8" s="674"/>
      <c r="AN8" s="674"/>
      <c r="AO8" s="674"/>
      <c r="AP8" s="775"/>
    </row>
    <row r="9" spans="1:42" s="5" customFormat="1" ht="61.5" customHeight="1" thickBot="1" x14ac:dyDescent="0.3">
      <c r="A9" s="709" t="s">
        <v>161</v>
      </c>
      <c r="B9" s="733">
        <v>1</v>
      </c>
      <c r="C9" s="736" t="s">
        <v>162</v>
      </c>
      <c r="D9" s="715" t="s">
        <v>121</v>
      </c>
      <c r="E9" s="715">
        <v>299</v>
      </c>
      <c r="F9" s="715">
        <v>179</v>
      </c>
      <c r="G9" s="39" t="s">
        <v>9</v>
      </c>
      <c r="H9" s="125">
        <v>5</v>
      </c>
      <c r="I9" s="125"/>
      <c r="J9" s="125" t="s">
        <v>369</v>
      </c>
      <c r="K9" s="60">
        <v>1.4</v>
      </c>
      <c r="L9" s="60">
        <v>2.6</v>
      </c>
      <c r="M9" s="60" t="s">
        <v>184</v>
      </c>
      <c r="N9" s="60" t="s">
        <v>184</v>
      </c>
      <c r="O9" s="60">
        <v>2.6</v>
      </c>
      <c r="P9" s="60">
        <v>2.6</v>
      </c>
      <c r="Q9" s="125">
        <v>1</v>
      </c>
      <c r="R9" s="125">
        <v>1</v>
      </c>
      <c r="S9" s="125">
        <v>1</v>
      </c>
      <c r="T9" s="125">
        <v>1</v>
      </c>
      <c r="U9" s="125">
        <v>1</v>
      </c>
      <c r="V9" s="336"/>
      <c r="W9" s="125"/>
      <c r="X9" s="125"/>
      <c r="Y9" s="125"/>
      <c r="Z9" s="125"/>
      <c r="AA9" s="125">
        <v>0</v>
      </c>
      <c r="AB9" s="125"/>
      <c r="AC9" s="125"/>
      <c r="AD9" s="125"/>
      <c r="AE9" s="125"/>
      <c r="AF9" s="366"/>
      <c r="AG9" s="374"/>
      <c r="AH9" s="374"/>
      <c r="AI9" s="374"/>
      <c r="AJ9" s="375">
        <v>0</v>
      </c>
      <c r="AK9" s="376">
        <f>SUM(K9+P9+U9)/H9</f>
        <v>1</v>
      </c>
      <c r="AL9" s="718" t="s">
        <v>548</v>
      </c>
      <c r="AM9" s="718"/>
      <c r="AN9" s="718"/>
      <c r="AO9" s="718"/>
      <c r="AP9" s="712"/>
    </row>
    <row r="10" spans="1:42" s="5" customFormat="1" ht="61.5" customHeight="1" x14ac:dyDescent="0.25">
      <c r="A10" s="708"/>
      <c r="B10" s="734"/>
      <c r="C10" s="737"/>
      <c r="D10" s="716"/>
      <c r="E10" s="716"/>
      <c r="F10" s="716"/>
      <c r="G10" s="40" t="s">
        <v>10</v>
      </c>
      <c r="H10" s="127">
        <f>K10+P10+U10+V10+AA10</f>
        <v>69285000</v>
      </c>
      <c r="I10" s="127"/>
      <c r="J10" s="128">
        <v>19285000</v>
      </c>
      <c r="K10" s="127">
        <v>19285000</v>
      </c>
      <c r="L10" s="127">
        <v>141000000</v>
      </c>
      <c r="M10" s="127">
        <v>141000000</v>
      </c>
      <c r="N10" s="127">
        <v>141000000</v>
      </c>
      <c r="O10" s="127">
        <v>141000000</v>
      </c>
      <c r="P10" s="129">
        <v>0</v>
      </c>
      <c r="Q10" s="127">
        <v>50000000</v>
      </c>
      <c r="R10" s="127">
        <v>50000000</v>
      </c>
      <c r="S10" s="127">
        <v>50000000</v>
      </c>
      <c r="T10" s="127">
        <v>50000000</v>
      </c>
      <c r="U10" s="127">
        <v>50000000</v>
      </c>
      <c r="V10" s="337"/>
      <c r="W10" s="127"/>
      <c r="X10" s="127"/>
      <c r="Y10" s="127"/>
      <c r="Z10" s="127"/>
      <c r="AA10" s="127">
        <v>0</v>
      </c>
      <c r="AB10" s="127"/>
      <c r="AC10" s="127"/>
      <c r="AD10" s="127"/>
      <c r="AE10" s="127"/>
      <c r="AF10" s="366"/>
      <c r="AG10" s="377"/>
      <c r="AH10" s="377"/>
      <c r="AI10" s="377"/>
      <c r="AJ10" s="378">
        <v>0</v>
      </c>
      <c r="AK10" s="376">
        <v>0.32950000000000002</v>
      </c>
      <c r="AL10" s="719"/>
      <c r="AM10" s="719"/>
      <c r="AN10" s="719"/>
      <c r="AO10" s="719"/>
      <c r="AP10" s="713"/>
    </row>
    <row r="11" spans="1:42" s="5" customFormat="1" ht="46.5" customHeight="1" x14ac:dyDescent="0.25">
      <c r="A11" s="708"/>
      <c r="B11" s="734"/>
      <c r="C11" s="737"/>
      <c r="D11" s="716"/>
      <c r="E11" s="716"/>
      <c r="F11" s="716"/>
      <c r="G11" s="40" t="s">
        <v>11</v>
      </c>
      <c r="H11" s="131"/>
      <c r="I11" s="131"/>
      <c r="J11" s="131"/>
      <c r="K11" s="131"/>
      <c r="L11" s="131"/>
      <c r="M11" s="131"/>
      <c r="N11" s="131"/>
      <c r="O11" s="131"/>
      <c r="P11" s="51"/>
      <c r="Q11" s="131"/>
      <c r="R11" s="131"/>
      <c r="S11" s="131"/>
      <c r="T11" s="131"/>
      <c r="U11" s="131"/>
      <c r="V11" s="337">
        <v>0</v>
      </c>
      <c r="W11" s="49">
        <v>0</v>
      </c>
      <c r="X11" s="131"/>
      <c r="Y11" s="131"/>
      <c r="Z11" s="131"/>
      <c r="AA11" s="131"/>
      <c r="AB11" s="131"/>
      <c r="AC11" s="131"/>
      <c r="AD11" s="131"/>
      <c r="AE11" s="131"/>
      <c r="AF11" s="380"/>
      <c r="AG11" s="381">
        <v>0</v>
      </c>
      <c r="AH11" s="382"/>
      <c r="AI11" s="383"/>
      <c r="AJ11" s="378"/>
      <c r="AK11" s="379"/>
      <c r="AL11" s="719"/>
      <c r="AM11" s="719"/>
      <c r="AN11" s="719"/>
      <c r="AO11" s="719"/>
      <c r="AP11" s="713"/>
    </row>
    <row r="12" spans="1:42" s="5" customFormat="1" ht="52.5" customHeight="1" x14ac:dyDescent="0.25">
      <c r="A12" s="708"/>
      <c r="B12" s="734"/>
      <c r="C12" s="737"/>
      <c r="D12" s="716"/>
      <c r="E12" s="716"/>
      <c r="F12" s="716"/>
      <c r="G12" s="40" t="s">
        <v>12</v>
      </c>
      <c r="H12" s="131"/>
      <c r="I12" s="131"/>
      <c r="J12" s="131"/>
      <c r="K12" s="131"/>
      <c r="L12" s="131"/>
      <c r="M12" s="131"/>
      <c r="N12" s="131"/>
      <c r="O12" s="131"/>
      <c r="P12" s="49"/>
      <c r="Q12" s="131"/>
      <c r="R12" s="131"/>
      <c r="S12" s="131"/>
      <c r="T12" s="131"/>
      <c r="U12" s="131"/>
      <c r="V12" s="337">
        <v>50000000</v>
      </c>
      <c r="W12" s="49">
        <v>50000000</v>
      </c>
      <c r="X12" s="131"/>
      <c r="Y12" s="131"/>
      <c r="Z12" s="131"/>
      <c r="AA12" s="131"/>
      <c r="AB12" s="131"/>
      <c r="AC12" s="131"/>
      <c r="AD12" s="131"/>
      <c r="AE12" s="131"/>
      <c r="AF12" s="384">
        <v>50000000</v>
      </c>
      <c r="AG12" s="385">
        <v>50000000</v>
      </c>
      <c r="AH12" s="386"/>
      <c r="AI12" s="381"/>
      <c r="AJ12" s="378"/>
      <c r="AK12" s="379"/>
      <c r="AL12" s="719"/>
      <c r="AM12" s="719"/>
      <c r="AN12" s="719"/>
      <c r="AO12" s="719"/>
      <c r="AP12" s="713"/>
    </row>
    <row r="13" spans="1:42" s="5" customFormat="1" ht="61.5" customHeight="1" x14ac:dyDescent="0.25">
      <c r="A13" s="708"/>
      <c r="B13" s="734"/>
      <c r="C13" s="737"/>
      <c r="D13" s="716"/>
      <c r="E13" s="716"/>
      <c r="F13" s="716"/>
      <c r="G13" s="40" t="s">
        <v>13</v>
      </c>
      <c r="H13" s="132">
        <f>H9+H11</f>
        <v>5</v>
      </c>
      <c r="I13" s="132"/>
      <c r="J13" s="132" t="str">
        <f>+J9</f>
        <v>2.00</v>
      </c>
      <c r="K13" s="133">
        <f t="shared" ref="K13:O14" si="0">+K9</f>
        <v>1.4</v>
      </c>
      <c r="L13" s="133">
        <f t="shared" si="0"/>
        <v>2.6</v>
      </c>
      <c r="M13" s="133" t="str">
        <f t="shared" si="0"/>
        <v>2.6</v>
      </c>
      <c r="N13" s="133" t="str">
        <f t="shared" si="0"/>
        <v>2.6</v>
      </c>
      <c r="O13" s="133">
        <f t="shared" si="0"/>
        <v>2.6</v>
      </c>
      <c r="P13" s="129">
        <f>+P9</f>
        <v>2.6</v>
      </c>
      <c r="Q13" s="132">
        <f>+Q9</f>
        <v>1</v>
      </c>
      <c r="R13" s="132">
        <f>+R9</f>
        <v>1</v>
      </c>
      <c r="S13" s="132">
        <v>1</v>
      </c>
      <c r="T13" s="132">
        <v>1</v>
      </c>
      <c r="U13" s="134">
        <v>1</v>
      </c>
      <c r="V13" s="338">
        <f>+V9</f>
        <v>0</v>
      </c>
      <c r="W13" s="132">
        <v>0</v>
      </c>
      <c r="X13" s="132"/>
      <c r="Y13" s="132"/>
      <c r="Z13" s="132"/>
      <c r="AA13" s="132">
        <v>0</v>
      </c>
      <c r="AB13" s="132"/>
      <c r="AC13" s="132"/>
      <c r="AD13" s="132"/>
      <c r="AE13" s="134"/>
      <c r="AF13" s="366"/>
      <c r="AG13" s="377"/>
      <c r="AH13" s="377"/>
      <c r="AI13" s="377"/>
      <c r="AJ13" s="378"/>
      <c r="AK13" s="379"/>
      <c r="AL13" s="719"/>
      <c r="AM13" s="719"/>
      <c r="AN13" s="719"/>
      <c r="AO13" s="719"/>
      <c r="AP13" s="713"/>
    </row>
    <row r="14" spans="1:42" s="5" customFormat="1" ht="61.5" customHeight="1" thickBot="1" x14ac:dyDescent="0.3">
      <c r="A14" s="708"/>
      <c r="B14" s="735"/>
      <c r="C14" s="747"/>
      <c r="D14" s="717"/>
      <c r="E14" s="717"/>
      <c r="F14" s="717"/>
      <c r="G14" s="41" t="s">
        <v>14</v>
      </c>
      <c r="H14" s="135">
        <f>+H10+H12</f>
        <v>69285000</v>
      </c>
      <c r="I14" s="135"/>
      <c r="J14" s="135">
        <f>+J10+J12</f>
        <v>19285000</v>
      </c>
      <c r="K14" s="135">
        <f t="shared" si="0"/>
        <v>19285000</v>
      </c>
      <c r="L14" s="135">
        <f t="shared" si="0"/>
        <v>141000000</v>
      </c>
      <c r="M14" s="135">
        <f t="shared" si="0"/>
        <v>141000000</v>
      </c>
      <c r="N14" s="135">
        <f t="shared" si="0"/>
        <v>141000000</v>
      </c>
      <c r="O14" s="135">
        <f t="shared" si="0"/>
        <v>141000000</v>
      </c>
      <c r="P14" s="136">
        <v>0</v>
      </c>
      <c r="Q14" s="135">
        <f>+Q10</f>
        <v>50000000</v>
      </c>
      <c r="R14" s="135">
        <f>+R10</f>
        <v>50000000</v>
      </c>
      <c r="S14" s="135">
        <v>50000000</v>
      </c>
      <c r="T14" s="135">
        <v>50000000</v>
      </c>
      <c r="U14" s="137">
        <v>50000000</v>
      </c>
      <c r="V14" s="339">
        <f>+V10+V12</f>
        <v>50000000</v>
      </c>
      <c r="W14" s="135">
        <v>50000000</v>
      </c>
      <c r="X14" s="135"/>
      <c r="Y14" s="135"/>
      <c r="Z14" s="135"/>
      <c r="AA14" s="135">
        <v>0</v>
      </c>
      <c r="AB14" s="135"/>
      <c r="AC14" s="135"/>
      <c r="AD14" s="135"/>
      <c r="AE14" s="137"/>
      <c r="AF14" s="372">
        <f>+AF10+AF12</f>
        <v>50000000</v>
      </c>
      <c r="AG14" s="387"/>
      <c r="AH14" s="387"/>
      <c r="AI14" s="387"/>
      <c r="AJ14" s="388"/>
      <c r="AK14" s="389"/>
      <c r="AL14" s="719"/>
      <c r="AM14" s="719"/>
      <c r="AN14" s="719"/>
      <c r="AO14" s="719"/>
      <c r="AP14" s="713"/>
    </row>
    <row r="15" spans="1:42" s="5" customFormat="1" ht="45" customHeight="1" thickBot="1" x14ac:dyDescent="0.3">
      <c r="A15" s="708"/>
      <c r="B15" s="721">
        <v>2</v>
      </c>
      <c r="C15" s="748" t="s">
        <v>163</v>
      </c>
      <c r="D15" s="715" t="s">
        <v>122</v>
      </c>
      <c r="E15" s="715">
        <v>299</v>
      </c>
      <c r="F15" s="715">
        <v>179</v>
      </c>
      <c r="G15" s="39" t="s">
        <v>9</v>
      </c>
      <c r="H15" s="125">
        <v>28</v>
      </c>
      <c r="I15" s="125"/>
      <c r="J15" s="60">
        <v>28</v>
      </c>
      <c r="K15" s="60">
        <v>6.2</v>
      </c>
      <c r="L15" s="125">
        <v>28</v>
      </c>
      <c r="M15" s="125">
        <v>28</v>
      </c>
      <c r="N15" s="125">
        <v>28</v>
      </c>
      <c r="O15" s="125">
        <v>28</v>
      </c>
      <c r="P15" s="139">
        <v>28</v>
      </c>
      <c r="Q15" s="125">
        <v>28</v>
      </c>
      <c r="R15" s="125">
        <v>28</v>
      </c>
      <c r="S15" s="125">
        <v>28</v>
      </c>
      <c r="T15" s="125">
        <v>28</v>
      </c>
      <c r="U15" s="125">
        <v>28</v>
      </c>
      <c r="V15" s="336">
        <v>28</v>
      </c>
      <c r="W15" s="125">
        <v>28</v>
      </c>
      <c r="X15" s="125"/>
      <c r="Y15" s="125"/>
      <c r="Z15" s="125"/>
      <c r="AA15" s="125">
        <v>28</v>
      </c>
      <c r="AB15" s="125"/>
      <c r="AC15" s="125"/>
      <c r="AD15" s="125"/>
      <c r="AE15" s="125"/>
      <c r="AF15" s="390">
        <v>28</v>
      </c>
      <c r="AG15" s="394">
        <v>28</v>
      </c>
      <c r="AH15" s="394"/>
      <c r="AI15" s="394"/>
      <c r="AJ15" s="375">
        <f>AG15/W15</f>
        <v>1</v>
      </c>
      <c r="AK15" s="376"/>
      <c r="AL15" s="719" t="s">
        <v>549</v>
      </c>
      <c r="AM15" s="719" t="s">
        <v>550</v>
      </c>
      <c r="AN15" s="719" t="s">
        <v>551</v>
      </c>
      <c r="AO15" s="719" t="s">
        <v>411</v>
      </c>
      <c r="AP15" s="713" t="s">
        <v>552</v>
      </c>
    </row>
    <row r="16" spans="1:42" s="5" customFormat="1" ht="36" customHeight="1" x14ac:dyDescent="0.25">
      <c r="A16" s="708"/>
      <c r="B16" s="722"/>
      <c r="C16" s="741"/>
      <c r="D16" s="716"/>
      <c r="E16" s="716"/>
      <c r="F16" s="716"/>
      <c r="G16" s="40" t="s">
        <v>10</v>
      </c>
      <c r="H16" s="127">
        <f>K16+P16+U16+V16+AA16</f>
        <v>259059000</v>
      </c>
      <c r="I16" s="127"/>
      <c r="J16" s="127">
        <v>42009200</v>
      </c>
      <c r="K16" s="127">
        <v>18550000</v>
      </c>
      <c r="L16" s="127">
        <v>19400000</v>
      </c>
      <c r="M16" s="127">
        <v>19400000</v>
      </c>
      <c r="N16" s="127">
        <v>19400000</v>
      </c>
      <c r="O16" s="127">
        <v>19400000</v>
      </c>
      <c r="P16" s="81">
        <v>19400000</v>
      </c>
      <c r="Q16" s="127">
        <v>46560000</v>
      </c>
      <c r="R16" s="127">
        <v>46560000</v>
      </c>
      <c r="S16" s="127">
        <v>89240000</v>
      </c>
      <c r="T16" s="127">
        <v>58045000</v>
      </c>
      <c r="U16" s="127">
        <v>58045000</v>
      </c>
      <c r="V16" s="337">
        <v>89439000</v>
      </c>
      <c r="W16" s="127">
        <v>89439000</v>
      </c>
      <c r="X16" s="127"/>
      <c r="Y16" s="127"/>
      <c r="Z16" s="127"/>
      <c r="AA16" s="127">
        <v>73625000</v>
      </c>
      <c r="AB16" s="127"/>
      <c r="AC16" s="127"/>
      <c r="AD16" s="127"/>
      <c r="AE16" s="127"/>
      <c r="AF16" s="384">
        <v>89306837</v>
      </c>
      <c r="AG16" s="395">
        <v>89306837</v>
      </c>
      <c r="AH16" s="395"/>
      <c r="AI16" s="395"/>
      <c r="AJ16" s="375">
        <f>AG16/W16</f>
        <v>0.99852231129596714</v>
      </c>
      <c r="AK16" s="379">
        <v>0.65590000000000004</v>
      </c>
      <c r="AL16" s="719"/>
      <c r="AM16" s="719"/>
      <c r="AN16" s="719"/>
      <c r="AO16" s="719"/>
      <c r="AP16" s="713"/>
    </row>
    <row r="17" spans="1:42" s="5" customFormat="1" ht="40.5" customHeight="1" x14ac:dyDescent="0.25">
      <c r="A17" s="708"/>
      <c r="B17" s="722"/>
      <c r="C17" s="741"/>
      <c r="D17" s="716"/>
      <c r="E17" s="716"/>
      <c r="F17" s="716"/>
      <c r="G17" s="40" t="s">
        <v>11</v>
      </c>
      <c r="H17" s="140"/>
      <c r="I17" s="131"/>
      <c r="J17" s="131"/>
      <c r="K17" s="131"/>
      <c r="L17" s="131"/>
      <c r="M17" s="131"/>
      <c r="N17" s="131"/>
      <c r="O17" s="131"/>
      <c r="P17" s="49"/>
      <c r="Q17" s="131"/>
      <c r="R17" s="131"/>
      <c r="S17" s="131"/>
      <c r="T17" s="131"/>
      <c r="U17" s="131"/>
      <c r="V17" s="340"/>
      <c r="W17" s="49"/>
      <c r="X17" s="131"/>
      <c r="Y17" s="131"/>
      <c r="Z17" s="131"/>
      <c r="AA17" s="131"/>
      <c r="AB17" s="131"/>
      <c r="AC17" s="131"/>
      <c r="AD17" s="131"/>
      <c r="AE17" s="131"/>
      <c r="AF17" s="380"/>
      <c r="AG17" s="381"/>
      <c r="AH17" s="382"/>
      <c r="AI17" s="381"/>
      <c r="AJ17" s="378"/>
      <c r="AK17" s="379"/>
      <c r="AL17" s="719"/>
      <c r="AM17" s="719"/>
      <c r="AN17" s="719"/>
      <c r="AO17" s="719"/>
      <c r="AP17" s="713"/>
    </row>
    <row r="18" spans="1:42" s="5" customFormat="1" ht="33" customHeight="1" x14ac:dyDescent="0.25">
      <c r="A18" s="708"/>
      <c r="B18" s="722"/>
      <c r="C18" s="741"/>
      <c r="D18" s="716"/>
      <c r="E18" s="716"/>
      <c r="F18" s="716"/>
      <c r="G18" s="40" t="s">
        <v>12</v>
      </c>
      <c r="H18" s="141"/>
      <c r="I18" s="141"/>
      <c r="J18" s="141"/>
      <c r="K18" s="141"/>
      <c r="L18" s="141"/>
      <c r="M18" s="141"/>
      <c r="N18" s="141"/>
      <c r="O18" s="141"/>
      <c r="P18" s="142"/>
      <c r="Q18" s="127">
        <v>5302667</v>
      </c>
      <c r="R18" s="127">
        <v>5302667</v>
      </c>
      <c r="S18" s="127">
        <v>5302667</v>
      </c>
      <c r="T18" s="127">
        <v>5302667</v>
      </c>
      <c r="U18" s="141">
        <v>5302667</v>
      </c>
      <c r="V18" s="340">
        <v>7061668</v>
      </c>
      <c r="W18" s="646">
        <v>7061668</v>
      </c>
      <c r="X18" s="141"/>
      <c r="Y18" s="141"/>
      <c r="Z18" s="141"/>
      <c r="AA18" s="141"/>
      <c r="AB18" s="141"/>
      <c r="AC18" s="141"/>
      <c r="AD18" s="141"/>
      <c r="AE18" s="141"/>
      <c r="AF18" s="396">
        <v>7061668</v>
      </c>
      <c r="AG18" s="385">
        <v>7061668</v>
      </c>
      <c r="AH18" s="385"/>
      <c r="AI18" s="385"/>
      <c r="AJ18" s="378"/>
      <c r="AK18" s="379"/>
      <c r="AL18" s="719"/>
      <c r="AM18" s="719"/>
      <c r="AN18" s="719"/>
      <c r="AO18" s="719"/>
      <c r="AP18" s="713"/>
    </row>
    <row r="19" spans="1:42" s="5" customFormat="1" ht="36" customHeight="1" x14ac:dyDescent="0.25">
      <c r="A19" s="708"/>
      <c r="B19" s="722"/>
      <c r="C19" s="741"/>
      <c r="D19" s="716"/>
      <c r="E19" s="716"/>
      <c r="F19" s="716"/>
      <c r="G19" s="40" t="s">
        <v>13</v>
      </c>
      <c r="H19" s="134">
        <f>+H15</f>
        <v>28</v>
      </c>
      <c r="I19" s="134"/>
      <c r="J19" s="143">
        <v>28</v>
      </c>
      <c r="K19" s="134">
        <f>+K15</f>
        <v>6.2</v>
      </c>
      <c r="L19" s="134">
        <f>+L15</f>
        <v>28</v>
      </c>
      <c r="M19" s="134">
        <f t="shared" ref="M19:Q20" si="1">+M15</f>
        <v>28</v>
      </c>
      <c r="N19" s="134">
        <f t="shared" si="1"/>
        <v>28</v>
      </c>
      <c r="O19" s="134">
        <f t="shared" si="1"/>
        <v>28</v>
      </c>
      <c r="P19" s="134">
        <f t="shared" si="1"/>
        <v>28</v>
      </c>
      <c r="Q19" s="134">
        <f t="shared" si="1"/>
        <v>28</v>
      </c>
      <c r="R19" s="134">
        <f>+R15</f>
        <v>28</v>
      </c>
      <c r="S19" s="134">
        <v>28</v>
      </c>
      <c r="T19" s="134">
        <v>28</v>
      </c>
      <c r="U19" s="134">
        <v>28</v>
      </c>
      <c r="V19" s="341">
        <f>+V15</f>
        <v>28</v>
      </c>
      <c r="W19" s="134">
        <v>28</v>
      </c>
      <c r="X19" s="134"/>
      <c r="Y19" s="134"/>
      <c r="Z19" s="134"/>
      <c r="AA19" s="134">
        <v>28</v>
      </c>
      <c r="AB19" s="134"/>
      <c r="AC19" s="134"/>
      <c r="AD19" s="134"/>
      <c r="AE19" s="134"/>
      <c r="AF19" s="366"/>
      <c r="AG19" s="377">
        <v>28</v>
      </c>
      <c r="AH19" s="377"/>
      <c r="AI19" s="377"/>
      <c r="AJ19" s="378"/>
      <c r="AK19" s="379"/>
      <c r="AL19" s="719"/>
      <c r="AM19" s="719"/>
      <c r="AN19" s="719"/>
      <c r="AO19" s="719"/>
      <c r="AP19" s="713"/>
    </row>
    <row r="20" spans="1:42" s="5" customFormat="1" ht="49.5" customHeight="1" thickBot="1" x14ac:dyDescent="0.3">
      <c r="A20" s="708"/>
      <c r="B20" s="758"/>
      <c r="C20" s="742"/>
      <c r="D20" s="717"/>
      <c r="E20" s="717"/>
      <c r="F20" s="717"/>
      <c r="G20" s="41" t="s">
        <v>14</v>
      </c>
      <c r="H20" s="135">
        <f>+H16</f>
        <v>259059000</v>
      </c>
      <c r="I20" s="135"/>
      <c r="J20" s="137">
        <v>42000000</v>
      </c>
      <c r="K20" s="135">
        <f>+K16</f>
        <v>18550000</v>
      </c>
      <c r="L20" s="135">
        <f>+L16</f>
        <v>19400000</v>
      </c>
      <c r="M20" s="135">
        <f>+M16</f>
        <v>19400000</v>
      </c>
      <c r="N20" s="135">
        <f>+N16</f>
        <v>19400000</v>
      </c>
      <c r="O20" s="135">
        <f>+O16</f>
        <v>19400000</v>
      </c>
      <c r="P20" s="145">
        <f t="shared" si="1"/>
        <v>19400000</v>
      </c>
      <c r="Q20" s="135">
        <f>+Q16+Q18</f>
        <v>51862667</v>
      </c>
      <c r="R20" s="135">
        <f>+R16+R18</f>
        <v>51862667</v>
      </c>
      <c r="S20" s="135">
        <v>94542667</v>
      </c>
      <c r="T20" s="135">
        <v>63347667</v>
      </c>
      <c r="U20" s="135">
        <v>58045000</v>
      </c>
      <c r="V20" s="339">
        <f>V16+V18</f>
        <v>96500668</v>
      </c>
      <c r="W20" s="135">
        <v>96500668</v>
      </c>
      <c r="X20" s="135"/>
      <c r="Y20" s="135"/>
      <c r="Z20" s="135"/>
      <c r="AA20" s="135">
        <v>73625000</v>
      </c>
      <c r="AB20" s="135"/>
      <c r="AC20" s="135"/>
      <c r="AD20" s="135"/>
      <c r="AE20" s="135"/>
      <c r="AF20" s="397">
        <f>AF16+AF18</f>
        <v>96368505</v>
      </c>
      <c r="AG20" s="387">
        <v>96368505</v>
      </c>
      <c r="AH20" s="387"/>
      <c r="AI20" s="387"/>
      <c r="AJ20" s="388"/>
      <c r="AK20" s="389"/>
      <c r="AL20" s="719"/>
      <c r="AM20" s="719"/>
      <c r="AN20" s="719"/>
      <c r="AO20" s="719"/>
      <c r="AP20" s="713"/>
    </row>
    <row r="21" spans="1:42" s="5" customFormat="1" ht="63.75" customHeight="1" thickBot="1" x14ac:dyDescent="0.3">
      <c r="A21" s="708"/>
      <c r="B21" s="759">
        <v>3</v>
      </c>
      <c r="C21" s="736" t="s">
        <v>164</v>
      </c>
      <c r="D21" s="715" t="s">
        <v>123</v>
      </c>
      <c r="E21" s="715">
        <v>299</v>
      </c>
      <c r="F21" s="715">
        <v>179</v>
      </c>
      <c r="G21" s="39" t="s">
        <v>9</v>
      </c>
      <c r="H21" s="146">
        <v>234.3</v>
      </c>
      <c r="I21" s="125"/>
      <c r="J21" s="77">
        <v>17.34</v>
      </c>
      <c r="K21" s="60">
        <v>3.95</v>
      </c>
      <c r="L21" s="146">
        <v>177.4</v>
      </c>
      <c r="M21" s="146">
        <v>177.4</v>
      </c>
      <c r="N21" s="146">
        <v>177.4</v>
      </c>
      <c r="O21" s="60">
        <v>183.45</v>
      </c>
      <c r="P21" s="60">
        <v>177.39999999999998</v>
      </c>
      <c r="Q21" s="125">
        <v>219</v>
      </c>
      <c r="R21" s="125">
        <v>219</v>
      </c>
      <c r="S21" s="125">
        <v>219</v>
      </c>
      <c r="T21" s="125">
        <v>219</v>
      </c>
      <c r="U21" s="125">
        <v>217.21</v>
      </c>
      <c r="V21" s="336">
        <v>234.3</v>
      </c>
      <c r="W21" s="125">
        <v>234.3</v>
      </c>
      <c r="X21" s="125"/>
      <c r="Y21" s="125"/>
      <c r="Z21" s="125"/>
      <c r="AA21" s="60" t="s">
        <v>185</v>
      </c>
      <c r="AB21" s="60"/>
      <c r="AC21" s="60"/>
      <c r="AD21" s="60"/>
      <c r="AE21" s="125"/>
      <c r="AF21" s="392">
        <v>217.3</v>
      </c>
      <c r="AG21" s="374">
        <v>218.42000000000002</v>
      </c>
      <c r="AH21" s="374"/>
      <c r="AI21" s="374"/>
      <c r="AJ21" s="375">
        <f>AG21/W21</f>
        <v>0.93222364489970122</v>
      </c>
      <c r="AK21" s="376"/>
      <c r="AL21" s="719" t="s">
        <v>553</v>
      </c>
      <c r="AM21" s="719" t="s">
        <v>383</v>
      </c>
      <c r="AN21" s="719" t="s">
        <v>383</v>
      </c>
      <c r="AO21" s="719" t="s">
        <v>449</v>
      </c>
      <c r="AP21" s="713">
        <v>0</v>
      </c>
    </row>
    <row r="22" spans="1:42" s="5" customFormat="1" ht="66.75" customHeight="1" x14ac:dyDescent="0.25">
      <c r="A22" s="708"/>
      <c r="B22" s="760"/>
      <c r="C22" s="737"/>
      <c r="D22" s="716"/>
      <c r="E22" s="716"/>
      <c r="F22" s="716"/>
      <c r="G22" s="40" t="s">
        <v>10</v>
      </c>
      <c r="H22" s="127">
        <f>K22+P22+U22+V22+AA22</f>
        <v>10544382897</v>
      </c>
      <c r="I22" s="127"/>
      <c r="J22" s="147">
        <v>229850500</v>
      </c>
      <c r="K22" s="127">
        <v>221820000</v>
      </c>
      <c r="L22" s="127">
        <v>2836107730</v>
      </c>
      <c r="M22" s="127">
        <v>2836107730</v>
      </c>
      <c r="N22" s="127">
        <v>2836107730</v>
      </c>
      <c r="O22" s="127">
        <v>2836107730</v>
      </c>
      <c r="P22" s="81">
        <f>2275674627</f>
        <v>2275674627</v>
      </c>
      <c r="Q22" s="127">
        <v>1541055000</v>
      </c>
      <c r="R22" s="127">
        <v>1541055000</v>
      </c>
      <c r="S22" s="127">
        <v>1202308507</v>
      </c>
      <c r="T22" s="127">
        <v>1195533507</v>
      </c>
      <c r="U22" s="127">
        <v>1087330770</v>
      </c>
      <c r="V22" s="337">
        <v>5298519500</v>
      </c>
      <c r="W22" s="127">
        <v>4778520500</v>
      </c>
      <c r="X22" s="127"/>
      <c r="Y22" s="127"/>
      <c r="Z22" s="127"/>
      <c r="AA22" s="127">
        <v>1661038000</v>
      </c>
      <c r="AB22" s="127"/>
      <c r="AC22" s="127"/>
      <c r="AD22" s="127"/>
      <c r="AE22" s="127"/>
      <c r="AF22" s="384">
        <f>1089817250+47477850+52993500+40695300</f>
        <v>1230983900</v>
      </c>
      <c r="AG22" s="395">
        <v>2782234122</v>
      </c>
      <c r="AH22" s="395"/>
      <c r="AI22" s="395"/>
      <c r="AJ22" s="375">
        <f>AG22/W22</f>
        <v>0.58223756118656389</v>
      </c>
      <c r="AK22" s="379">
        <v>0.59450000000000003</v>
      </c>
      <c r="AL22" s="719"/>
      <c r="AM22" s="719"/>
      <c r="AN22" s="719"/>
      <c r="AO22" s="719"/>
      <c r="AP22" s="713" t="s">
        <v>450</v>
      </c>
    </row>
    <row r="23" spans="1:42" s="5" customFormat="1" ht="53.25" customHeight="1" x14ac:dyDescent="0.25">
      <c r="A23" s="708"/>
      <c r="B23" s="760"/>
      <c r="C23" s="737"/>
      <c r="D23" s="716"/>
      <c r="E23" s="716"/>
      <c r="F23" s="716"/>
      <c r="G23" s="40" t="s">
        <v>11</v>
      </c>
      <c r="H23" s="131"/>
      <c r="I23" s="131"/>
      <c r="J23" s="131"/>
      <c r="K23" s="131"/>
      <c r="L23" s="131">
        <v>6.05</v>
      </c>
      <c r="M23" s="131">
        <v>6.05</v>
      </c>
      <c r="N23" s="131">
        <v>6.05</v>
      </c>
      <c r="O23" s="131">
        <v>6.05</v>
      </c>
      <c r="P23" s="144"/>
      <c r="Q23" s="131"/>
      <c r="R23" s="131"/>
      <c r="S23" s="131"/>
      <c r="T23" s="131"/>
      <c r="U23" s="131"/>
      <c r="V23" s="340"/>
      <c r="W23" s="49"/>
      <c r="X23" s="131"/>
      <c r="Y23" s="131"/>
      <c r="Z23" s="131"/>
      <c r="AA23" s="131"/>
      <c r="AB23" s="131"/>
      <c r="AC23" s="131"/>
      <c r="AD23" s="131"/>
      <c r="AE23" s="131"/>
      <c r="AF23" s="366"/>
      <c r="AG23" s="377"/>
      <c r="AH23" s="377"/>
      <c r="AI23" s="377"/>
      <c r="AJ23" s="378"/>
      <c r="AK23" s="379"/>
      <c r="AL23" s="719"/>
      <c r="AM23" s="719"/>
      <c r="AN23" s="719"/>
      <c r="AO23" s="719"/>
      <c r="AP23" s="713" t="s">
        <v>450</v>
      </c>
    </row>
    <row r="24" spans="1:42" s="5" customFormat="1" ht="62.25" customHeight="1" x14ac:dyDescent="0.25">
      <c r="A24" s="708"/>
      <c r="B24" s="760"/>
      <c r="C24" s="737"/>
      <c r="D24" s="716"/>
      <c r="E24" s="716"/>
      <c r="F24" s="716"/>
      <c r="G24" s="40" t="s">
        <v>12</v>
      </c>
      <c r="H24" s="131"/>
      <c r="I24" s="131"/>
      <c r="J24" s="131"/>
      <c r="K24" s="131"/>
      <c r="L24" s="148">
        <v>155113333</v>
      </c>
      <c r="M24" s="148">
        <v>155113333</v>
      </c>
      <c r="N24" s="148">
        <v>155113333</v>
      </c>
      <c r="O24" s="148">
        <v>155113333</v>
      </c>
      <c r="P24" s="81">
        <v>140113333</v>
      </c>
      <c r="Q24" s="127">
        <v>1956967294</v>
      </c>
      <c r="R24" s="127">
        <v>1956967294</v>
      </c>
      <c r="S24" s="127">
        <v>1956967294</v>
      </c>
      <c r="T24" s="127">
        <v>1956967294</v>
      </c>
      <c r="U24" s="131">
        <v>1375507087</v>
      </c>
      <c r="V24" s="337">
        <v>596599005</v>
      </c>
      <c r="W24" s="49">
        <v>596599005</v>
      </c>
      <c r="X24" s="131"/>
      <c r="Y24" s="131"/>
      <c r="Z24" s="131"/>
      <c r="AA24" s="131"/>
      <c r="AB24" s="131"/>
      <c r="AC24" s="131"/>
      <c r="AD24" s="131"/>
      <c r="AE24" s="131"/>
      <c r="AF24" s="398">
        <v>212392363</v>
      </c>
      <c r="AG24" s="395">
        <v>487520697</v>
      </c>
      <c r="AH24" s="395"/>
      <c r="AI24" s="395"/>
      <c r="AJ24" s="378"/>
      <c r="AK24" s="379"/>
      <c r="AL24" s="719"/>
      <c r="AM24" s="719"/>
      <c r="AN24" s="719"/>
      <c r="AO24" s="719"/>
      <c r="AP24" s="713" t="s">
        <v>450</v>
      </c>
    </row>
    <row r="25" spans="1:42" s="5" customFormat="1" ht="54.75" customHeight="1" x14ac:dyDescent="0.25">
      <c r="A25" s="708"/>
      <c r="B25" s="760"/>
      <c r="C25" s="737"/>
      <c r="D25" s="716"/>
      <c r="E25" s="716"/>
      <c r="F25" s="716"/>
      <c r="G25" s="40" t="s">
        <v>13</v>
      </c>
      <c r="H25" s="134">
        <f>+H21</f>
        <v>234.3</v>
      </c>
      <c r="I25" s="134"/>
      <c r="J25" s="134"/>
      <c r="K25" s="134"/>
      <c r="L25" s="149">
        <f t="shared" ref="L25:O26" si="2">+L21+L23</f>
        <v>183.45000000000002</v>
      </c>
      <c r="M25" s="149">
        <f t="shared" si="2"/>
        <v>183.45000000000002</v>
      </c>
      <c r="N25" s="149">
        <f t="shared" si="2"/>
        <v>183.45000000000002</v>
      </c>
      <c r="O25" s="149">
        <f t="shared" si="2"/>
        <v>189.5</v>
      </c>
      <c r="P25" s="144">
        <f>+P23+P21</f>
        <v>177.39999999999998</v>
      </c>
      <c r="Q25" s="149">
        <f t="shared" ref="Q25:R26" si="3">+Q21+Q23</f>
        <v>219</v>
      </c>
      <c r="R25" s="149">
        <f t="shared" si="3"/>
        <v>219</v>
      </c>
      <c r="S25" s="149">
        <v>219</v>
      </c>
      <c r="T25" s="149">
        <v>219</v>
      </c>
      <c r="U25" s="134">
        <v>217.21</v>
      </c>
      <c r="V25" s="341">
        <f>+V21+V23</f>
        <v>234.3</v>
      </c>
      <c r="W25" s="149">
        <v>234.3</v>
      </c>
      <c r="X25" s="149"/>
      <c r="Y25" s="149"/>
      <c r="Z25" s="134"/>
      <c r="AA25" s="134"/>
      <c r="AB25" s="134"/>
      <c r="AC25" s="134"/>
      <c r="AD25" s="134"/>
      <c r="AE25" s="134"/>
      <c r="AF25" s="393">
        <f>+AF21+AF23</f>
        <v>217.3</v>
      </c>
      <c r="AG25" s="377">
        <v>218.42000000000002</v>
      </c>
      <c r="AH25" s="377"/>
      <c r="AI25" s="377"/>
      <c r="AJ25" s="378"/>
      <c r="AK25" s="379"/>
      <c r="AL25" s="719"/>
      <c r="AM25" s="719"/>
      <c r="AN25" s="719"/>
      <c r="AO25" s="719"/>
      <c r="AP25" s="713" t="s">
        <v>450</v>
      </c>
    </row>
    <row r="26" spans="1:42" s="5" customFormat="1" ht="63.75" customHeight="1" thickBot="1" x14ac:dyDescent="0.3">
      <c r="A26" s="708"/>
      <c r="B26" s="761"/>
      <c r="C26" s="747"/>
      <c r="D26" s="717"/>
      <c r="E26" s="717"/>
      <c r="F26" s="717"/>
      <c r="G26" s="41" t="s">
        <v>14</v>
      </c>
      <c r="H26" s="135">
        <f>+H22</f>
        <v>10544382897</v>
      </c>
      <c r="I26" s="135"/>
      <c r="J26" s="135"/>
      <c r="K26" s="135">
        <f>+K22</f>
        <v>221820000</v>
      </c>
      <c r="L26" s="135">
        <f t="shared" si="2"/>
        <v>2991221063</v>
      </c>
      <c r="M26" s="135">
        <f t="shared" si="2"/>
        <v>2991221063</v>
      </c>
      <c r="N26" s="135">
        <f t="shared" si="2"/>
        <v>2991221063</v>
      </c>
      <c r="O26" s="135">
        <f t="shared" si="2"/>
        <v>2991221063</v>
      </c>
      <c r="P26" s="145">
        <f>+P22+P24</f>
        <v>2415787960</v>
      </c>
      <c r="Q26" s="135">
        <f t="shared" si="3"/>
        <v>3498022294</v>
      </c>
      <c r="R26" s="135">
        <f t="shared" si="3"/>
        <v>3498022294</v>
      </c>
      <c r="S26" s="135">
        <v>3159275801</v>
      </c>
      <c r="T26" s="135">
        <v>3152500801</v>
      </c>
      <c r="U26" s="135">
        <v>2462837857</v>
      </c>
      <c r="V26" s="339">
        <f>+V22+V24</f>
        <v>5895118505</v>
      </c>
      <c r="W26" s="135">
        <v>5375119505</v>
      </c>
      <c r="X26" s="135"/>
      <c r="Y26" s="135"/>
      <c r="Z26" s="135"/>
      <c r="AA26" s="135">
        <v>1661038000</v>
      </c>
      <c r="AB26" s="135"/>
      <c r="AC26" s="135"/>
      <c r="AD26" s="135"/>
      <c r="AE26" s="135"/>
      <c r="AF26" s="372">
        <f>AF24+AF22</f>
        <v>1443376263</v>
      </c>
      <c r="AG26" s="387">
        <v>3269754819</v>
      </c>
      <c r="AH26" s="387"/>
      <c r="AI26" s="387"/>
      <c r="AJ26" s="388"/>
      <c r="AK26" s="389"/>
      <c r="AL26" s="719"/>
      <c r="AM26" s="719"/>
      <c r="AN26" s="719"/>
      <c r="AO26" s="719"/>
      <c r="AP26" s="713" t="s">
        <v>450</v>
      </c>
    </row>
    <row r="27" spans="1:42" s="5" customFormat="1" ht="45" customHeight="1" thickBot="1" x14ac:dyDescent="0.3">
      <c r="A27" s="708"/>
      <c r="B27" s="721">
        <v>4</v>
      </c>
      <c r="C27" s="748" t="s">
        <v>165</v>
      </c>
      <c r="D27" s="715" t="s">
        <v>123</v>
      </c>
      <c r="E27" s="715">
        <v>302</v>
      </c>
      <c r="F27" s="715">
        <v>179</v>
      </c>
      <c r="G27" s="39" t="s">
        <v>9</v>
      </c>
      <c r="H27" s="125">
        <v>40</v>
      </c>
      <c r="I27" s="125"/>
      <c r="J27" s="79">
        <v>28</v>
      </c>
      <c r="K27" s="60">
        <v>19.54</v>
      </c>
      <c r="L27" s="125">
        <v>25</v>
      </c>
      <c r="M27" s="125">
        <v>25</v>
      </c>
      <c r="N27" s="125">
        <v>25</v>
      </c>
      <c r="O27" s="125">
        <v>25</v>
      </c>
      <c r="P27" s="60">
        <f>2+0.31+4.44+12.13+6.12</f>
        <v>25.000000000000004</v>
      </c>
      <c r="Q27" s="125">
        <v>30</v>
      </c>
      <c r="R27" s="125">
        <v>30</v>
      </c>
      <c r="S27" s="125">
        <v>30</v>
      </c>
      <c r="T27" s="125">
        <v>30</v>
      </c>
      <c r="U27" s="125">
        <v>69.929999999999993</v>
      </c>
      <c r="V27" s="342">
        <v>95.93</v>
      </c>
      <c r="W27" s="60">
        <v>95.93</v>
      </c>
      <c r="X27" s="125"/>
      <c r="Y27" s="125"/>
      <c r="Z27" s="125"/>
      <c r="AA27" s="125">
        <v>40</v>
      </c>
      <c r="AB27" s="125"/>
      <c r="AC27" s="125"/>
      <c r="AD27" s="125"/>
      <c r="AE27" s="125"/>
      <c r="AF27" s="392">
        <f>+Y27+4.5</f>
        <v>4.5</v>
      </c>
      <c r="AG27" s="60">
        <v>85.93</v>
      </c>
      <c r="AH27" s="60"/>
      <c r="AI27" s="60"/>
      <c r="AJ27" s="59">
        <v>1</v>
      </c>
      <c r="AK27" s="29"/>
      <c r="AL27" s="719" t="s">
        <v>580</v>
      </c>
      <c r="AM27" s="719" t="s">
        <v>383</v>
      </c>
      <c r="AN27" s="719" t="s">
        <v>383</v>
      </c>
      <c r="AO27" s="719" t="s">
        <v>455</v>
      </c>
      <c r="AP27" s="713" t="s">
        <v>456</v>
      </c>
    </row>
    <row r="28" spans="1:42" s="5" customFormat="1" ht="36" customHeight="1" x14ac:dyDescent="0.25">
      <c r="A28" s="708"/>
      <c r="B28" s="722"/>
      <c r="C28" s="741"/>
      <c r="D28" s="716"/>
      <c r="E28" s="716"/>
      <c r="F28" s="716"/>
      <c r="G28" s="40" t="s">
        <v>10</v>
      </c>
      <c r="H28" s="127">
        <f>K28+P28+U28+V28+AA28</f>
        <v>1085489256</v>
      </c>
      <c r="I28" s="127"/>
      <c r="J28" s="150">
        <v>33000549</v>
      </c>
      <c r="K28" s="127">
        <v>26600549</v>
      </c>
      <c r="L28" s="127">
        <v>592421600</v>
      </c>
      <c r="M28" s="127">
        <v>592421600</v>
      </c>
      <c r="N28" s="127">
        <v>592421600</v>
      </c>
      <c r="O28" s="127">
        <v>592421600</v>
      </c>
      <c r="P28" s="81">
        <f>450140207</f>
        <v>450140207</v>
      </c>
      <c r="Q28" s="127">
        <v>513220000</v>
      </c>
      <c r="R28" s="127">
        <v>513220000</v>
      </c>
      <c r="S28" s="127">
        <v>487230000</v>
      </c>
      <c r="T28" s="127">
        <v>516539000</v>
      </c>
      <c r="U28" s="127">
        <v>407810000</v>
      </c>
      <c r="V28" s="341">
        <v>200938500</v>
      </c>
      <c r="W28" s="127">
        <v>280938000</v>
      </c>
      <c r="X28" s="127"/>
      <c r="Y28" s="127"/>
      <c r="Z28" s="127"/>
      <c r="AA28" s="127"/>
      <c r="AB28" s="127"/>
      <c r="AC28" s="127"/>
      <c r="AD28" s="127"/>
      <c r="AE28" s="127"/>
      <c r="AF28" s="393">
        <f>41962200+52993500</f>
        <v>94955700</v>
      </c>
      <c r="AG28" s="81">
        <v>271940600</v>
      </c>
      <c r="AH28" s="81"/>
      <c r="AI28" s="81"/>
      <c r="AJ28" s="59">
        <f>AF28/V28</f>
        <v>0.47256100747243562</v>
      </c>
      <c r="AK28" s="26"/>
      <c r="AL28" s="719"/>
      <c r="AM28" s="719" t="s">
        <v>383</v>
      </c>
      <c r="AN28" s="719" t="s">
        <v>383</v>
      </c>
      <c r="AO28" s="719" t="s">
        <v>455</v>
      </c>
      <c r="AP28" s="713" t="s">
        <v>456</v>
      </c>
    </row>
    <row r="29" spans="1:42" s="5" customFormat="1" ht="40.5" customHeight="1" x14ac:dyDescent="0.25">
      <c r="A29" s="708"/>
      <c r="B29" s="722"/>
      <c r="C29" s="741"/>
      <c r="D29" s="716"/>
      <c r="E29" s="716"/>
      <c r="F29" s="716"/>
      <c r="G29" s="40" t="s">
        <v>11</v>
      </c>
      <c r="H29" s="131"/>
      <c r="I29" s="131"/>
      <c r="J29" s="131"/>
      <c r="K29" s="131"/>
      <c r="L29" s="131"/>
      <c r="M29" s="131"/>
      <c r="N29" s="131"/>
      <c r="O29" s="131"/>
      <c r="P29" s="49"/>
      <c r="Q29" s="131"/>
      <c r="R29" s="131"/>
      <c r="S29" s="131"/>
      <c r="T29" s="131"/>
      <c r="U29" s="131"/>
      <c r="V29" s="341"/>
      <c r="W29" s="49"/>
      <c r="X29" s="131"/>
      <c r="Y29" s="131"/>
      <c r="Z29" s="131"/>
      <c r="AA29" s="131"/>
      <c r="AB29" s="131"/>
      <c r="AC29" s="131"/>
      <c r="AD29" s="131"/>
      <c r="AE29" s="131"/>
      <c r="AF29" s="380"/>
      <c r="AG29" s="49"/>
      <c r="AH29" s="49"/>
      <c r="AI29" s="49"/>
      <c r="AJ29" s="75"/>
      <c r="AK29" s="26"/>
      <c r="AL29" s="719"/>
      <c r="AM29" s="719" t="s">
        <v>383</v>
      </c>
      <c r="AN29" s="719" t="s">
        <v>383</v>
      </c>
      <c r="AO29" s="719" t="s">
        <v>455</v>
      </c>
      <c r="AP29" s="713" t="s">
        <v>456</v>
      </c>
    </row>
    <row r="30" spans="1:42" s="5" customFormat="1" ht="33" customHeight="1" x14ac:dyDescent="0.25">
      <c r="A30" s="708"/>
      <c r="B30" s="722"/>
      <c r="C30" s="741"/>
      <c r="D30" s="716"/>
      <c r="E30" s="716"/>
      <c r="F30" s="716"/>
      <c r="G30" s="40" t="s">
        <v>12</v>
      </c>
      <c r="H30" s="141"/>
      <c r="I30" s="141"/>
      <c r="J30" s="141"/>
      <c r="K30" s="141"/>
      <c r="L30" s="141">
        <v>3040000</v>
      </c>
      <c r="M30" s="141">
        <v>3040000</v>
      </c>
      <c r="N30" s="141">
        <v>3040000</v>
      </c>
      <c r="O30" s="141">
        <v>3040000</v>
      </c>
      <c r="P30" s="81">
        <f>+O30</f>
        <v>3040000</v>
      </c>
      <c r="Q30" s="81">
        <v>105696611</v>
      </c>
      <c r="R30" s="81">
        <v>105696611</v>
      </c>
      <c r="S30" s="81">
        <v>105696611</v>
      </c>
      <c r="T30" s="81">
        <v>105696611</v>
      </c>
      <c r="U30" s="141">
        <v>105696611</v>
      </c>
      <c r="V30" s="343">
        <v>102153108.33</v>
      </c>
      <c r="W30" s="646">
        <v>102153108.33</v>
      </c>
      <c r="X30" s="141"/>
      <c r="Y30" s="141"/>
      <c r="Z30" s="141"/>
      <c r="AA30" s="141"/>
      <c r="AB30" s="141"/>
      <c r="AC30" s="141"/>
      <c r="AD30" s="141"/>
      <c r="AE30" s="141"/>
      <c r="AF30" s="398">
        <v>64344442</v>
      </c>
      <c r="AG30" s="81">
        <v>100397108.33</v>
      </c>
      <c r="AH30" s="81"/>
      <c r="AI30" s="81"/>
      <c r="AJ30" s="75"/>
      <c r="AK30" s="26"/>
      <c r="AL30" s="719"/>
      <c r="AM30" s="719" t="s">
        <v>383</v>
      </c>
      <c r="AN30" s="719" t="s">
        <v>383</v>
      </c>
      <c r="AO30" s="719" t="s">
        <v>455</v>
      </c>
      <c r="AP30" s="713" t="s">
        <v>456</v>
      </c>
    </row>
    <row r="31" spans="1:42" s="5" customFormat="1" ht="36" customHeight="1" x14ac:dyDescent="0.25">
      <c r="A31" s="708"/>
      <c r="B31" s="722"/>
      <c r="C31" s="741"/>
      <c r="D31" s="716"/>
      <c r="E31" s="716"/>
      <c r="F31" s="716"/>
      <c r="G31" s="40" t="s">
        <v>13</v>
      </c>
      <c r="H31" s="134">
        <f>+H27</f>
        <v>40</v>
      </c>
      <c r="I31" s="134"/>
      <c r="J31" s="134">
        <f t="shared" ref="J31:O31" si="4">+J27</f>
        <v>28</v>
      </c>
      <c r="K31" s="149">
        <f t="shared" si="4"/>
        <v>19.54</v>
      </c>
      <c r="L31" s="134">
        <f t="shared" si="4"/>
        <v>25</v>
      </c>
      <c r="M31" s="134">
        <f t="shared" si="4"/>
        <v>25</v>
      </c>
      <c r="N31" s="134">
        <f t="shared" si="4"/>
        <v>25</v>
      </c>
      <c r="O31" s="134">
        <f t="shared" si="4"/>
        <v>25</v>
      </c>
      <c r="P31" s="144">
        <f>+P27+P29</f>
        <v>25.000000000000004</v>
      </c>
      <c r="Q31" s="134">
        <f>+Q27</f>
        <v>30</v>
      </c>
      <c r="R31" s="134">
        <f>+R27</f>
        <v>30</v>
      </c>
      <c r="S31" s="134">
        <v>30</v>
      </c>
      <c r="T31" s="134">
        <v>30</v>
      </c>
      <c r="U31" s="134">
        <v>69.929999999999993</v>
      </c>
      <c r="V31" s="341">
        <f t="shared" ref="V31" si="5">+V27</f>
        <v>95.93</v>
      </c>
      <c r="W31" s="134">
        <v>95.93</v>
      </c>
      <c r="X31" s="134"/>
      <c r="Y31" s="134"/>
      <c r="Z31" s="134"/>
      <c r="AA31" s="134">
        <v>40</v>
      </c>
      <c r="AB31" s="134"/>
      <c r="AC31" s="134"/>
      <c r="AD31" s="134"/>
      <c r="AE31" s="134"/>
      <c r="AF31" s="393">
        <f>+AF27+AF29</f>
        <v>4.5</v>
      </c>
      <c r="AG31" s="144">
        <v>85.93</v>
      </c>
      <c r="AH31" s="144"/>
      <c r="AI31" s="144"/>
      <c r="AJ31" s="75"/>
      <c r="AK31" s="26"/>
      <c r="AL31" s="719"/>
      <c r="AM31" s="719" t="s">
        <v>383</v>
      </c>
      <c r="AN31" s="719" t="s">
        <v>383</v>
      </c>
      <c r="AO31" s="719" t="s">
        <v>455</v>
      </c>
      <c r="AP31" s="713" t="s">
        <v>456</v>
      </c>
    </row>
    <row r="32" spans="1:42" s="5" customFormat="1" ht="49.5" customHeight="1" thickBot="1" x14ac:dyDescent="0.3">
      <c r="A32" s="708"/>
      <c r="B32" s="723"/>
      <c r="C32" s="742"/>
      <c r="D32" s="717"/>
      <c r="E32" s="717"/>
      <c r="F32" s="717"/>
      <c r="G32" s="41" t="s">
        <v>14</v>
      </c>
      <c r="H32" s="135">
        <f>+H28</f>
        <v>1085489256</v>
      </c>
      <c r="I32" s="135"/>
      <c r="J32" s="135">
        <f>+J28</f>
        <v>33000549</v>
      </c>
      <c r="K32" s="135">
        <f>+K28</f>
        <v>26600549</v>
      </c>
      <c r="L32" s="151">
        <f>+L28+L30</f>
        <v>595461600</v>
      </c>
      <c r="M32" s="151">
        <f>+M28+M30</f>
        <v>595461600</v>
      </c>
      <c r="N32" s="151">
        <f>+N28+N30</f>
        <v>595461600</v>
      </c>
      <c r="O32" s="151">
        <f>+O28+O30</f>
        <v>595461600</v>
      </c>
      <c r="P32" s="145">
        <f>+P28+P30</f>
        <v>453180207</v>
      </c>
      <c r="Q32" s="135">
        <f>+Q28+Q30</f>
        <v>618916611</v>
      </c>
      <c r="R32" s="135">
        <f>+R28+R30</f>
        <v>618916611</v>
      </c>
      <c r="S32" s="135">
        <v>592926611</v>
      </c>
      <c r="T32" s="135">
        <v>622235611</v>
      </c>
      <c r="U32" s="135">
        <v>513506611</v>
      </c>
      <c r="V32" s="344">
        <f>+V28</f>
        <v>200938500</v>
      </c>
      <c r="W32" s="135">
        <v>383091108.32999998</v>
      </c>
      <c r="X32" s="135"/>
      <c r="Y32" s="135"/>
      <c r="Z32" s="135"/>
      <c r="AA32" s="135">
        <v>405200000</v>
      </c>
      <c r="AB32" s="135"/>
      <c r="AC32" s="135"/>
      <c r="AD32" s="135"/>
      <c r="AE32" s="135"/>
      <c r="AF32" s="463">
        <f>AF28+AF30</f>
        <v>159300142</v>
      </c>
      <c r="AG32" s="145">
        <v>372337708.32999998</v>
      </c>
      <c r="AH32" s="145"/>
      <c r="AI32" s="145"/>
      <c r="AJ32" s="76"/>
      <c r="AK32" s="58"/>
      <c r="AL32" s="719"/>
      <c r="AM32" s="719" t="s">
        <v>383</v>
      </c>
      <c r="AN32" s="719" t="s">
        <v>383</v>
      </c>
      <c r="AO32" s="719" t="s">
        <v>455</v>
      </c>
      <c r="AP32" s="713" t="s">
        <v>456</v>
      </c>
    </row>
    <row r="33" spans="1:42" s="5" customFormat="1" ht="63.75" customHeight="1" thickBot="1" x14ac:dyDescent="0.3">
      <c r="A33" s="708"/>
      <c r="B33" s="749">
        <v>5</v>
      </c>
      <c r="C33" s="748" t="s">
        <v>368</v>
      </c>
      <c r="D33" s="715" t="s">
        <v>123</v>
      </c>
      <c r="E33" s="715">
        <v>311</v>
      </c>
      <c r="F33" s="715">
        <v>182</v>
      </c>
      <c r="G33" s="39" t="s">
        <v>9</v>
      </c>
      <c r="H33" s="125">
        <v>6</v>
      </c>
      <c r="I33" s="125"/>
      <c r="J33" s="80">
        <v>2</v>
      </c>
      <c r="K33" s="125">
        <v>2</v>
      </c>
      <c r="L33" s="125">
        <v>3</v>
      </c>
      <c r="M33" s="125">
        <v>3</v>
      </c>
      <c r="N33" s="125">
        <v>3</v>
      </c>
      <c r="O33" s="125">
        <v>3</v>
      </c>
      <c r="P33" s="125">
        <v>3</v>
      </c>
      <c r="Q33" s="125">
        <v>4</v>
      </c>
      <c r="R33" s="125">
        <v>4</v>
      </c>
      <c r="S33" s="125">
        <v>4</v>
      </c>
      <c r="T33" s="125">
        <v>4</v>
      </c>
      <c r="U33" s="125">
        <v>4</v>
      </c>
      <c r="V33" s="374">
        <v>5</v>
      </c>
      <c r="W33" s="139">
        <v>5</v>
      </c>
      <c r="X33" s="139"/>
      <c r="Y33" s="139"/>
      <c r="Z33" s="139"/>
      <c r="AA33" s="139">
        <v>6</v>
      </c>
      <c r="AB33" s="139"/>
      <c r="AC33" s="139"/>
      <c r="AD33" s="139"/>
      <c r="AE33" s="139"/>
      <c r="AF33" s="392">
        <v>5</v>
      </c>
      <c r="AG33" s="126">
        <v>5</v>
      </c>
      <c r="AH33" s="126"/>
      <c r="AI33" s="126"/>
      <c r="AJ33" s="59">
        <v>1</v>
      </c>
      <c r="AK33" s="367"/>
      <c r="AL33" s="719" t="s">
        <v>554</v>
      </c>
      <c r="AM33" s="719" t="s">
        <v>383</v>
      </c>
      <c r="AN33" s="719" t="s">
        <v>383</v>
      </c>
      <c r="AO33" s="719" t="s">
        <v>455</v>
      </c>
      <c r="AP33" s="713" t="s">
        <v>456</v>
      </c>
    </row>
    <row r="34" spans="1:42" s="5" customFormat="1" ht="66.75" customHeight="1" x14ac:dyDescent="0.25">
      <c r="A34" s="708"/>
      <c r="B34" s="750"/>
      <c r="C34" s="741"/>
      <c r="D34" s="716"/>
      <c r="E34" s="716"/>
      <c r="F34" s="716"/>
      <c r="G34" s="40" t="s">
        <v>10</v>
      </c>
      <c r="H34" s="127">
        <f>K34+P34+U34+V34+AA34</f>
        <v>7500217791</v>
      </c>
      <c r="I34" s="127"/>
      <c r="J34" s="150">
        <v>601240000</v>
      </c>
      <c r="K34" s="127">
        <v>598840000</v>
      </c>
      <c r="L34" s="127">
        <v>1897501796</v>
      </c>
      <c r="M34" s="127">
        <v>1897501796</v>
      </c>
      <c r="N34" s="127">
        <v>1897501796</v>
      </c>
      <c r="O34" s="127">
        <v>1897501796</v>
      </c>
      <c r="P34" s="81">
        <v>1897183657</v>
      </c>
      <c r="Q34" s="127">
        <v>1116162000</v>
      </c>
      <c r="R34" s="127">
        <v>1116162000</v>
      </c>
      <c r="S34" s="127">
        <v>1116162000</v>
      </c>
      <c r="T34" s="127">
        <v>1141702000</v>
      </c>
      <c r="U34" s="127">
        <v>806624134</v>
      </c>
      <c r="V34" s="403">
        <v>2098785000</v>
      </c>
      <c r="W34" s="371">
        <v>2098785000</v>
      </c>
      <c r="X34" s="371"/>
      <c r="Y34" s="371"/>
      <c r="Z34" s="371"/>
      <c r="AA34" s="371">
        <v>2098785000</v>
      </c>
      <c r="AB34" s="371"/>
      <c r="AC34" s="371"/>
      <c r="AD34" s="371"/>
      <c r="AE34" s="371"/>
      <c r="AF34" s="418">
        <f>755649507+65430750-10000</f>
        <v>821070257</v>
      </c>
      <c r="AG34" s="172">
        <v>1641460897</v>
      </c>
      <c r="AH34" s="172"/>
      <c r="AI34" s="172"/>
      <c r="AJ34" s="59">
        <f>AF34/V34</f>
        <v>0.39121218085701964</v>
      </c>
      <c r="AK34" s="368">
        <v>0.43740000000000001</v>
      </c>
      <c r="AL34" s="719"/>
      <c r="AM34" s="719"/>
      <c r="AN34" s="719"/>
      <c r="AO34" s="719" t="s">
        <v>455</v>
      </c>
      <c r="AP34" s="713" t="s">
        <v>456</v>
      </c>
    </row>
    <row r="35" spans="1:42" s="5" customFormat="1" ht="53.25" customHeight="1" x14ac:dyDescent="0.25">
      <c r="A35" s="708"/>
      <c r="B35" s="750"/>
      <c r="C35" s="741"/>
      <c r="D35" s="716"/>
      <c r="E35" s="716"/>
      <c r="F35" s="716"/>
      <c r="G35" s="40" t="s">
        <v>11</v>
      </c>
      <c r="H35" s="131"/>
      <c r="I35" s="131"/>
      <c r="J35" s="131"/>
      <c r="K35" s="131"/>
      <c r="L35" s="131"/>
      <c r="M35" s="131"/>
      <c r="N35" s="131"/>
      <c r="O35" s="131"/>
      <c r="P35" s="49"/>
      <c r="Q35" s="131"/>
      <c r="R35" s="131"/>
      <c r="S35" s="131"/>
      <c r="T35" s="131"/>
      <c r="U35" s="131"/>
      <c r="V35" s="407"/>
      <c r="W35" s="370"/>
      <c r="X35" s="406"/>
      <c r="Y35" s="406"/>
      <c r="Z35" s="406"/>
      <c r="AA35" s="406"/>
      <c r="AB35" s="406"/>
      <c r="AC35" s="406"/>
      <c r="AD35" s="406"/>
      <c r="AE35" s="406"/>
      <c r="AF35" s="380"/>
      <c r="AG35" s="370"/>
      <c r="AH35" s="370"/>
      <c r="AI35" s="370"/>
      <c r="AJ35" s="130"/>
      <c r="AK35" s="368"/>
      <c r="AL35" s="719"/>
      <c r="AM35" s="719"/>
      <c r="AN35" s="719"/>
      <c r="AO35" s="719" t="s">
        <v>455</v>
      </c>
      <c r="AP35" s="713" t="s">
        <v>456</v>
      </c>
    </row>
    <row r="36" spans="1:42" s="5" customFormat="1" ht="62.25" customHeight="1" x14ac:dyDescent="0.25">
      <c r="A36" s="708"/>
      <c r="B36" s="750"/>
      <c r="C36" s="741"/>
      <c r="D36" s="716"/>
      <c r="E36" s="716"/>
      <c r="F36" s="716"/>
      <c r="G36" s="40" t="s">
        <v>12</v>
      </c>
      <c r="H36" s="131"/>
      <c r="I36" s="131"/>
      <c r="J36" s="131"/>
      <c r="K36" s="131"/>
      <c r="L36" s="148">
        <v>289270000</v>
      </c>
      <c r="M36" s="148">
        <v>289270000</v>
      </c>
      <c r="N36" s="148">
        <v>289270000</v>
      </c>
      <c r="O36" s="148">
        <v>289270000</v>
      </c>
      <c r="P36" s="81">
        <v>235270000</v>
      </c>
      <c r="Q36" s="152">
        <v>788509690</v>
      </c>
      <c r="R36" s="152">
        <v>788509690</v>
      </c>
      <c r="S36" s="152">
        <v>788509690</v>
      </c>
      <c r="T36" s="152">
        <v>780809690</v>
      </c>
      <c r="U36" s="131">
        <v>725288449</v>
      </c>
      <c r="V36" s="403">
        <v>440908932</v>
      </c>
      <c r="W36" s="370">
        <v>440908932</v>
      </c>
      <c r="X36" s="406"/>
      <c r="Y36" s="406"/>
      <c r="Z36" s="406"/>
      <c r="AA36" s="406"/>
      <c r="AB36" s="406"/>
      <c r="AC36" s="406"/>
      <c r="AD36" s="406"/>
      <c r="AE36" s="406"/>
      <c r="AF36" s="418">
        <v>321616683</v>
      </c>
      <c r="AG36" s="172">
        <v>423189349</v>
      </c>
      <c r="AH36" s="172"/>
      <c r="AI36" s="172"/>
      <c r="AJ36" s="130"/>
      <c r="AK36" s="368"/>
      <c r="AL36" s="719"/>
      <c r="AM36" s="719"/>
      <c r="AN36" s="719"/>
      <c r="AO36" s="719" t="s">
        <v>455</v>
      </c>
      <c r="AP36" s="713" t="s">
        <v>456</v>
      </c>
    </row>
    <row r="37" spans="1:42" s="5" customFormat="1" ht="54.75" customHeight="1" x14ac:dyDescent="0.25">
      <c r="A37" s="708"/>
      <c r="B37" s="750"/>
      <c r="C37" s="741"/>
      <c r="D37" s="716"/>
      <c r="E37" s="716"/>
      <c r="F37" s="716"/>
      <c r="G37" s="40" t="s">
        <v>13</v>
      </c>
      <c r="H37" s="134">
        <f>+H33</f>
        <v>6</v>
      </c>
      <c r="I37" s="134"/>
      <c r="J37" s="134">
        <f t="shared" ref="J37:O37" si="6">+J33</f>
        <v>2</v>
      </c>
      <c r="K37" s="134">
        <f t="shared" si="6"/>
        <v>2</v>
      </c>
      <c r="L37" s="134">
        <f t="shared" si="6"/>
        <v>3</v>
      </c>
      <c r="M37" s="134">
        <f t="shared" si="6"/>
        <v>3</v>
      </c>
      <c r="N37" s="134">
        <f t="shared" si="6"/>
        <v>3</v>
      </c>
      <c r="O37" s="134">
        <f t="shared" si="6"/>
        <v>3</v>
      </c>
      <c r="P37" s="144">
        <v>3</v>
      </c>
      <c r="Q37" s="134">
        <f>+Q33</f>
        <v>4</v>
      </c>
      <c r="R37" s="134">
        <f>+R33</f>
        <v>4</v>
      </c>
      <c r="S37" s="134">
        <v>4</v>
      </c>
      <c r="T37" s="134">
        <v>4</v>
      </c>
      <c r="U37" s="134">
        <v>4</v>
      </c>
      <c r="V37" s="393">
        <f t="shared" ref="V37" si="7">+V33</f>
        <v>5</v>
      </c>
      <c r="W37" s="409">
        <v>5</v>
      </c>
      <c r="X37" s="409"/>
      <c r="Y37" s="409"/>
      <c r="Z37" s="409"/>
      <c r="AA37" s="409">
        <v>4</v>
      </c>
      <c r="AB37" s="409"/>
      <c r="AC37" s="409"/>
      <c r="AD37" s="409"/>
      <c r="AE37" s="409"/>
      <c r="AF37" s="366">
        <f>+AF33+AF35</f>
        <v>5</v>
      </c>
      <c r="AG37" s="129"/>
      <c r="AH37" s="129"/>
      <c r="AI37" s="129"/>
      <c r="AJ37" s="130"/>
      <c r="AK37" s="368"/>
      <c r="AL37" s="719"/>
      <c r="AM37" s="719"/>
      <c r="AN37" s="719"/>
      <c r="AO37" s="719" t="s">
        <v>455</v>
      </c>
      <c r="AP37" s="713" t="s">
        <v>456</v>
      </c>
    </row>
    <row r="38" spans="1:42" s="5" customFormat="1" ht="63.75" customHeight="1" thickBot="1" x14ac:dyDescent="0.3">
      <c r="A38" s="708"/>
      <c r="B38" s="751"/>
      <c r="C38" s="742"/>
      <c r="D38" s="717"/>
      <c r="E38" s="717"/>
      <c r="F38" s="717"/>
      <c r="G38" s="41" t="s">
        <v>14</v>
      </c>
      <c r="H38" s="135">
        <f>+H34</f>
        <v>7500217791</v>
      </c>
      <c r="I38" s="135"/>
      <c r="J38" s="135">
        <f>+J34</f>
        <v>601240000</v>
      </c>
      <c r="K38" s="135">
        <f>+K34</f>
        <v>598840000</v>
      </c>
      <c r="L38" s="135">
        <f t="shared" ref="L38:Q38" si="8">+L34+L36</f>
        <v>2186771796</v>
      </c>
      <c r="M38" s="135">
        <f t="shared" si="8"/>
        <v>2186771796</v>
      </c>
      <c r="N38" s="135">
        <f t="shared" si="8"/>
        <v>2186771796</v>
      </c>
      <c r="O38" s="135">
        <f t="shared" si="8"/>
        <v>2186771796</v>
      </c>
      <c r="P38" s="145">
        <f t="shared" si="8"/>
        <v>2132453657</v>
      </c>
      <c r="Q38" s="135">
        <f t="shared" si="8"/>
        <v>1904671690</v>
      </c>
      <c r="R38" s="135">
        <f>+R34+R36</f>
        <v>1904671690</v>
      </c>
      <c r="S38" s="135">
        <v>1904671690</v>
      </c>
      <c r="T38" s="135">
        <v>1922511690</v>
      </c>
      <c r="U38" s="135">
        <v>1531912583</v>
      </c>
      <c r="V38" s="420">
        <f>+V34</f>
        <v>2098785000</v>
      </c>
      <c r="W38" s="411">
        <v>2098785000</v>
      </c>
      <c r="X38" s="411"/>
      <c r="Y38" s="411"/>
      <c r="Z38" s="411"/>
      <c r="AA38" s="411">
        <v>3687500000</v>
      </c>
      <c r="AB38" s="411"/>
      <c r="AC38" s="411"/>
      <c r="AD38" s="411"/>
      <c r="AE38" s="411"/>
      <c r="AF38" s="391">
        <f>AF34+AF36</f>
        <v>1142686940</v>
      </c>
      <c r="AG38" s="136"/>
      <c r="AH38" s="136"/>
      <c r="AI38" s="136"/>
      <c r="AJ38" s="138"/>
      <c r="AK38" s="373"/>
      <c r="AL38" s="719"/>
      <c r="AM38" s="719"/>
      <c r="AN38" s="719"/>
      <c r="AO38" s="719" t="s">
        <v>455</v>
      </c>
      <c r="AP38" s="713" t="s">
        <v>456</v>
      </c>
    </row>
    <row r="39" spans="1:42" s="5" customFormat="1" ht="45" customHeight="1" x14ac:dyDescent="0.25">
      <c r="A39" s="708"/>
      <c r="B39" s="721">
        <v>6</v>
      </c>
      <c r="C39" s="748" t="s">
        <v>166</v>
      </c>
      <c r="D39" s="715" t="s">
        <v>121</v>
      </c>
      <c r="E39" s="715">
        <v>300</v>
      </c>
      <c r="F39" s="715">
        <v>179</v>
      </c>
      <c r="G39" s="39" t="s">
        <v>9</v>
      </c>
      <c r="H39" s="125">
        <v>8</v>
      </c>
      <c r="I39" s="125"/>
      <c r="J39" s="125">
        <v>0</v>
      </c>
      <c r="K39" s="125">
        <v>0</v>
      </c>
      <c r="L39" s="125">
        <v>4</v>
      </c>
      <c r="M39" s="125">
        <v>4</v>
      </c>
      <c r="N39" s="125">
        <v>4</v>
      </c>
      <c r="O39" s="125">
        <v>4</v>
      </c>
      <c r="P39" s="60">
        <v>4</v>
      </c>
      <c r="Q39" s="125">
        <v>4</v>
      </c>
      <c r="R39" s="125">
        <v>4</v>
      </c>
      <c r="S39" s="125">
        <v>4</v>
      </c>
      <c r="T39" s="125">
        <v>4</v>
      </c>
      <c r="U39" s="125">
        <v>2.2999999999999998</v>
      </c>
      <c r="V39" s="374">
        <v>0</v>
      </c>
      <c r="W39" s="139">
        <v>0</v>
      </c>
      <c r="X39" s="139"/>
      <c r="Y39" s="139"/>
      <c r="Z39" s="139"/>
      <c r="AA39" s="139">
        <v>0</v>
      </c>
      <c r="AB39" s="139"/>
      <c r="AC39" s="139"/>
      <c r="AD39" s="139"/>
      <c r="AE39" s="139"/>
      <c r="AF39" s="402"/>
      <c r="AG39" s="52"/>
      <c r="AH39" s="53"/>
      <c r="AI39" s="60"/>
      <c r="AJ39" s="78">
        <f>AF43/V43</f>
        <v>0.99999999999999989</v>
      </c>
      <c r="AK39" s="29">
        <v>1</v>
      </c>
      <c r="AL39" s="719" t="s">
        <v>468</v>
      </c>
      <c r="AM39" s="719" t="s">
        <v>383</v>
      </c>
      <c r="AN39" s="719" t="s">
        <v>383</v>
      </c>
      <c r="AO39" s="719" t="s">
        <v>469</v>
      </c>
      <c r="AP39" s="713" t="s">
        <v>453</v>
      </c>
    </row>
    <row r="40" spans="1:42" s="5" customFormat="1" ht="36" customHeight="1" x14ac:dyDescent="0.25">
      <c r="A40" s="708"/>
      <c r="B40" s="722"/>
      <c r="C40" s="741"/>
      <c r="D40" s="716"/>
      <c r="E40" s="716"/>
      <c r="F40" s="716"/>
      <c r="G40" s="40" t="s">
        <v>10</v>
      </c>
      <c r="H40" s="127">
        <f>K40+P40+U40+V40+AA40</f>
        <v>132333882</v>
      </c>
      <c r="I40" s="127"/>
      <c r="J40" s="127">
        <v>0</v>
      </c>
      <c r="K40" s="127">
        <v>0</v>
      </c>
      <c r="L40" s="127">
        <v>160000000</v>
      </c>
      <c r="M40" s="127">
        <v>160000000</v>
      </c>
      <c r="N40" s="127">
        <v>160000000</v>
      </c>
      <c r="O40" s="127">
        <v>160000000</v>
      </c>
      <c r="P40" s="81">
        <v>77333882</v>
      </c>
      <c r="Q40" s="127">
        <v>55000000</v>
      </c>
      <c r="R40" s="127">
        <v>55000000</v>
      </c>
      <c r="S40" s="127">
        <v>55000000</v>
      </c>
      <c r="T40" s="127">
        <v>55000000</v>
      </c>
      <c r="U40" s="127">
        <v>55000000</v>
      </c>
      <c r="V40" s="403">
        <v>0</v>
      </c>
      <c r="W40" s="371">
        <v>0</v>
      </c>
      <c r="X40" s="371"/>
      <c r="Y40" s="371"/>
      <c r="Z40" s="371"/>
      <c r="AA40" s="371">
        <v>0</v>
      </c>
      <c r="AB40" s="371"/>
      <c r="AC40" s="371"/>
      <c r="AD40" s="371"/>
      <c r="AE40" s="371"/>
      <c r="AF40" s="404">
        <v>0</v>
      </c>
      <c r="AG40" s="127"/>
      <c r="AH40" s="50"/>
      <c r="AI40" s="81"/>
      <c r="AJ40" s="75">
        <v>0</v>
      </c>
      <c r="AK40" s="26">
        <v>0.61550000000000005</v>
      </c>
      <c r="AL40" s="719"/>
      <c r="AM40" s="719"/>
      <c r="AN40" s="719"/>
      <c r="AO40" s="719"/>
      <c r="AP40" s="713"/>
    </row>
    <row r="41" spans="1:42" s="5" customFormat="1" ht="40.5" customHeight="1" x14ac:dyDescent="0.25">
      <c r="A41" s="708"/>
      <c r="B41" s="722"/>
      <c r="C41" s="741"/>
      <c r="D41" s="716"/>
      <c r="E41" s="716"/>
      <c r="F41" s="716"/>
      <c r="G41" s="40" t="s">
        <v>11</v>
      </c>
      <c r="H41" s="131"/>
      <c r="I41" s="131"/>
      <c r="J41" s="131"/>
      <c r="K41" s="131"/>
      <c r="L41" s="131"/>
      <c r="M41" s="131"/>
      <c r="N41" s="131"/>
      <c r="O41" s="131"/>
      <c r="P41" s="81"/>
      <c r="Q41" s="131"/>
      <c r="R41" s="131"/>
      <c r="S41" s="131"/>
      <c r="T41" s="131"/>
      <c r="U41" s="131"/>
      <c r="V41" s="405">
        <f>8-Q39-U39</f>
        <v>1.7000000000000002</v>
      </c>
      <c r="W41" s="370">
        <v>1.7</v>
      </c>
      <c r="X41" s="406"/>
      <c r="Y41" s="406"/>
      <c r="Z41" s="406"/>
      <c r="AA41" s="406"/>
      <c r="AB41" s="406"/>
      <c r="AC41" s="406"/>
      <c r="AD41" s="406"/>
      <c r="AE41" s="406"/>
      <c r="AF41" s="369">
        <v>1.7</v>
      </c>
      <c r="AG41" s="49">
        <v>1.7</v>
      </c>
      <c r="AH41" s="50"/>
      <c r="AI41" s="81"/>
      <c r="AJ41" s="75"/>
      <c r="AK41" s="26"/>
      <c r="AL41" s="719"/>
      <c r="AM41" s="719"/>
      <c r="AN41" s="719"/>
      <c r="AO41" s="719"/>
      <c r="AP41" s="713"/>
    </row>
    <row r="42" spans="1:42" s="5" customFormat="1" ht="33" customHeight="1" x14ac:dyDescent="0.25">
      <c r="A42" s="708"/>
      <c r="B42" s="722"/>
      <c r="C42" s="741"/>
      <c r="D42" s="716"/>
      <c r="E42" s="716"/>
      <c r="F42" s="716"/>
      <c r="G42" s="40" t="s">
        <v>12</v>
      </c>
      <c r="H42" s="141"/>
      <c r="I42" s="141"/>
      <c r="J42" s="141"/>
      <c r="K42" s="141"/>
      <c r="L42" s="141"/>
      <c r="M42" s="141"/>
      <c r="N42" s="141"/>
      <c r="O42" s="141"/>
      <c r="P42" s="81"/>
      <c r="Q42" s="81">
        <v>77333882</v>
      </c>
      <c r="R42" s="81">
        <v>77333882</v>
      </c>
      <c r="S42" s="81">
        <v>77333882</v>
      </c>
      <c r="T42" s="81">
        <v>77333882</v>
      </c>
      <c r="U42" s="141">
        <v>77333882</v>
      </c>
      <c r="V42" s="407">
        <v>55000000</v>
      </c>
      <c r="W42" s="647">
        <v>55000000</v>
      </c>
      <c r="X42" s="408"/>
      <c r="Y42" s="408"/>
      <c r="Z42" s="408"/>
      <c r="AA42" s="408"/>
      <c r="AB42" s="408"/>
      <c r="AC42" s="408"/>
      <c r="AD42" s="408"/>
      <c r="AE42" s="408"/>
      <c r="AF42" s="404">
        <v>55000000</v>
      </c>
      <c r="AG42" s="127">
        <v>55000000</v>
      </c>
      <c r="AH42" s="127"/>
      <c r="AI42" s="81"/>
      <c r="AJ42" s="75"/>
      <c r="AK42" s="26"/>
      <c r="AL42" s="719"/>
      <c r="AM42" s="719"/>
      <c r="AN42" s="719"/>
      <c r="AO42" s="719"/>
      <c r="AP42" s="713"/>
    </row>
    <row r="43" spans="1:42" s="5" customFormat="1" ht="36" customHeight="1" x14ac:dyDescent="0.25">
      <c r="A43" s="708"/>
      <c r="B43" s="722"/>
      <c r="C43" s="741"/>
      <c r="D43" s="716"/>
      <c r="E43" s="716"/>
      <c r="F43" s="716"/>
      <c r="G43" s="40" t="s">
        <v>13</v>
      </c>
      <c r="H43" s="134">
        <f>+H39</f>
        <v>8</v>
      </c>
      <c r="I43" s="134"/>
      <c r="J43" s="134">
        <v>0</v>
      </c>
      <c r="K43" s="134">
        <v>0</v>
      </c>
      <c r="L43" s="134">
        <f t="shared" ref="L43:O44" si="9">+L39</f>
        <v>4</v>
      </c>
      <c r="M43" s="134">
        <f t="shared" si="9"/>
        <v>4</v>
      </c>
      <c r="N43" s="134">
        <f t="shared" si="9"/>
        <v>4</v>
      </c>
      <c r="O43" s="134">
        <f t="shared" si="9"/>
        <v>4</v>
      </c>
      <c r="P43" s="144">
        <f>+P39+P41</f>
        <v>4</v>
      </c>
      <c r="Q43" s="134">
        <v>4</v>
      </c>
      <c r="R43" s="134">
        <v>4</v>
      </c>
      <c r="S43" s="134">
        <v>4</v>
      </c>
      <c r="T43" s="134">
        <v>4</v>
      </c>
      <c r="U43" s="134">
        <v>2.2999999999999998</v>
      </c>
      <c r="V43" s="369">
        <f>+V41</f>
        <v>1.7000000000000002</v>
      </c>
      <c r="W43" s="409">
        <v>0</v>
      </c>
      <c r="X43" s="409"/>
      <c r="Y43" s="409"/>
      <c r="Z43" s="409"/>
      <c r="AA43" s="409">
        <v>0</v>
      </c>
      <c r="AB43" s="409"/>
      <c r="AC43" s="409"/>
      <c r="AD43" s="409"/>
      <c r="AE43" s="409"/>
      <c r="AF43" s="369">
        <f>+AF41</f>
        <v>1.7</v>
      </c>
      <c r="AG43" s="49">
        <v>1.7</v>
      </c>
      <c r="AH43" s="50"/>
      <c r="AI43" s="144"/>
      <c r="AJ43" s="75">
        <f>+AJ39</f>
        <v>0.99999999999999989</v>
      </c>
      <c r="AK43" s="26"/>
      <c r="AL43" s="719"/>
      <c r="AM43" s="719"/>
      <c r="AN43" s="719"/>
      <c r="AO43" s="719"/>
      <c r="AP43" s="713"/>
    </row>
    <row r="44" spans="1:42" s="5" customFormat="1" ht="49.5" customHeight="1" thickBot="1" x14ac:dyDescent="0.3">
      <c r="A44" s="708"/>
      <c r="B44" s="723"/>
      <c r="C44" s="742"/>
      <c r="D44" s="717"/>
      <c r="E44" s="717"/>
      <c r="F44" s="717"/>
      <c r="G44" s="41" t="s">
        <v>14</v>
      </c>
      <c r="H44" s="135">
        <f>+H40</f>
        <v>132333882</v>
      </c>
      <c r="I44" s="135"/>
      <c r="J44" s="135">
        <v>0</v>
      </c>
      <c r="K44" s="135">
        <v>0</v>
      </c>
      <c r="L44" s="135">
        <f t="shared" si="9"/>
        <v>160000000</v>
      </c>
      <c r="M44" s="135">
        <f t="shared" si="9"/>
        <v>160000000</v>
      </c>
      <c r="N44" s="135">
        <f t="shared" si="9"/>
        <v>160000000</v>
      </c>
      <c r="O44" s="135">
        <f t="shared" si="9"/>
        <v>160000000</v>
      </c>
      <c r="P44" s="145">
        <f>+P40+P42</f>
        <v>77333882</v>
      </c>
      <c r="Q44" s="135">
        <f>+Q40+Q42</f>
        <v>132333882</v>
      </c>
      <c r="R44" s="135">
        <f>+R40+R42</f>
        <v>132333882</v>
      </c>
      <c r="S44" s="135">
        <v>132333882</v>
      </c>
      <c r="T44" s="135">
        <v>132333882</v>
      </c>
      <c r="U44" s="135">
        <v>132333882</v>
      </c>
      <c r="V44" s="410">
        <f>+V42</f>
        <v>55000000</v>
      </c>
      <c r="W44" s="411">
        <v>0</v>
      </c>
      <c r="X44" s="411"/>
      <c r="Y44" s="411"/>
      <c r="Z44" s="411"/>
      <c r="AA44" s="411">
        <v>0</v>
      </c>
      <c r="AB44" s="411"/>
      <c r="AC44" s="411"/>
      <c r="AD44" s="411"/>
      <c r="AE44" s="411"/>
      <c r="AF44" s="410">
        <f>+AF42</f>
        <v>55000000</v>
      </c>
      <c r="AG44" s="135">
        <v>55000000</v>
      </c>
      <c r="AH44" s="54"/>
      <c r="AI44" s="145"/>
      <c r="AJ44" s="76"/>
      <c r="AK44" s="58"/>
      <c r="AL44" s="762"/>
      <c r="AM44" s="762"/>
      <c r="AN44" s="762"/>
      <c r="AO44" s="762"/>
      <c r="AP44" s="763"/>
    </row>
    <row r="45" spans="1:42" s="5" customFormat="1" ht="63.75" customHeight="1" x14ac:dyDescent="0.25">
      <c r="A45" s="708"/>
      <c r="B45" s="749">
        <v>7</v>
      </c>
      <c r="C45" s="748" t="s">
        <v>167</v>
      </c>
      <c r="D45" s="715" t="s">
        <v>122</v>
      </c>
      <c r="E45" s="715">
        <v>311</v>
      </c>
      <c r="F45" s="715">
        <v>182</v>
      </c>
      <c r="G45" s="39" t="s">
        <v>9</v>
      </c>
      <c r="H45" s="125">
        <v>100</v>
      </c>
      <c r="I45" s="125"/>
      <c r="J45" s="125">
        <v>0</v>
      </c>
      <c r="K45" s="125">
        <v>0</v>
      </c>
      <c r="L45" s="125">
        <v>0</v>
      </c>
      <c r="M45" s="125">
        <v>0</v>
      </c>
      <c r="N45" s="125">
        <v>0</v>
      </c>
      <c r="O45" s="125">
        <v>0</v>
      </c>
      <c r="P45" s="153">
        <v>0</v>
      </c>
      <c r="Q45" s="125">
        <v>0</v>
      </c>
      <c r="R45" s="125">
        <v>0</v>
      </c>
      <c r="S45" s="125"/>
      <c r="T45" s="125"/>
      <c r="U45" s="125"/>
      <c r="V45" s="336">
        <v>100</v>
      </c>
      <c r="W45" s="125">
        <v>100</v>
      </c>
      <c r="X45" s="125"/>
      <c r="Y45" s="125"/>
      <c r="Z45" s="125"/>
      <c r="AA45" s="125">
        <v>100</v>
      </c>
      <c r="AB45" s="125"/>
      <c r="AC45" s="125"/>
      <c r="AD45" s="125"/>
      <c r="AE45" s="125"/>
      <c r="AF45" s="446">
        <v>0.875</v>
      </c>
      <c r="AG45" s="154">
        <v>0.875</v>
      </c>
      <c r="AH45" s="153"/>
      <c r="AI45" s="153"/>
      <c r="AJ45" s="78">
        <v>0.88</v>
      </c>
      <c r="AK45" s="29"/>
      <c r="AL45" s="718" t="s">
        <v>470</v>
      </c>
      <c r="AM45" s="718" t="s">
        <v>383</v>
      </c>
      <c r="AN45" s="718" t="s">
        <v>383</v>
      </c>
      <c r="AO45" s="718" t="s">
        <v>471</v>
      </c>
      <c r="AP45" s="712" t="s">
        <v>453</v>
      </c>
    </row>
    <row r="46" spans="1:42" s="5" customFormat="1" ht="66.75" customHeight="1" x14ac:dyDescent="0.25">
      <c r="A46" s="708"/>
      <c r="B46" s="750"/>
      <c r="C46" s="741"/>
      <c r="D46" s="716"/>
      <c r="E46" s="716"/>
      <c r="F46" s="716"/>
      <c r="G46" s="40" t="s">
        <v>10</v>
      </c>
      <c r="H46" s="127">
        <f>K46+P46+U46+V46+AA46</f>
        <v>56000000</v>
      </c>
      <c r="I46" s="127"/>
      <c r="J46" s="127">
        <v>0</v>
      </c>
      <c r="K46" s="127">
        <v>0</v>
      </c>
      <c r="L46" s="127">
        <v>0</v>
      </c>
      <c r="M46" s="127">
        <v>0</v>
      </c>
      <c r="N46" s="127">
        <v>0</v>
      </c>
      <c r="O46" s="127">
        <v>0</v>
      </c>
      <c r="P46" s="155">
        <v>0</v>
      </c>
      <c r="Q46" s="127">
        <v>0</v>
      </c>
      <c r="R46" s="127">
        <v>0</v>
      </c>
      <c r="S46" s="127"/>
      <c r="T46" s="127"/>
      <c r="U46" s="127"/>
      <c r="V46" s="337">
        <v>12000000</v>
      </c>
      <c r="W46" s="127">
        <v>12000000</v>
      </c>
      <c r="X46" s="127"/>
      <c r="Y46" s="127"/>
      <c r="Z46" s="127"/>
      <c r="AA46" s="127">
        <v>44000000</v>
      </c>
      <c r="AB46" s="127"/>
      <c r="AC46" s="127"/>
      <c r="AD46" s="127"/>
      <c r="AE46" s="127"/>
      <c r="AF46" s="447"/>
      <c r="AG46" s="156">
        <v>0</v>
      </c>
      <c r="AH46" s="155"/>
      <c r="AI46" s="155"/>
      <c r="AJ46" s="75">
        <v>0</v>
      </c>
      <c r="AK46" s="26">
        <v>0</v>
      </c>
      <c r="AL46" s="719"/>
      <c r="AM46" s="719"/>
      <c r="AN46" s="719"/>
      <c r="AO46" s="719"/>
      <c r="AP46" s="713"/>
    </row>
    <row r="47" spans="1:42" s="5" customFormat="1" ht="53.25" customHeight="1" x14ac:dyDescent="0.25">
      <c r="A47" s="708"/>
      <c r="B47" s="750"/>
      <c r="C47" s="741"/>
      <c r="D47" s="716"/>
      <c r="E47" s="716"/>
      <c r="F47" s="716"/>
      <c r="G47" s="40" t="s">
        <v>11</v>
      </c>
      <c r="H47" s="131"/>
      <c r="I47" s="131"/>
      <c r="J47" s="131"/>
      <c r="K47" s="131"/>
      <c r="L47" s="131"/>
      <c r="M47" s="131"/>
      <c r="N47" s="131"/>
      <c r="O47" s="131"/>
      <c r="P47" s="156"/>
      <c r="Q47" s="131"/>
      <c r="R47" s="131"/>
      <c r="S47" s="131"/>
      <c r="T47" s="131"/>
      <c r="U47" s="131"/>
      <c r="V47" s="340"/>
      <c r="W47" s="49"/>
      <c r="X47" s="131"/>
      <c r="Y47" s="131"/>
      <c r="Z47" s="131"/>
      <c r="AA47" s="131"/>
      <c r="AB47" s="131"/>
      <c r="AC47" s="131"/>
      <c r="AD47" s="131"/>
      <c r="AE47" s="131"/>
      <c r="AF47" s="447"/>
      <c r="AG47" s="156"/>
      <c r="AH47" s="156"/>
      <c r="AI47" s="156"/>
      <c r="AJ47" s="75"/>
      <c r="AK47" s="26"/>
      <c r="AL47" s="719"/>
      <c r="AM47" s="719"/>
      <c r="AN47" s="719"/>
      <c r="AO47" s="719"/>
      <c r="AP47" s="713"/>
    </row>
    <row r="48" spans="1:42" s="5" customFormat="1" ht="62.25" customHeight="1" x14ac:dyDescent="0.25">
      <c r="A48" s="708"/>
      <c r="B48" s="750"/>
      <c r="C48" s="741"/>
      <c r="D48" s="716"/>
      <c r="E48" s="716"/>
      <c r="F48" s="716"/>
      <c r="G48" s="40" t="s">
        <v>12</v>
      </c>
      <c r="H48" s="131"/>
      <c r="I48" s="131"/>
      <c r="J48" s="131"/>
      <c r="K48" s="131"/>
      <c r="L48" s="131"/>
      <c r="M48" s="131"/>
      <c r="N48" s="131"/>
      <c r="O48" s="131"/>
      <c r="P48" s="156"/>
      <c r="Q48" s="131"/>
      <c r="R48" s="131"/>
      <c r="S48" s="131"/>
      <c r="T48" s="131"/>
      <c r="U48" s="131"/>
      <c r="V48" s="340"/>
      <c r="W48" s="49"/>
      <c r="X48" s="131"/>
      <c r="Y48" s="131"/>
      <c r="Z48" s="131"/>
      <c r="AA48" s="131"/>
      <c r="AB48" s="131"/>
      <c r="AC48" s="131"/>
      <c r="AD48" s="131"/>
      <c r="AE48" s="131"/>
      <c r="AF48" s="448"/>
      <c r="AG48" s="156"/>
      <c r="AH48" s="156"/>
      <c r="AI48" s="156"/>
      <c r="AJ48" s="75"/>
      <c r="AK48" s="26"/>
      <c r="AL48" s="719"/>
      <c r="AM48" s="719"/>
      <c r="AN48" s="719"/>
      <c r="AO48" s="719"/>
      <c r="AP48" s="713"/>
    </row>
    <row r="49" spans="1:42" s="5" customFormat="1" ht="54.75" customHeight="1" x14ac:dyDescent="0.25">
      <c r="A49" s="708"/>
      <c r="B49" s="750"/>
      <c r="C49" s="741"/>
      <c r="D49" s="716"/>
      <c r="E49" s="716"/>
      <c r="F49" s="716"/>
      <c r="G49" s="40" t="s">
        <v>13</v>
      </c>
      <c r="H49" s="134">
        <f>+H45</f>
        <v>100</v>
      </c>
      <c r="I49" s="134"/>
      <c r="J49" s="134">
        <f t="shared" ref="J49" si="10">+J45</f>
        <v>0</v>
      </c>
      <c r="K49" s="134">
        <f t="shared" ref="K49:O50" si="11">+K45</f>
        <v>0</v>
      </c>
      <c r="L49" s="134">
        <f t="shared" si="11"/>
        <v>0</v>
      </c>
      <c r="M49" s="134">
        <f t="shared" si="11"/>
        <v>0</v>
      </c>
      <c r="N49" s="134">
        <f t="shared" si="11"/>
        <v>0</v>
      </c>
      <c r="O49" s="134">
        <f t="shared" si="11"/>
        <v>0</v>
      </c>
      <c r="P49" s="156">
        <v>0</v>
      </c>
      <c r="Q49" s="134">
        <f t="shared" ref="Q49:R50" si="12">+Q45</f>
        <v>0</v>
      </c>
      <c r="R49" s="134">
        <f t="shared" si="12"/>
        <v>0</v>
      </c>
      <c r="S49" s="134"/>
      <c r="T49" s="134"/>
      <c r="U49" s="134"/>
      <c r="V49" s="341">
        <v>0</v>
      </c>
      <c r="W49" s="134">
        <v>0</v>
      </c>
      <c r="X49" s="134"/>
      <c r="Y49" s="134"/>
      <c r="Z49" s="134"/>
      <c r="AA49" s="134"/>
      <c r="AB49" s="134"/>
      <c r="AC49" s="134"/>
      <c r="AD49" s="134"/>
      <c r="AE49" s="134"/>
      <c r="AF49" s="447"/>
      <c r="AG49" s="156">
        <v>0.875</v>
      </c>
      <c r="AH49" s="156"/>
      <c r="AI49" s="156"/>
      <c r="AJ49" s="75"/>
      <c r="AK49" s="26"/>
      <c r="AL49" s="719"/>
      <c r="AM49" s="719"/>
      <c r="AN49" s="719"/>
      <c r="AO49" s="719"/>
      <c r="AP49" s="713"/>
    </row>
    <row r="50" spans="1:42" s="5" customFormat="1" ht="63.75" customHeight="1" thickBot="1" x14ac:dyDescent="0.3">
      <c r="A50" s="708"/>
      <c r="B50" s="751"/>
      <c r="C50" s="742"/>
      <c r="D50" s="717"/>
      <c r="E50" s="717"/>
      <c r="F50" s="717"/>
      <c r="G50" s="41" t="s">
        <v>14</v>
      </c>
      <c r="H50" s="135">
        <f>+H46</f>
        <v>56000000</v>
      </c>
      <c r="I50" s="135"/>
      <c r="J50" s="135">
        <f t="shared" ref="J50" si="13">+J46</f>
        <v>0</v>
      </c>
      <c r="K50" s="135">
        <f t="shared" si="11"/>
        <v>0</v>
      </c>
      <c r="L50" s="135">
        <f t="shared" si="11"/>
        <v>0</v>
      </c>
      <c r="M50" s="135">
        <f t="shared" si="11"/>
        <v>0</v>
      </c>
      <c r="N50" s="135">
        <f t="shared" si="11"/>
        <v>0</v>
      </c>
      <c r="O50" s="135">
        <f t="shared" si="11"/>
        <v>0</v>
      </c>
      <c r="P50" s="157">
        <v>0</v>
      </c>
      <c r="Q50" s="135">
        <f t="shared" si="12"/>
        <v>0</v>
      </c>
      <c r="R50" s="135">
        <f t="shared" si="12"/>
        <v>0</v>
      </c>
      <c r="S50" s="135"/>
      <c r="T50" s="135"/>
      <c r="U50" s="135"/>
      <c r="V50" s="339"/>
      <c r="W50" s="135"/>
      <c r="X50" s="135"/>
      <c r="Y50" s="135"/>
      <c r="Z50" s="135"/>
      <c r="AA50" s="135"/>
      <c r="AB50" s="135"/>
      <c r="AC50" s="135"/>
      <c r="AD50" s="135"/>
      <c r="AE50" s="135"/>
      <c r="AF50" s="449"/>
      <c r="AG50" s="157">
        <v>0</v>
      </c>
      <c r="AH50" s="157"/>
      <c r="AI50" s="157"/>
      <c r="AJ50" s="76"/>
      <c r="AK50" s="58"/>
      <c r="AL50" s="720"/>
      <c r="AM50" s="720"/>
      <c r="AN50" s="720"/>
      <c r="AO50" s="720"/>
      <c r="AP50" s="714"/>
    </row>
    <row r="51" spans="1:42" s="5" customFormat="1" ht="45" customHeight="1" x14ac:dyDescent="0.25">
      <c r="A51" s="708" t="s">
        <v>202</v>
      </c>
      <c r="B51" s="721">
        <v>8</v>
      </c>
      <c r="C51" s="748" t="s">
        <v>168</v>
      </c>
      <c r="D51" s="715" t="s">
        <v>123</v>
      </c>
      <c r="E51" s="715">
        <v>304</v>
      </c>
      <c r="F51" s="715">
        <v>179</v>
      </c>
      <c r="G51" s="39" t="s">
        <v>9</v>
      </c>
      <c r="H51" s="125">
        <v>4</v>
      </c>
      <c r="I51" s="125"/>
      <c r="J51" s="79">
        <v>0.5</v>
      </c>
      <c r="K51" s="60">
        <v>0.4</v>
      </c>
      <c r="L51" s="60">
        <v>0.92</v>
      </c>
      <c r="M51" s="60">
        <v>0.92</v>
      </c>
      <c r="N51" s="60">
        <v>0.92</v>
      </c>
      <c r="O51" s="60">
        <v>0.92</v>
      </c>
      <c r="P51" s="158">
        <v>0.92</v>
      </c>
      <c r="Q51" s="146">
        <v>1.5</v>
      </c>
      <c r="R51" s="146">
        <v>1.5</v>
      </c>
      <c r="S51" s="146">
        <v>1.5</v>
      </c>
      <c r="T51" s="146">
        <v>1.5</v>
      </c>
      <c r="U51" s="125">
        <v>1.5</v>
      </c>
      <c r="V51" s="374">
        <v>3</v>
      </c>
      <c r="W51" s="374">
        <v>3.1</v>
      </c>
      <c r="X51" s="394"/>
      <c r="Y51" s="394"/>
      <c r="Z51" s="394"/>
      <c r="AA51" s="394">
        <v>4</v>
      </c>
      <c r="AB51" s="394"/>
      <c r="AC51" s="394"/>
      <c r="AD51" s="394"/>
      <c r="AE51" s="394"/>
      <c r="AF51" s="421">
        <v>2</v>
      </c>
      <c r="AG51" s="414">
        <v>3.1</v>
      </c>
      <c r="AH51" s="334"/>
      <c r="AI51" s="334"/>
      <c r="AJ51" s="378">
        <f>AG51/W51</f>
        <v>1</v>
      </c>
      <c r="AK51" s="376"/>
      <c r="AL51" s="718" t="s">
        <v>555</v>
      </c>
      <c r="AM51" s="718" t="s">
        <v>383</v>
      </c>
      <c r="AN51" s="718" t="s">
        <v>383</v>
      </c>
      <c r="AO51" s="718" t="s">
        <v>194</v>
      </c>
      <c r="AP51" s="712" t="s">
        <v>472</v>
      </c>
    </row>
    <row r="52" spans="1:42" s="5" customFormat="1" ht="36" customHeight="1" x14ac:dyDescent="0.25">
      <c r="A52" s="708"/>
      <c r="B52" s="722"/>
      <c r="C52" s="741"/>
      <c r="D52" s="716"/>
      <c r="E52" s="716"/>
      <c r="F52" s="716"/>
      <c r="G52" s="40" t="s">
        <v>10</v>
      </c>
      <c r="H52" s="127">
        <f>K52+P52+U52+V52+AA52</f>
        <v>1145533654.333333</v>
      </c>
      <c r="I52" s="127"/>
      <c r="J52" s="150">
        <v>93426660</v>
      </c>
      <c r="K52" s="159">
        <v>36342167</v>
      </c>
      <c r="L52" s="127">
        <v>219556374</v>
      </c>
      <c r="M52" s="127">
        <v>219556374</v>
      </c>
      <c r="N52" s="127">
        <v>219556374</v>
      </c>
      <c r="O52" s="127">
        <v>219556374</v>
      </c>
      <c r="P52" s="81">
        <f>210284487.333333</f>
        <v>210284487.33333299</v>
      </c>
      <c r="Q52" s="127">
        <v>492281000</v>
      </c>
      <c r="R52" s="127">
        <v>492281000</v>
      </c>
      <c r="S52" s="127">
        <v>392281000</v>
      </c>
      <c r="T52" s="127">
        <v>324350724</v>
      </c>
      <c r="U52" s="127">
        <v>275840000</v>
      </c>
      <c r="V52" s="403">
        <v>256766000</v>
      </c>
      <c r="W52" s="385">
        <v>256766000</v>
      </c>
      <c r="X52" s="385"/>
      <c r="Y52" s="385"/>
      <c r="Z52" s="385"/>
      <c r="AA52" s="385">
        <v>366301000</v>
      </c>
      <c r="AB52" s="385"/>
      <c r="AC52" s="385"/>
      <c r="AD52" s="385"/>
      <c r="AE52" s="385"/>
      <c r="AF52" s="384">
        <v>166010250</v>
      </c>
      <c r="AG52" s="395">
        <v>203466200</v>
      </c>
      <c r="AH52" s="395"/>
      <c r="AI52" s="395"/>
      <c r="AJ52" s="378">
        <f>AG52/W52</f>
        <v>0.79241877818714312</v>
      </c>
      <c r="AK52" s="379">
        <v>0.57599999999999996</v>
      </c>
      <c r="AL52" s="719"/>
      <c r="AM52" s="719"/>
      <c r="AN52" s="719"/>
      <c r="AO52" s="719"/>
      <c r="AP52" s="713"/>
    </row>
    <row r="53" spans="1:42" s="5" customFormat="1" ht="40.5" customHeight="1" x14ac:dyDescent="0.25">
      <c r="A53" s="708"/>
      <c r="B53" s="722"/>
      <c r="C53" s="741"/>
      <c r="D53" s="716"/>
      <c r="E53" s="716"/>
      <c r="F53" s="716"/>
      <c r="G53" s="40" t="s">
        <v>11</v>
      </c>
      <c r="H53" s="131"/>
      <c r="I53" s="131"/>
      <c r="J53" s="131"/>
      <c r="K53" s="131"/>
      <c r="L53" s="149">
        <v>0.08</v>
      </c>
      <c r="M53" s="149">
        <v>0.08</v>
      </c>
      <c r="N53" s="149">
        <v>0.08</v>
      </c>
      <c r="O53" s="149">
        <v>0.08</v>
      </c>
      <c r="P53" s="160"/>
      <c r="Q53" s="131"/>
      <c r="R53" s="131"/>
      <c r="S53" s="131"/>
      <c r="T53" s="131"/>
      <c r="U53" s="131"/>
      <c r="V53" s="407"/>
      <c r="W53" s="381"/>
      <c r="X53" s="422"/>
      <c r="Y53" s="422"/>
      <c r="Z53" s="422"/>
      <c r="AA53" s="422"/>
      <c r="AB53" s="422"/>
      <c r="AC53" s="422"/>
      <c r="AD53" s="422"/>
      <c r="AE53" s="422"/>
      <c r="AF53" s="423"/>
      <c r="AG53" s="424"/>
      <c r="AH53" s="424"/>
      <c r="AI53" s="424"/>
      <c r="AJ53" s="378"/>
      <c r="AK53" s="379"/>
      <c r="AL53" s="719"/>
      <c r="AM53" s="719"/>
      <c r="AN53" s="719"/>
      <c r="AO53" s="719"/>
      <c r="AP53" s="713"/>
    </row>
    <row r="54" spans="1:42" s="5" customFormat="1" ht="33" customHeight="1" x14ac:dyDescent="0.25">
      <c r="A54" s="708"/>
      <c r="B54" s="722"/>
      <c r="C54" s="741"/>
      <c r="D54" s="716"/>
      <c r="E54" s="716"/>
      <c r="F54" s="716"/>
      <c r="G54" s="40" t="s">
        <v>12</v>
      </c>
      <c r="H54" s="141"/>
      <c r="I54" s="141"/>
      <c r="J54" s="141"/>
      <c r="K54" s="141"/>
      <c r="L54" s="141">
        <v>3726000</v>
      </c>
      <c r="M54" s="141">
        <v>3726000</v>
      </c>
      <c r="N54" s="141">
        <v>3726000</v>
      </c>
      <c r="O54" s="141">
        <v>3726000</v>
      </c>
      <c r="P54" s="81">
        <v>1215000</v>
      </c>
      <c r="Q54" s="127">
        <v>48780647</v>
      </c>
      <c r="R54" s="127">
        <v>48780647</v>
      </c>
      <c r="S54" s="127">
        <v>48780647</v>
      </c>
      <c r="T54" s="127">
        <v>48780647</v>
      </c>
      <c r="U54" s="141">
        <v>48402647</v>
      </c>
      <c r="V54" s="407">
        <v>155143334</v>
      </c>
      <c r="W54" s="648">
        <v>155143334</v>
      </c>
      <c r="X54" s="425"/>
      <c r="Y54" s="425"/>
      <c r="Z54" s="425"/>
      <c r="AA54" s="425"/>
      <c r="AB54" s="425"/>
      <c r="AC54" s="425"/>
      <c r="AD54" s="425"/>
      <c r="AE54" s="425"/>
      <c r="AF54" s="398">
        <v>30952334</v>
      </c>
      <c r="AG54" s="395">
        <v>44103668</v>
      </c>
      <c r="AH54" s="395"/>
      <c r="AI54" s="395"/>
      <c r="AJ54" s="378"/>
      <c r="AK54" s="379"/>
      <c r="AL54" s="719"/>
      <c r="AM54" s="719"/>
      <c r="AN54" s="719"/>
      <c r="AO54" s="719"/>
      <c r="AP54" s="713"/>
    </row>
    <row r="55" spans="1:42" s="5" customFormat="1" ht="36" customHeight="1" x14ac:dyDescent="0.25">
      <c r="A55" s="708"/>
      <c r="B55" s="722"/>
      <c r="C55" s="741"/>
      <c r="D55" s="716"/>
      <c r="E55" s="716"/>
      <c r="F55" s="716"/>
      <c r="G55" s="40" t="s">
        <v>13</v>
      </c>
      <c r="H55" s="134">
        <f>+H51</f>
        <v>4</v>
      </c>
      <c r="I55" s="134"/>
      <c r="J55" s="134"/>
      <c r="K55" s="149">
        <f>+K51</f>
        <v>0.4</v>
      </c>
      <c r="L55" s="81">
        <f t="shared" ref="L55:O56" si="14">+L51+L53</f>
        <v>1</v>
      </c>
      <c r="M55" s="81">
        <f t="shared" si="14"/>
        <v>1</v>
      </c>
      <c r="N55" s="81">
        <f t="shared" si="14"/>
        <v>1</v>
      </c>
      <c r="O55" s="81">
        <f t="shared" si="14"/>
        <v>1</v>
      </c>
      <c r="P55" s="161">
        <f>+P51+P53</f>
        <v>0.92</v>
      </c>
      <c r="Q55" s="134">
        <f>+Q51</f>
        <v>1.5</v>
      </c>
      <c r="R55" s="134">
        <f>+R51</f>
        <v>1.5</v>
      </c>
      <c r="S55" s="134">
        <v>1.5</v>
      </c>
      <c r="T55" s="134">
        <v>1.5</v>
      </c>
      <c r="U55" s="134">
        <v>1.5</v>
      </c>
      <c r="V55" s="393">
        <f>+V51</f>
        <v>3</v>
      </c>
      <c r="W55" s="426">
        <v>3.1</v>
      </c>
      <c r="X55" s="426"/>
      <c r="Y55" s="426"/>
      <c r="Z55" s="426"/>
      <c r="AA55" s="426">
        <v>2</v>
      </c>
      <c r="AB55" s="426"/>
      <c r="AC55" s="426"/>
      <c r="AD55" s="426"/>
      <c r="AE55" s="426"/>
      <c r="AF55" s="427">
        <f>+AF51+AF53</f>
        <v>2</v>
      </c>
      <c r="AG55" s="424">
        <v>3.1</v>
      </c>
      <c r="AH55" s="428"/>
      <c r="AI55" s="428"/>
      <c r="AJ55" s="378"/>
      <c r="AK55" s="379"/>
      <c r="AL55" s="719"/>
      <c r="AM55" s="719"/>
      <c r="AN55" s="719"/>
      <c r="AO55" s="719"/>
      <c r="AP55" s="713"/>
    </row>
    <row r="56" spans="1:42" s="5" customFormat="1" ht="49.5" customHeight="1" thickBot="1" x14ac:dyDescent="0.3">
      <c r="A56" s="708"/>
      <c r="B56" s="723"/>
      <c r="C56" s="742"/>
      <c r="D56" s="717"/>
      <c r="E56" s="717"/>
      <c r="F56" s="717"/>
      <c r="G56" s="41" t="s">
        <v>14</v>
      </c>
      <c r="H56" s="135">
        <f>+H52</f>
        <v>1145533654.333333</v>
      </c>
      <c r="I56" s="135"/>
      <c r="J56" s="135"/>
      <c r="K56" s="135">
        <v>36342167</v>
      </c>
      <c r="L56" s="135">
        <f t="shared" si="14"/>
        <v>223282374</v>
      </c>
      <c r="M56" s="135">
        <f t="shared" si="14"/>
        <v>223282374</v>
      </c>
      <c r="N56" s="135">
        <f t="shared" si="14"/>
        <v>223282374</v>
      </c>
      <c r="O56" s="135">
        <f t="shared" si="14"/>
        <v>223282374</v>
      </c>
      <c r="P56" s="145">
        <f>+P52+P54</f>
        <v>211499487.33333299</v>
      </c>
      <c r="Q56" s="135">
        <f>+Q52+Q54</f>
        <v>541061647</v>
      </c>
      <c r="R56" s="135">
        <f>+R52+R54</f>
        <v>541061647</v>
      </c>
      <c r="S56" s="135">
        <v>441061647</v>
      </c>
      <c r="T56" s="135">
        <v>373131371</v>
      </c>
      <c r="U56" s="135">
        <v>324242647</v>
      </c>
      <c r="V56" s="420">
        <f>+V52</f>
        <v>256766000</v>
      </c>
      <c r="W56" s="429">
        <v>256766000</v>
      </c>
      <c r="X56" s="429"/>
      <c r="Y56" s="429"/>
      <c r="Z56" s="429"/>
      <c r="AA56" s="429">
        <v>366301000</v>
      </c>
      <c r="AB56" s="429"/>
      <c r="AC56" s="429"/>
      <c r="AD56" s="429"/>
      <c r="AE56" s="429"/>
      <c r="AF56" s="397">
        <f>AF52+AF54</f>
        <v>196962584</v>
      </c>
      <c r="AG56" s="387">
        <v>247569868</v>
      </c>
      <c r="AH56" s="387"/>
      <c r="AI56" s="387"/>
      <c r="AJ56" s="388"/>
      <c r="AK56" s="389"/>
      <c r="AL56" s="720"/>
      <c r="AM56" s="720"/>
      <c r="AN56" s="720"/>
      <c r="AO56" s="720"/>
      <c r="AP56" s="714"/>
    </row>
    <row r="57" spans="1:42" s="5" customFormat="1" ht="63.75" customHeight="1" x14ac:dyDescent="0.25">
      <c r="A57" s="708"/>
      <c r="B57" s="749">
        <v>9</v>
      </c>
      <c r="C57" s="748" t="s">
        <v>169</v>
      </c>
      <c r="D57" s="715" t="s">
        <v>121</v>
      </c>
      <c r="E57" s="715">
        <v>304</v>
      </c>
      <c r="F57" s="715">
        <v>17</v>
      </c>
      <c r="G57" s="39" t="s">
        <v>9</v>
      </c>
      <c r="H57" s="125">
        <v>260</v>
      </c>
      <c r="I57" s="125"/>
      <c r="J57" s="79">
        <v>4.17</v>
      </c>
      <c r="K57" s="60">
        <v>4.17</v>
      </c>
      <c r="L57" s="60">
        <v>46.61</v>
      </c>
      <c r="M57" s="60" t="s">
        <v>186</v>
      </c>
      <c r="N57" s="60" t="s">
        <v>186</v>
      </c>
      <c r="O57" s="60" t="s">
        <v>186</v>
      </c>
      <c r="P57" s="158">
        <v>46.61</v>
      </c>
      <c r="Q57" s="60">
        <v>48.61</v>
      </c>
      <c r="R57" s="60" t="s">
        <v>187</v>
      </c>
      <c r="S57" s="60">
        <v>48.61</v>
      </c>
      <c r="T57" s="60">
        <v>35.36</v>
      </c>
      <c r="U57" s="125">
        <v>38.28</v>
      </c>
      <c r="V57" s="374">
        <v>50</v>
      </c>
      <c r="W57" s="394">
        <v>50</v>
      </c>
      <c r="X57" s="394"/>
      <c r="Y57" s="394"/>
      <c r="Z57" s="394"/>
      <c r="AA57" s="374">
        <v>110.61</v>
      </c>
      <c r="AB57" s="374"/>
      <c r="AC57" s="374"/>
      <c r="AD57" s="374"/>
      <c r="AE57" s="394"/>
      <c r="AF57" s="430">
        <v>16.45</v>
      </c>
      <c r="AG57" s="48">
        <v>32.15</v>
      </c>
      <c r="AH57" s="158"/>
      <c r="AI57" s="158"/>
      <c r="AJ57" s="378">
        <f>AG57/W57</f>
        <v>0.64300000000000002</v>
      </c>
      <c r="AK57" s="29">
        <v>0.4662</v>
      </c>
      <c r="AL57" s="718" t="s">
        <v>556</v>
      </c>
      <c r="AM57" s="718" t="s">
        <v>383</v>
      </c>
      <c r="AN57" s="718" t="s">
        <v>383</v>
      </c>
      <c r="AO57" s="718" t="s">
        <v>195</v>
      </c>
      <c r="AP57" s="712" t="s">
        <v>473</v>
      </c>
    </row>
    <row r="58" spans="1:42" s="5" customFormat="1" ht="66.75" customHeight="1" thickBot="1" x14ac:dyDescent="0.3">
      <c r="A58" s="708"/>
      <c r="B58" s="750"/>
      <c r="C58" s="741"/>
      <c r="D58" s="716"/>
      <c r="E58" s="716"/>
      <c r="F58" s="716"/>
      <c r="G58" s="40" t="s">
        <v>10</v>
      </c>
      <c r="H58" s="127">
        <f>K58+P58+U58+V58+AA58</f>
        <v>6847567382</v>
      </c>
      <c r="I58" s="127"/>
      <c r="J58" s="150">
        <v>418367467</v>
      </c>
      <c r="K58" s="127">
        <v>418168127</v>
      </c>
      <c r="L58" s="127">
        <v>2425188255</v>
      </c>
      <c r="M58" s="127">
        <v>2425188255</v>
      </c>
      <c r="N58" s="127">
        <v>2425188255</v>
      </c>
      <c r="O58" s="127">
        <v>2425188255</v>
      </c>
      <c r="P58" s="81">
        <v>2425188255</v>
      </c>
      <c r="Q58" s="127">
        <v>922217000</v>
      </c>
      <c r="R58" s="127">
        <v>922217000</v>
      </c>
      <c r="S58" s="127">
        <v>980479000</v>
      </c>
      <c r="T58" s="127">
        <v>824474000</v>
      </c>
      <c r="U58" s="127">
        <v>282452000</v>
      </c>
      <c r="V58" s="403">
        <v>1310402000</v>
      </c>
      <c r="W58" s="385">
        <v>1310402000</v>
      </c>
      <c r="X58" s="385"/>
      <c r="Y58" s="385"/>
      <c r="Z58" s="385"/>
      <c r="AA58" s="385">
        <v>2411357000</v>
      </c>
      <c r="AB58" s="385"/>
      <c r="AC58" s="385"/>
      <c r="AD58" s="385"/>
      <c r="AE58" s="385"/>
      <c r="AF58" s="384">
        <v>249934650</v>
      </c>
      <c r="AG58" s="81">
        <v>297328383</v>
      </c>
      <c r="AH58" s="81"/>
      <c r="AI58" s="81"/>
      <c r="AJ58" s="378">
        <f>AG58/W58</f>
        <v>0.22689860287148525</v>
      </c>
      <c r="AK58" s="26">
        <v>0.4672</v>
      </c>
      <c r="AL58" s="719"/>
      <c r="AM58" s="719"/>
      <c r="AN58" s="719"/>
      <c r="AO58" s="719"/>
      <c r="AP58" s="713"/>
    </row>
    <row r="59" spans="1:42" s="5" customFormat="1" ht="53.25" customHeight="1" x14ac:dyDescent="0.25">
      <c r="A59" s="708"/>
      <c r="B59" s="750"/>
      <c r="C59" s="741"/>
      <c r="D59" s="716"/>
      <c r="E59" s="716"/>
      <c r="F59" s="716"/>
      <c r="G59" s="40" t="s">
        <v>11</v>
      </c>
      <c r="H59" s="131"/>
      <c r="I59" s="131"/>
      <c r="J59" s="131"/>
      <c r="K59" s="131"/>
      <c r="L59" s="131"/>
      <c r="M59" s="131"/>
      <c r="N59" s="131"/>
      <c r="O59" s="131"/>
      <c r="P59" s="162"/>
      <c r="Q59" s="131"/>
      <c r="R59" s="131"/>
      <c r="S59" s="131"/>
      <c r="T59" s="131"/>
      <c r="U59" s="131"/>
      <c r="V59" s="407"/>
      <c r="W59" s="381"/>
      <c r="X59" s="422"/>
      <c r="Y59" s="422"/>
      <c r="Z59" s="422"/>
      <c r="AA59" s="422"/>
      <c r="AB59" s="422"/>
      <c r="AC59" s="422"/>
      <c r="AD59" s="422"/>
      <c r="AE59" s="422"/>
      <c r="AF59" s="431"/>
      <c r="AG59" s="162"/>
      <c r="AH59" s="162"/>
      <c r="AI59" s="162"/>
      <c r="AJ59" s="378"/>
      <c r="AK59" s="26"/>
      <c r="AL59" s="719"/>
      <c r="AM59" s="719"/>
      <c r="AN59" s="719"/>
      <c r="AO59" s="719"/>
      <c r="AP59" s="713"/>
    </row>
    <row r="60" spans="1:42" s="5" customFormat="1" ht="62.25" customHeight="1" x14ac:dyDescent="0.25">
      <c r="A60" s="708"/>
      <c r="B60" s="750"/>
      <c r="C60" s="741"/>
      <c r="D60" s="716"/>
      <c r="E60" s="716"/>
      <c r="F60" s="716"/>
      <c r="G60" s="40" t="s">
        <v>12</v>
      </c>
      <c r="H60" s="131"/>
      <c r="I60" s="131"/>
      <c r="J60" s="131"/>
      <c r="K60" s="131"/>
      <c r="L60" s="148">
        <v>372465826</v>
      </c>
      <c r="M60" s="148">
        <v>372465826</v>
      </c>
      <c r="N60" s="148">
        <v>372465826</v>
      </c>
      <c r="O60" s="148">
        <v>372465826</v>
      </c>
      <c r="P60" s="81">
        <v>372465826</v>
      </c>
      <c r="Q60" s="81">
        <v>1359140800</v>
      </c>
      <c r="R60" s="81">
        <v>1359140800</v>
      </c>
      <c r="S60" s="81">
        <v>1359140800</v>
      </c>
      <c r="T60" s="81">
        <v>1359140800</v>
      </c>
      <c r="U60" s="131">
        <v>215383280</v>
      </c>
      <c r="V60" s="403">
        <v>73979001</v>
      </c>
      <c r="W60" s="381">
        <v>73979001</v>
      </c>
      <c r="X60" s="422"/>
      <c r="Y60" s="422"/>
      <c r="Z60" s="422"/>
      <c r="AA60" s="422"/>
      <c r="AB60" s="422"/>
      <c r="AC60" s="422"/>
      <c r="AD60" s="422"/>
      <c r="AE60" s="422"/>
      <c r="AF60" s="398">
        <v>26108334</v>
      </c>
      <c r="AG60" s="81">
        <v>53118921</v>
      </c>
      <c r="AH60" s="81"/>
      <c r="AI60" s="81"/>
      <c r="AJ60" s="378"/>
      <c r="AK60" s="26"/>
      <c r="AL60" s="719"/>
      <c r="AM60" s="719"/>
      <c r="AN60" s="719"/>
      <c r="AO60" s="719"/>
      <c r="AP60" s="713"/>
    </row>
    <row r="61" spans="1:42" s="5" customFormat="1" ht="54.75" customHeight="1" x14ac:dyDescent="0.25">
      <c r="A61" s="708"/>
      <c r="B61" s="750"/>
      <c r="C61" s="741"/>
      <c r="D61" s="716"/>
      <c r="E61" s="716"/>
      <c r="F61" s="716"/>
      <c r="G61" s="40" t="s">
        <v>13</v>
      </c>
      <c r="H61" s="134">
        <f>+H57</f>
        <v>260</v>
      </c>
      <c r="I61" s="134"/>
      <c r="J61" s="134">
        <f>+J57</f>
        <v>4.17</v>
      </c>
      <c r="K61" s="149">
        <f t="shared" ref="K61:P61" si="15">+K57</f>
        <v>4.17</v>
      </c>
      <c r="L61" s="149">
        <f t="shared" si="15"/>
        <v>46.61</v>
      </c>
      <c r="M61" s="149" t="str">
        <f t="shared" si="15"/>
        <v>46.61</v>
      </c>
      <c r="N61" s="149" t="str">
        <f t="shared" si="15"/>
        <v>46.61</v>
      </c>
      <c r="O61" s="149" t="str">
        <f t="shared" si="15"/>
        <v>46.61</v>
      </c>
      <c r="P61" s="161">
        <f t="shared" si="15"/>
        <v>46.61</v>
      </c>
      <c r="Q61" s="149">
        <f>+Q57</f>
        <v>48.61</v>
      </c>
      <c r="R61" s="149" t="str">
        <f>+R57</f>
        <v>48.61</v>
      </c>
      <c r="S61" s="149">
        <v>48.61</v>
      </c>
      <c r="T61" s="149">
        <v>35.36</v>
      </c>
      <c r="U61" s="134"/>
      <c r="V61" s="393">
        <f>+V57</f>
        <v>50</v>
      </c>
      <c r="W61" s="426">
        <v>50</v>
      </c>
      <c r="X61" s="426"/>
      <c r="Y61" s="426"/>
      <c r="Z61" s="426"/>
      <c r="AA61" s="393">
        <v>110.61</v>
      </c>
      <c r="AB61" s="393"/>
      <c r="AC61" s="393"/>
      <c r="AD61" s="393"/>
      <c r="AE61" s="426"/>
      <c r="AF61" s="432">
        <f>+AF57+AF59</f>
        <v>16.45</v>
      </c>
      <c r="AG61" s="160">
        <v>32.15</v>
      </c>
      <c r="AH61" s="161"/>
      <c r="AI61" s="161"/>
      <c r="AJ61" s="378"/>
      <c r="AK61" s="26"/>
      <c r="AL61" s="719"/>
      <c r="AM61" s="719"/>
      <c r="AN61" s="719"/>
      <c r="AO61" s="719"/>
      <c r="AP61" s="713"/>
    </row>
    <row r="62" spans="1:42" s="5" customFormat="1" ht="63.75" customHeight="1" thickBot="1" x14ac:dyDescent="0.3">
      <c r="A62" s="708"/>
      <c r="B62" s="751"/>
      <c r="C62" s="742"/>
      <c r="D62" s="717"/>
      <c r="E62" s="717"/>
      <c r="F62" s="717"/>
      <c r="G62" s="41" t="s">
        <v>14</v>
      </c>
      <c r="H62" s="135">
        <f>+H58</f>
        <v>6847567382</v>
      </c>
      <c r="I62" s="135"/>
      <c r="J62" s="135">
        <f>+J58</f>
        <v>418367467</v>
      </c>
      <c r="K62" s="135">
        <f>+K58</f>
        <v>418168127</v>
      </c>
      <c r="L62" s="135">
        <f t="shared" ref="L62:Q62" si="16">+L58+L60</f>
        <v>2797654081</v>
      </c>
      <c r="M62" s="135">
        <f t="shared" si="16"/>
        <v>2797654081</v>
      </c>
      <c r="N62" s="135">
        <f t="shared" si="16"/>
        <v>2797654081</v>
      </c>
      <c r="O62" s="135">
        <f t="shared" si="16"/>
        <v>2797654081</v>
      </c>
      <c r="P62" s="145">
        <f t="shared" si="16"/>
        <v>2797654081</v>
      </c>
      <c r="Q62" s="135">
        <f t="shared" si="16"/>
        <v>2281357800</v>
      </c>
      <c r="R62" s="135">
        <f>+R58+R60</f>
        <v>2281357800</v>
      </c>
      <c r="S62" s="135">
        <v>2339619800</v>
      </c>
      <c r="T62" s="135">
        <v>2183614800</v>
      </c>
      <c r="U62" s="135">
        <v>497835280</v>
      </c>
      <c r="V62" s="420">
        <f>+V58+V60</f>
        <v>1384381001</v>
      </c>
      <c r="W62" s="429">
        <v>1384381001</v>
      </c>
      <c r="X62" s="429"/>
      <c r="Y62" s="429"/>
      <c r="Z62" s="429"/>
      <c r="AA62" s="429">
        <v>2411357000</v>
      </c>
      <c r="AB62" s="429"/>
      <c r="AC62" s="429"/>
      <c r="AD62" s="429"/>
      <c r="AE62" s="429"/>
      <c r="AF62" s="397">
        <f>AF60+AF58</f>
        <v>276042984</v>
      </c>
      <c r="AG62" s="145">
        <v>350447304</v>
      </c>
      <c r="AH62" s="145"/>
      <c r="AI62" s="145"/>
      <c r="AJ62" s="388"/>
      <c r="AK62" s="58"/>
      <c r="AL62" s="720"/>
      <c r="AM62" s="720"/>
      <c r="AN62" s="720"/>
      <c r="AO62" s="720"/>
      <c r="AP62" s="714"/>
    </row>
    <row r="63" spans="1:42" s="5" customFormat="1" ht="45" customHeight="1" x14ac:dyDescent="0.25">
      <c r="A63" s="708"/>
      <c r="B63" s="721">
        <v>10</v>
      </c>
      <c r="C63" s="748" t="s">
        <v>170</v>
      </c>
      <c r="D63" s="715" t="s">
        <v>123</v>
      </c>
      <c r="E63" s="715">
        <v>304</v>
      </c>
      <c r="F63" s="715">
        <v>179</v>
      </c>
      <c r="G63" s="39" t="s">
        <v>9</v>
      </c>
      <c r="H63" s="125">
        <v>520</v>
      </c>
      <c r="I63" s="125"/>
      <c r="J63" s="125">
        <v>120</v>
      </c>
      <c r="K63" s="125">
        <v>114</v>
      </c>
      <c r="L63" s="60">
        <v>218.97</v>
      </c>
      <c r="M63" s="60" t="s">
        <v>188</v>
      </c>
      <c r="N63" s="60" t="s">
        <v>188</v>
      </c>
      <c r="O63" s="60" t="s">
        <v>188</v>
      </c>
      <c r="P63" s="48">
        <f>66.47+122.5+30</f>
        <v>218.97</v>
      </c>
      <c r="Q63" s="125">
        <v>250</v>
      </c>
      <c r="R63" s="125">
        <v>250</v>
      </c>
      <c r="S63" s="125">
        <v>250</v>
      </c>
      <c r="T63" s="125">
        <v>252.14</v>
      </c>
      <c r="U63" s="125">
        <v>254.9</v>
      </c>
      <c r="V63" s="374">
        <v>466.9</v>
      </c>
      <c r="W63" s="394">
        <v>272.89999999999998</v>
      </c>
      <c r="X63" s="394"/>
      <c r="Y63" s="394"/>
      <c r="Z63" s="394"/>
      <c r="AA63" s="394">
        <v>520</v>
      </c>
      <c r="AB63" s="394"/>
      <c r="AC63" s="394"/>
      <c r="AD63" s="394"/>
      <c r="AE63" s="394"/>
      <c r="AF63" s="430">
        <v>254.9</v>
      </c>
      <c r="AG63" s="414">
        <v>258.58999999999997</v>
      </c>
      <c r="AH63" s="414"/>
      <c r="AI63" s="414"/>
      <c r="AJ63" s="378">
        <f>AG63/W63</f>
        <v>0.94756320996702093</v>
      </c>
      <c r="AK63" s="376"/>
      <c r="AL63" s="718" t="s">
        <v>581</v>
      </c>
      <c r="AM63" s="718" t="s">
        <v>383</v>
      </c>
      <c r="AN63" s="718" t="s">
        <v>383</v>
      </c>
      <c r="AO63" s="718" t="s">
        <v>156</v>
      </c>
      <c r="AP63" s="712" t="s">
        <v>459</v>
      </c>
    </row>
    <row r="64" spans="1:42" s="5" customFormat="1" ht="36" customHeight="1" x14ac:dyDescent="0.25">
      <c r="A64" s="708"/>
      <c r="B64" s="722"/>
      <c r="C64" s="741"/>
      <c r="D64" s="716"/>
      <c r="E64" s="716"/>
      <c r="F64" s="716"/>
      <c r="G64" s="40" t="s">
        <v>10</v>
      </c>
      <c r="H64" s="127">
        <f>K64+P64+U64+V64+AA64</f>
        <v>3495387829</v>
      </c>
      <c r="I64" s="127"/>
      <c r="J64" s="127">
        <v>218966666</v>
      </c>
      <c r="K64" s="127">
        <v>100666667</v>
      </c>
      <c r="L64" s="127">
        <v>1134841270</v>
      </c>
      <c r="M64" s="127">
        <v>1134841270</v>
      </c>
      <c r="N64" s="127">
        <v>1134841270</v>
      </c>
      <c r="O64" s="127">
        <v>1134841270</v>
      </c>
      <c r="P64" s="81">
        <v>968164162</v>
      </c>
      <c r="Q64" s="81">
        <v>1035025000</v>
      </c>
      <c r="R64" s="81">
        <v>1035025000</v>
      </c>
      <c r="S64" s="81">
        <v>1075496333</v>
      </c>
      <c r="T64" s="81">
        <v>1069403333</v>
      </c>
      <c r="U64" s="127">
        <v>1037500000</v>
      </c>
      <c r="V64" s="403">
        <v>905579000</v>
      </c>
      <c r="W64" s="385">
        <v>899958276</v>
      </c>
      <c r="X64" s="385"/>
      <c r="Y64" s="385"/>
      <c r="Z64" s="385"/>
      <c r="AA64" s="385">
        <v>483478000</v>
      </c>
      <c r="AB64" s="385"/>
      <c r="AC64" s="385"/>
      <c r="AD64" s="385"/>
      <c r="AE64" s="385"/>
      <c r="AF64" s="395">
        <v>324568450</v>
      </c>
      <c r="AG64" s="395">
        <v>531763250</v>
      </c>
      <c r="AH64" s="395"/>
      <c r="AI64" s="395"/>
      <c r="AJ64" s="378">
        <f>AG64/W64</f>
        <v>0.59087544854134988</v>
      </c>
      <c r="AK64" s="379">
        <v>0.69299999999999995</v>
      </c>
      <c r="AL64" s="719"/>
      <c r="AM64" s="719" t="s">
        <v>383</v>
      </c>
      <c r="AN64" s="719" t="s">
        <v>383</v>
      </c>
      <c r="AO64" s="719" t="s">
        <v>156</v>
      </c>
      <c r="AP64" s="713" t="s">
        <v>459</v>
      </c>
    </row>
    <row r="65" spans="1:42" s="5" customFormat="1" ht="40.5" customHeight="1" x14ac:dyDescent="0.25">
      <c r="A65" s="708"/>
      <c r="B65" s="722"/>
      <c r="C65" s="741"/>
      <c r="D65" s="716"/>
      <c r="E65" s="716"/>
      <c r="F65" s="716"/>
      <c r="G65" s="40" t="s">
        <v>11</v>
      </c>
      <c r="H65" s="131"/>
      <c r="I65" s="131"/>
      <c r="J65" s="131"/>
      <c r="K65" s="131"/>
      <c r="L65" s="131"/>
      <c r="M65" s="131"/>
      <c r="N65" s="131"/>
      <c r="O65" s="131"/>
      <c r="P65" s="82"/>
      <c r="Q65" s="131"/>
      <c r="R65" s="131"/>
      <c r="S65" s="131"/>
      <c r="T65" s="131"/>
      <c r="U65" s="131"/>
      <c r="V65" s="433"/>
      <c r="W65" s="381"/>
      <c r="X65" s="422"/>
      <c r="Y65" s="422"/>
      <c r="Z65" s="422"/>
      <c r="AA65" s="422"/>
      <c r="AB65" s="422"/>
      <c r="AC65" s="422"/>
      <c r="AD65" s="422"/>
      <c r="AE65" s="422"/>
      <c r="AF65" s="434"/>
      <c r="AG65" s="424"/>
      <c r="AH65" s="435"/>
      <c r="AI65" s="435"/>
      <c r="AJ65" s="378"/>
      <c r="AK65" s="379"/>
      <c r="AL65" s="719"/>
      <c r="AM65" s="719" t="s">
        <v>383</v>
      </c>
      <c r="AN65" s="719" t="s">
        <v>383</v>
      </c>
      <c r="AO65" s="719" t="s">
        <v>156</v>
      </c>
      <c r="AP65" s="713" t="s">
        <v>459</v>
      </c>
    </row>
    <row r="66" spans="1:42" s="5" customFormat="1" ht="33" customHeight="1" x14ac:dyDescent="0.25">
      <c r="A66" s="708"/>
      <c r="B66" s="722"/>
      <c r="C66" s="741"/>
      <c r="D66" s="716"/>
      <c r="E66" s="716"/>
      <c r="F66" s="716"/>
      <c r="G66" s="40" t="s">
        <v>12</v>
      </c>
      <c r="H66" s="141"/>
      <c r="I66" s="141"/>
      <c r="J66" s="141"/>
      <c r="K66" s="141"/>
      <c r="L66" s="141">
        <v>24543210</v>
      </c>
      <c r="M66" s="141">
        <v>24543210</v>
      </c>
      <c r="N66" s="141">
        <v>24543210</v>
      </c>
      <c r="O66" s="141">
        <v>24543210</v>
      </c>
      <c r="P66" s="81">
        <v>24543210</v>
      </c>
      <c r="Q66" s="81">
        <v>473939296</v>
      </c>
      <c r="R66" s="81">
        <v>473939296</v>
      </c>
      <c r="S66" s="81">
        <v>473939296</v>
      </c>
      <c r="T66" s="81">
        <v>473939296</v>
      </c>
      <c r="U66" s="141">
        <v>402019593</v>
      </c>
      <c r="V66" s="436">
        <v>639424723.33333302</v>
      </c>
      <c r="W66" s="648">
        <v>639424723.33333302</v>
      </c>
      <c r="X66" s="425"/>
      <c r="Y66" s="425"/>
      <c r="Z66" s="425"/>
      <c r="AA66" s="425"/>
      <c r="AB66" s="425"/>
      <c r="AC66" s="425"/>
      <c r="AD66" s="425"/>
      <c r="AE66" s="425"/>
      <c r="AF66" s="398">
        <v>59899494</v>
      </c>
      <c r="AG66" s="395">
        <v>176484497.33333331</v>
      </c>
      <c r="AH66" s="395"/>
      <c r="AI66" s="395"/>
      <c r="AJ66" s="378"/>
      <c r="AK66" s="379"/>
      <c r="AL66" s="719"/>
      <c r="AM66" s="719" t="s">
        <v>383</v>
      </c>
      <c r="AN66" s="719" t="s">
        <v>383</v>
      </c>
      <c r="AO66" s="719" t="s">
        <v>156</v>
      </c>
      <c r="AP66" s="713" t="s">
        <v>459</v>
      </c>
    </row>
    <row r="67" spans="1:42" s="5" customFormat="1" ht="36" customHeight="1" x14ac:dyDescent="0.25">
      <c r="A67" s="708"/>
      <c r="B67" s="722"/>
      <c r="C67" s="741"/>
      <c r="D67" s="716"/>
      <c r="E67" s="716"/>
      <c r="F67" s="716"/>
      <c r="G67" s="40" t="s">
        <v>13</v>
      </c>
      <c r="H67" s="134">
        <f>+H63</f>
        <v>520</v>
      </c>
      <c r="I67" s="134"/>
      <c r="J67" s="134">
        <v>120</v>
      </c>
      <c r="K67" s="134">
        <f>+K63</f>
        <v>114</v>
      </c>
      <c r="L67" s="149">
        <f>+L63</f>
        <v>218.97</v>
      </c>
      <c r="M67" s="149" t="str">
        <f>+M63</f>
        <v>218.97</v>
      </c>
      <c r="N67" s="149" t="str">
        <f>+N63</f>
        <v>218.97</v>
      </c>
      <c r="O67" s="149" t="str">
        <f>+O63</f>
        <v>218.97</v>
      </c>
      <c r="P67" s="160">
        <f>+P63+P65</f>
        <v>218.97</v>
      </c>
      <c r="Q67" s="134">
        <f>+Q63</f>
        <v>250</v>
      </c>
      <c r="R67" s="134">
        <f>+R63</f>
        <v>250</v>
      </c>
      <c r="S67" s="134">
        <v>250</v>
      </c>
      <c r="T67" s="134">
        <v>252.14</v>
      </c>
      <c r="U67" s="134">
        <v>254.9</v>
      </c>
      <c r="V67" s="393">
        <f t="shared" ref="V67" si="17">+V63</f>
        <v>466.9</v>
      </c>
      <c r="W67" s="426">
        <v>272.89999999999998</v>
      </c>
      <c r="X67" s="426"/>
      <c r="Y67" s="426"/>
      <c r="Z67" s="426"/>
      <c r="AA67" s="426">
        <v>520</v>
      </c>
      <c r="AB67" s="426"/>
      <c r="AC67" s="426"/>
      <c r="AD67" s="426"/>
      <c r="AE67" s="426"/>
      <c r="AF67" s="432">
        <f>+AF63+AF65</f>
        <v>254.9</v>
      </c>
      <c r="AG67" s="424">
        <v>258.58999999999997</v>
      </c>
      <c r="AH67" s="424"/>
      <c r="AI67" s="424"/>
      <c r="AJ67" s="378"/>
      <c r="AK67" s="379"/>
      <c r="AL67" s="719"/>
      <c r="AM67" s="719" t="s">
        <v>383</v>
      </c>
      <c r="AN67" s="719" t="s">
        <v>383</v>
      </c>
      <c r="AO67" s="719" t="s">
        <v>156</v>
      </c>
      <c r="AP67" s="713" t="s">
        <v>459</v>
      </c>
    </row>
    <row r="68" spans="1:42" s="5" customFormat="1" ht="49.5" customHeight="1" thickBot="1" x14ac:dyDescent="0.3">
      <c r="A68" s="708"/>
      <c r="B68" s="723"/>
      <c r="C68" s="742"/>
      <c r="D68" s="717"/>
      <c r="E68" s="717"/>
      <c r="F68" s="717"/>
      <c r="G68" s="41" t="s">
        <v>14</v>
      </c>
      <c r="H68" s="135">
        <f>+H64</f>
        <v>3495387829</v>
      </c>
      <c r="I68" s="135"/>
      <c r="J68" s="135">
        <v>21900000</v>
      </c>
      <c r="K68" s="135">
        <f>+K64</f>
        <v>100666667</v>
      </c>
      <c r="L68" s="135">
        <f>+L64+L66</f>
        <v>1159384480</v>
      </c>
      <c r="M68" s="135">
        <f>+M64+M66</f>
        <v>1159384480</v>
      </c>
      <c r="N68" s="135">
        <f>+N64+N66</f>
        <v>1159384480</v>
      </c>
      <c r="O68" s="135">
        <f>+O64+O66</f>
        <v>1159384480</v>
      </c>
      <c r="P68" s="145">
        <f>+P64+P66</f>
        <v>992707372</v>
      </c>
      <c r="Q68" s="135">
        <f>+Q64+Q66</f>
        <v>1508964296</v>
      </c>
      <c r="R68" s="135">
        <f>+R64+R66</f>
        <v>1508964296</v>
      </c>
      <c r="S68" s="135">
        <v>1549435629</v>
      </c>
      <c r="T68" s="135">
        <v>1543342629</v>
      </c>
      <c r="U68" s="135">
        <v>1439519593</v>
      </c>
      <c r="V68" s="420">
        <f t="shared" ref="V68" si="18">+V64+V66</f>
        <v>1545003723.333333</v>
      </c>
      <c r="W68" s="429">
        <v>1539382999.333333</v>
      </c>
      <c r="X68" s="429"/>
      <c r="Y68" s="429"/>
      <c r="Z68" s="429"/>
      <c r="AA68" s="429">
        <v>483478000</v>
      </c>
      <c r="AB68" s="429"/>
      <c r="AC68" s="429"/>
      <c r="AD68" s="429"/>
      <c r="AE68" s="429"/>
      <c r="AF68" s="397">
        <f>+AF64+AF66</f>
        <v>384467944</v>
      </c>
      <c r="AG68" s="387">
        <v>708247747.33333325</v>
      </c>
      <c r="AH68" s="387"/>
      <c r="AI68" s="387"/>
      <c r="AJ68" s="388"/>
      <c r="AK68" s="389"/>
      <c r="AL68" s="720"/>
      <c r="AM68" s="720" t="s">
        <v>383</v>
      </c>
      <c r="AN68" s="720" t="s">
        <v>383</v>
      </c>
      <c r="AO68" s="720" t="s">
        <v>156</v>
      </c>
      <c r="AP68" s="714" t="s">
        <v>459</v>
      </c>
    </row>
    <row r="69" spans="1:42" s="5" customFormat="1" ht="63.75" customHeight="1" thickBot="1" x14ac:dyDescent="0.3">
      <c r="A69" s="708"/>
      <c r="B69" s="749">
        <v>11</v>
      </c>
      <c r="C69" s="748" t="s">
        <v>171</v>
      </c>
      <c r="D69" s="715" t="s">
        <v>123</v>
      </c>
      <c r="E69" s="715">
        <v>311</v>
      </c>
      <c r="F69" s="715">
        <v>182</v>
      </c>
      <c r="G69" s="39" t="s">
        <v>9</v>
      </c>
      <c r="H69" s="125">
        <v>5</v>
      </c>
      <c r="I69" s="125"/>
      <c r="J69" s="125">
        <v>3</v>
      </c>
      <c r="K69" s="125">
        <v>3</v>
      </c>
      <c r="L69" s="60">
        <v>3.5</v>
      </c>
      <c r="M69" s="60" t="s">
        <v>189</v>
      </c>
      <c r="N69" s="60" t="s">
        <v>189</v>
      </c>
      <c r="O69" s="60" t="s">
        <v>189</v>
      </c>
      <c r="P69" s="158">
        <v>3.5</v>
      </c>
      <c r="Q69" s="125">
        <v>4</v>
      </c>
      <c r="R69" s="125">
        <v>4</v>
      </c>
      <c r="S69" s="125">
        <v>4</v>
      </c>
      <c r="T69" s="125">
        <v>4</v>
      </c>
      <c r="U69" s="125">
        <v>4</v>
      </c>
      <c r="V69" s="374">
        <v>4.5</v>
      </c>
      <c r="W69" s="126">
        <v>4.5</v>
      </c>
      <c r="X69" s="126"/>
      <c r="Y69" s="126"/>
      <c r="Z69" s="139"/>
      <c r="AA69" s="139">
        <v>5</v>
      </c>
      <c r="AB69" s="139"/>
      <c r="AC69" s="139"/>
      <c r="AD69" s="139"/>
      <c r="AE69" s="139"/>
      <c r="AF69" s="374">
        <v>4</v>
      </c>
      <c r="AG69" s="444">
        <v>4</v>
      </c>
      <c r="AH69" s="171"/>
      <c r="AI69" s="171"/>
      <c r="AJ69" s="59">
        <f>AF69/V69</f>
        <v>0.88888888888888884</v>
      </c>
      <c r="AK69" s="367"/>
      <c r="AL69" s="730" t="s">
        <v>557</v>
      </c>
      <c r="AM69" s="718" t="s">
        <v>474</v>
      </c>
      <c r="AN69" s="718" t="s">
        <v>475</v>
      </c>
      <c r="AO69" s="718" t="s">
        <v>476</v>
      </c>
      <c r="AP69" s="712" t="s">
        <v>477</v>
      </c>
    </row>
    <row r="70" spans="1:42" s="5" customFormat="1" ht="66.75" customHeight="1" x14ac:dyDescent="0.25">
      <c r="A70" s="708"/>
      <c r="B70" s="750"/>
      <c r="C70" s="741"/>
      <c r="D70" s="716"/>
      <c r="E70" s="716"/>
      <c r="F70" s="716"/>
      <c r="G70" s="40" t="s">
        <v>10</v>
      </c>
      <c r="H70" s="127">
        <f>K70+P70+U70+V70+AA70</f>
        <v>12249584482</v>
      </c>
      <c r="I70" s="127"/>
      <c r="J70" s="127">
        <v>475946271</v>
      </c>
      <c r="K70" s="127">
        <v>86185680</v>
      </c>
      <c r="L70" s="127">
        <v>3679449742</v>
      </c>
      <c r="M70" s="127">
        <v>3679449742</v>
      </c>
      <c r="N70" s="127">
        <v>3679449742</v>
      </c>
      <c r="O70" s="127">
        <v>3679449742</v>
      </c>
      <c r="P70" s="81">
        <v>3372253485</v>
      </c>
      <c r="Q70" s="127">
        <v>3156651000</v>
      </c>
      <c r="R70" s="127">
        <v>3156651000</v>
      </c>
      <c r="S70" s="127">
        <v>2800062493</v>
      </c>
      <c r="T70" s="127">
        <v>2770922493</v>
      </c>
      <c r="U70" s="127">
        <v>2444562317</v>
      </c>
      <c r="V70" s="403">
        <v>2532714000</v>
      </c>
      <c r="W70" s="371">
        <v>2470571076</v>
      </c>
      <c r="X70" s="371"/>
      <c r="Y70" s="371"/>
      <c r="Z70" s="371"/>
      <c r="AA70" s="371">
        <v>3813869000</v>
      </c>
      <c r="AB70" s="371"/>
      <c r="AC70" s="371"/>
      <c r="AD70" s="371"/>
      <c r="AE70" s="371"/>
      <c r="AF70" s="418">
        <v>771225374</v>
      </c>
      <c r="AG70" s="172">
        <v>2141105944</v>
      </c>
      <c r="AH70" s="172"/>
      <c r="AI70" s="172"/>
      <c r="AJ70" s="59">
        <f>AF70/V70</f>
        <v>0.30450551226865724</v>
      </c>
      <c r="AK70" s="368">
        <v>0.50280000000000002</v>
      </c>
      <c r="AL70" s="731"/>
      <c r="AM70" s="719"/>
      <c r="AN70" s="719"/>
      <c r="AO70" s="719"/>
      <c r="AP70" s="713"/>
    </row>
    <row r="71" spans="1:42" s="5" customFormat="1" ht="53.25" customHeight="1" x14ac:dyDescent="0.25">
      <c r="A71" s="708"/>
      <c r="B71" s="750"/>
      <c r="C71" s="741"/>
      <c r="D71" s="716"/>
      <c r="E71" s="716"/>
      <c r="F71" s="716"/>
      <c r="G71" s="40" t="s">
        <v>11</v>
      </c>
      <c r="H71" s="131"/>
      <c r="I71" s="131"/>
      <c r="J71" s="131"/>
      <c r="K71" s="131"/>
      <c r="L71" s="131"/>
      <c r="M71" s="131"/>
      <c r="N71" s="131"/>
      <c r="O71" s="131"/>
      <c r="P71" s="163"/>
      <c r="Q71" s="131"/>
      <c r="R71" s="131"/>
      <c r="S71" s="131"/>
      <c r="T71" s="131"/>
      <c r="U71" s="131"/>
      <c r="V71" s="407"/>
      <c r="W71" s="370"/>
      <c r="X71" s="406"/>
      <c r="Y71" s="406"/>
      <c r="Z71" s="406"/>
      <c r="AA71" s="406"/>
      <c r="AB71" s="406"/>
      <c r="AC71" s="406"/>
      <c r="AD71" s="406"/>
      <c r="AE71" s="406"/>
      <c r="AF71" s="423"/>
      <c r="AG71" s="173"/>
      <c r="AH71" s="450"/>
      <c r="AI71" s="450"/>
      <c r="AJ71" s="130"/>
      <c r="AK71" s="368"/>
      <c r="AL71" s="731"/>
      <c r="AM71" s="719"/>
      <c r="AN71" s="719"/>
      <c r="AO71" s="719"/>
      <c r="AP71" s="713"/>
    </row>
    <row r="72" spans="1:42" s="5" customFormat="1" ht="62.25" customHeight="1" x14ac:dyDescent="0.25">
      <c r="A72" s="708"/>
      <c r="B72" s="750"/>
      <c r="C72" s="741"/>
      <c r="D72" s="716"/>
      <c r="E72" s="716"/>
      <c r="F72" s="716"/>
      <c r="G72" s="40" t="s">
        <v>12</v>
      </c>
      <c r="H72" s="148"/>
      <c r="I72" s="131"/>
      <c r="J72" s="131"/>
      <c r="K72" s="131"/>
      <c r="L72" s="148">
        <v>88683455</v>
      </c>
      <c r="M72" s="148">
        <v>88683455</v>
      </c>
      <c r="N72" s="148">
        <v>88683455</v>
      </c>
      <c r="O72" s="148">
        <v>88683455</v>
      </c>
      <c r="P72" s="81">
        <f>91030817-2347362</f>
        <v>88683455</v>
      </c>
      <c r="Q72" s="81">
        <v>603665463</v>
      </c>
      <c r="R72" s="81">
        <v>603665463</v>
      </c>
      <c r="S72" s="81">
        <v>603665463</v>
      </c>
      <c r="T72" s="81">
        <v>603665463</v>
      </c>
      <c r="U72" s="131">
        <v>387056742</v>
      </c>
      <c r="V72" s="403">
        <v>1129337944</v>
      </c>
      <c r="W72" s="370">
        <v>1129337944</v>
      </c>
      <c r="X72" s="406"/>
      <c r="Y72" s="406"/>
      <c r="Z72" s="406"/>
      <c r="AA72" s="406"/>
      <c r="AB72" s="406"/>
      <c r="AC72" s="406"/>
      <c r="AD72" s="406"/>
      <c r="AE72" s="406"/>
      <c r="AF72" s="451">
        <v>362691256</v>
      </c>
      <c r="AG72" s="172">
        <v>588605688</v>
      </c>
      <c r="AH72" s="172"/>
      <c r="AI72" s="172"/>
      <c r="AJ72" s="130"/>
      <c r="AK72" s="368"/>
      <c r="AL72" s="731"/>
      <c r="AM72" s="719"/>
      <c r="AN72" s="719"/>
      <c r="AO72" s="719"/>
      <c r="AP72" s="713"/>
    </row>
    <row r="73" spans="1:42" s="5" customFormat="1" ht="54.75" customHeight="1" x14ac:dyDescent="0.25">
      <c r="A73" s="708"/>
      <c r="B73" s="750"/>
      <c r="C73" s="741"/>
      <c r="D73" s="716"/>
      <c r="E73" s="716"/>
      <c r="F73" s="716"/>
      <c r="G73" s="40" t="s">
        <v>13</v>
      </c>
      <c r="H73" s="134">
        <f>+H69</f>
        <v>5</v>
      </c>
      <c r="I73" s="134"/>
      <c r="J73" s="143">
        <v>3</v>
      </c>
      <c r="K73" s="134">
        <f>+K69</f>
        <v>3</v>
      </c>
      <c r="L73" s="149">
        <f>+L69</f>
        <v>3.5</v>
      </c>
      <c r="M73" s="134" t="str">
        <f>+M69</f>
        <v>3.5</v>
      </c>
      <c r="N73" s="134" t="str">
        <f>+N69</f>
        <v>3.5</v>
      </c>
      <c r="O73" s="134" t="str">
        <f>+O69</f>
        <v>3.5</v>
      </c>
      <c r="P73" s="161">
        <f>+P69+P71</f>
        <v>3.5</v>
      </c>
      <c r="Q73" s="134">
        <f>+Q69</f>
        <v>4</v>
      </c>
      <c r="R73" s="134">
        <f>+R69</f>
        <v>4</v>
      </c>
      <c r="S73" s="134">
        <v>4</v>
      </c>
      <c r="T73" s="134">
        <v>4</v>
      </c>
      <c r="U73" s="134">
        <v>4</v>
      </c>
      <c r="V73" s="393">
        <f>+V69</f>
        <v>4.5</v>
      </c>
      <c r="W73" s="409">
        <v>4.5</v>
      </c>
      <c r="X73" s="409"/>
      <c r="Y73" s="409"/>
      <c r="Z73" s="409"/>
      <c r="AA73" s="409">
        <v>5</v>
      </c>
      <c r="AB73" s="409"/>
      <c r="AC73" s="409"/>
      <c r="AD73" s="409"/>
      <c r="AE73" s="409"/>
      <c r="AF73" s="419">
        <f>+AF69+AF71</f>
        <v>4</v>
      </c>
      <c r="AG73" s="173">
        <v>4</v>
      </c>
      <c r="AH73" s="174"/>
      <c r="AI73" s="174"/>
      <c r="AJ73" s="130"/>
      <c r="AK73" s="368"/>
      <c r="AL73" s="731"/>
      <c r="AM73" s="719"/>
      <c r="AN73" s="719"/>
      <c r="AO73" s="719"/>
      <c r="AP73" s="713"/>
    </row>
    <row r="74" spans="1:42" s="5" customFormat="1" ht="63.75" customHeight="1" thickBot="1" x14ac:dyDescent="0.3">
      <c r="A74" s="708"/>
      <c r="B74" s="751"/>
      <c r="C74" s="742"/>
      <c r="D74" s="717"/>
      <c r="E74" s="717"/>
      <c r="F74" s="717"/>
      <c r="G74" s="41" t="s">
        <v>14</v>
      </c>
      <c r="H74" s="135">
        <f>+H70</f>
        <v>12249584482</v>
      </c>
      <c r="I74" s="135"/>
      <c r="J74" s="137">
        <v>476000000</v>
      </c>
      <c r="K74" s="135">
        <f>+K70</f>
        <v>86185680</v>
      </c>
      <c r="L74" s="135">
        <f>+L70+L72</f>
        <v>3768133197</v>
      </c>
      <c r="M74" s="135">
        <f>+M70+M72</f>
        <v>3768133197</v>
      </c>
      <c r="N74" s="135">
        <f>+N70+N72</f>
        <v>3768133197</v>
      </c>
      <c r="O74" s="135">
        <f>+O70+O72</f>
        <v>3768133197</v>
      </c>
      <c r="P74" s="145">
        <f>+P70+P72</f>
        <v>3460936940</v>
      </c>
      <c r="Q74" s="135">
        <f>+Q70+Q72</f>
        <v>3760316463</v>
      </c>
      <c r="R74" s="135">
        <f>+R70+R72</f>
        <v>3760316463</v>
      </c>
      <c r="S74" s="135">
        <v>3760316463</v>
      </c>
      <c r="T74" s="135">
        <v>3374587956</v>
      </c>
      <c r="U74" s="135">
        <v>2831619059</v>
      </c>
      <c r="V74" s="420">
        <f>+V70+V72</f>
        <v>3662051944</v>
      </c>
      <c r="W74" s="411">
        <v>3599909020</v>
      </c>
      <c r="X74" s="411"/>
      <c r="Y74" s="411"/>
      <c r="Z74" s="411"/>
      <c r="AA74" s="411">
        <v>3813869000</v>
      </c>
      <c r="AB74" s="411"/>
      <c r="AC74" s="411"/>
      <c r="AD74" s="411"/>
      <c r="AE74" s="411"/>
      <c r="AF74" s="391">
        <f>AF72+AF70</f>
        <v>1133916630</v>
      </c>
      <c r="AG74" s="136">
        <v>2729711632</v>
      </c>
      <c r="AH74" s="136"/>
      <c r="AI74" s="136"/>
      <c r="AJ74" s="138"/>
      <c r="AK74" s="373"/>
      <c r="AL74" s="732"/>
      <c r="AM74" s="720"/>
      <c r="AN74" s="720"/>
      <c r="AO74" s="720"/>
      <c r="AP74" s="714"/>
    </row>
    <row r="75" spans="1:42" s="5" customFormat="1" ht="45" customHeight="1" x14ac:dyDescent="0.25">
      <c r="A75" s="708"/>
      <c r="B75" s="721">
        <v>12</v>
      </c>
      <c r="C75" s="748" t="s">
        <v>172</v>
      </c>
      <c r="D75" s="715" t="s">
        <v>123</v>
      </c>
      <c r="E75" s="715">
        <v>305</v>
      </c>
      <c r="F75" s="715">
        <v>180</v>
      </c>
      <c r="G75" s="39" t="s">
        <v>9</v>
      </c>
      <c r="H75" s="125">
        <v>2</v>
      </c>
      <c r="I75" s="125"/>
      <c r="J75" s="60">
        <v>0.2</v>
      </c>
      <c r="K75" s="60">
        <v>0.2</v>
      </c>
      <c r="L75" s="60">
        <v>0.8</v>
      </c>
      <c r="M75" s="60" t="s">
        <v>190</v>
      </c>
      <c r="N75" s="60" t="s">
        <v>190</v>
      </c>
      <c r="O75" s="60" t="s">
        <v>190</v>
      </c>
      <c r="P75" s="48">
        <v>0.8</v>
      </c>
      <c r="Q75" s="60">
        <v>1.4</v>
      </c>
      <c r="R75" s="60">
        <v>1.4</v>
      </c>
      <c r="S75" s="60">
        <v>1.4</v>
      </c>
      <c r="T75" s="60">
        <v>1.4</v>
      </c>
      <c r="U75" s="125">
        <v>1.4</v>
      </c>
      <c r="V75" s="336">
        <v>1.9</v>
      </c>
      <c r="W75" s="60">
        <v>1.9</v>
      </c>
      <c r="X75" s="60"/>
      <c r="Y75" s="60"/>
      <c r="Z75" s="125"/>
      <c r="AA75" s="125">
        <v>2</v>
      </c>
      <c r="AB75" s="125"/>
      <c r="AC75" s="125"/>
      <c r="AD75" s="125"/>
      <c r="AE75" s="139"/>
      <c r="AF75" s="374">
        <f>1.4+((0.5/12)*3)</f>
        <v>1.5249999999999999</v>
      </c>
      <c r="AG75" s="48">
        <v>1.65</v>
      </c>
      <c r="AH75" s="48"/>
      <c r="AI75" s="48"/>
      <c r="AJ75" s="75">
        <f>AG75/W75</f>
        <v>0.86842105263157898</v>
      </c>
      <c r="AK75" s="29"/>
      <c r="AL75" s="718" t="s">
        <v>535</v>
      </c>
      <c r="AM75" s="718" t="s">
        <v>383</v>
      </c>
      <c r="AN75" s="718" t="s">
        <v>383</v>
      </c>
      <c r="AO75" s="718" t="s">
        <v>463</v>
      </c>
      <c r="AP75" s="712" t="s">
        <v>536</v>
      </c>
    </row>
    <row r="76" spans="1:42" s="5" customFormat="1" ht="36" customHeight="1" x14ac:dyDescent="0.25">
      <c r="A76" s="708"/>
      <c r="B76" s="722"/>
      <c r="C76" s="741"/>
      <c r="D76" s="716"/>
      <c r="E76" s="716"/>
      <c r="F76" s="716"/>
      <c r="G76" s="40" t="s">
        <v>10</v>
      </c>
      <c r="H76" s="127">
        <f>K76+P76+U76+V76+AA76</f>
        <v>554892693</v>
      </c>
      <c r="I76" s="127"/>
      <c r="J76" s="127">
        <v>41010000</v>
      </c>
      <c r="K76" s="127">
        <v>39884387</v>
      </c>
      <c r="L76" s="127">
        <v>191740000</v>
      </c>
      <c r="M76" s="127">
        <v>191740000</v>
      </c>
      <c r="N76" s="127">
        <v>191740000</v>
      </c>
      <c r="O76" s="127">
        <v>191740000</v>
      </c>
      <c r="P76" s="81">
        <v>171253306</v>
      </c>
      <c r="Q76" s="127">
        <v>56350000</v>
      </c>
      <c r="R76" s="127">
        <v>56350000</v>
      </c>
      <c r="S76" s="127">
        <v>56350000</v>
      </c>
      <c r="T76" s="127">
        <v>51150000</v>
      </c>
      <c r="U76" s="127">
        <v>34300000</v>
      </c>
      <c r="V76" s="341">
        <v>68455000</v>
      </c>
      <c r="W76" s="127">
        <v>68455000</v>
      </c>
      <c r="X76" s="127"/>
      <c r="Y76" s="127"/>
      <c r="Z76" s="127"/>
      <c r="AA76" s="127">
        <v>241000000</v>
      </c>
      <c r="AB76" s="127"/>
      <c r="AC76" s="127"/>
      <c r="AD76" s="127"/>
      <c r="AE76" s="371"/>
      <c r="AF76" s="377">
        <v>68374833</v>
      </c>
      <c r="AG76" s="81">
        <v>68374833</v>
      </c>
      <c r="AH76" s="81"/>
      <c r="AI76" s="81"/>
      <c r="AJ76" s="75">
        <f>AG76/W76</f>
        <v>0.99882890950259295</v>
      </c>
      <c r="AK76" s="26">
        <v>0.52890000000000004</v>
      </c>
      <c r="AL76" s="719"/>
      <c r="AM76" s="719" t="s">
        <v>383</v>
      </c>
      <c r="AN76" s="719" t="s">
        <v>383</v>
      </c>
      <c r="AO76" s="719" t="s">
        <v>463</v>
      </c>
      <c r="AP76" s="713" t="s">
        <v>582</v>
      </c>
    </row>
    <row r="77" spans="1:42" s="5" customFormat="1" ht="40.5" customHeight="1" x14ac:dyDescent="0.25">
      <c r="A77" s="708"/>
      <c r="B77" s="722"/>
      <c r="C77" s="741"/>
      <c r="D77" s="716"/>
      <c r="E77" s="716"/>
      <c r="F77" s="716"/>
      <c r="G77" s="40" t="s">
        <v>11</v>
      </c>
      <c r="H77" s="131"/>
      <c r="I77" s="131"/>
      <c r="J77" s="131"/>
      <c r="K77" s="131"/>
      <c r="L77" s="131"/>
      <c r="M77" s="131"/>
      <c r="N77" s="131"/>
      <c r="O77" s="131"/>
      <c r="P77" s="160"/>
      <c r="Q77" s="131"/>
      <c r="R77" s="131"/>
      <c r="S77" s="131"/>
      <c r="T77" s="131"/>
      <c r="U77" s="131"/>
      <c r="V77" s="341"/>
      <c r="W77" s="49"/>
      <c r="X77" s="131"/>
      <c r="Y77" s="131"/>
      <c r="Z77" s="131"/>
      <c r="AA77" s="131"/>
      <c r="AB77" s="131"/>
      <c r="AC77" s="131"/>
      <c r="AD77" s="131"/>
      <c r="AE77" s="406"/>
      <c r="AF77" s="423"/>
      <c r="AG77" s="160"/>
      <c r="AH77" s="160"/>
      <c r="AI77" s="160"/>
      <c r="AJ77" s="75"/>
      <c r="AK77" s="26"/>
      <c r="AL77" s="719"/>
      <c r="AM77" s="719" t="s">
        <v>383</v>
      </c>
      <c r="AN77" s="719" t="s">
        <v>383</v>
      </c>
      <c r="AO77" s="719" t="s">
        <v>463</v>
      </c>
      <c r="AP77" s="713" t="s">
        <v>582</v>
      </c>
    </row>
    <row r="78" spans="1:42" s="5" customFormat="1" ht="33" customHeight="1" x14ac:dyDescent="0.25">
      <c r="A78" s="708"/>
      <c r="B78" s="722"/>
      <c r="C78" s="741"/>
      <c r="D78" s="716"/>
      <c r="E78" s="716"/>
      <c r="F78" s="716"/>
      <c r="G78" s="40" t="s">
        <v>12</v>
      </c>
      <c r="H78" s="141"/>
      <c r="I78" s="141"/>
      <c r="J78" s="141"/>
      <c r="K78" s="141"/>
      <c r="L78" s="141">
        <v>9212720</v>
      </c>
      <c r="M78" s="141">
        <v>9212720</v>
      </c>
      <c r="N78" s="141">
        <v>9212720</v>
      </c>
      <c r="O78" s="141">
        <v>9212720</v>
      </c>
      <c r="P78" s="81">
        <v>9212720</v>
      </c>
      <c r="Q78" s="81">
        <v>103361124</v>
      </c>
      <c r="R78" s="81">
        <v>103361124</v>
      </c>
      <c r="S78" s="81">
        <v>103361124</v>
      </c>
      <c r="T78" s="81">
        <v>103361124</v>
      </c>
      <c r="U78" s="141">
        <v>93662012</v>
      </c>
      <c r="V78" s="341">
        <v>2940000</v>
      </c>
      <c r="W78" s="646">
        <v>2940000</v>
      </c>
      <c r="X78" s="141"/>
      <c r="Y78" s="141"/>
      <c r="Z78" s="141"/>
      <c r="AA78" s="141"/>
      <c r="AB78" s="141"/>
      <c r="AC78" s="141"/>
      <c r="AD78" s="141"/>
      <c r="AE78" s="408"/>
      <c r="AF78" s="418">
        <v>2940000</v>
      </c>
      <c r="AG78" s="81">
        <v>2940000</v>
      </c>
      <c r="AH78" s="81"/>
      <c r="AI78" s="81"/>
      <c r="AJ78" s="75"/>
      <c r="AK78" s="26"/>
      <c r="AL78" s="719"/>
      <c r="AM78" s="719" t="s">
        <v>383</v>
      </c>
      <c r="AN78" s="719" t="s">
        <v>383</v>
      </c>
      <c r="AO78" s="719" t="s">
        <v>463</v>
      </c>
      <c r="AP78" s="713" t="s">
        <v>582</v>
      </c>
    </row>
    <row r="79" spans="1:42" s="5" customFormat="1" ht="36" customHeight="1" x14ac:dyDescent="0.25">
      <c r="A79" s="708"/>
      <c r="B79" s="722"/>
      <c r="C79" s="741"/>
      <c r="D79" s="716"/>
      <c r="E79" s="716"/>
      <c r="F79" s="716"/>
      <c r="G79" s="40" t="s">
        <v>13</v>
      </c>
      <c r="H79" s="134">
        <f>+H75</f>
        <v>2</v>
      </c>
      <c r="I79" s="134"/>
      <c r="J79" s="164">
        <v>0.2</v>
      </c>
      <c r="K79" s="149">
        <f t="shared" ref="K79:P79" si="19">+K75</f>
        <v>0.2</v>
      </c>
      <c r="L79" s="149">
        <f t="shared" si="19"/>
        <v>0.8</v>
      </c>
      <c r="M79" s="149" t="str">
        <f t="shared" si="19"/>
        <v>0.8</v>
      </c>
      <c r="N79" s="149" t="str">
        <f t="shared" si="19"/>
        <v>0.8</v>
      </c>
      <c r="O79" s="149" t="str">
        <f t="shared" si="19"/>
        <v>0.8</v>
      </c>
      <c r="P79" s="160">
        <f t="shared" si="19"/>
        <v>0.8</v>
      </c>
      <c r="Q79" s="149">
        <f>+Q75</f>
        <v>1.4</v>
      </c>
      <c r="R79" s="149">
        <f>+R75</f>
        <v>1.4</v>
      </c>
      <c r="S79" s="149">
        <v>1.4</v>
      </c>
      <c r="T79" s="149">
        <v>1.4</v>
      </c>
      <c r="U79" s="134">
        <v>1.4</v>
      </c>
      <c r="V79" s="341">
        <f t="shared" ref="V79" si="20">+V75</f>
        <v>1.9</v>
      </c>
      <c r="W79" s="149">
        <v>1.9</v>
      </c>
      <c r="X79" s="149"/>
      <c r="Y79" s="149"/>
      <c r="Z79" s="134"/>
      <c r="AA79" s="134">
        <v>0</v>
      </c>
      <c r="AB79" s="134"/>
      <c r="AC79" s="134"/>
      <c r="AD79" s="134"/>
      <c r="AE79" s="409"/>
      <c r="AF79" s="419">
        <f>+AF75+AF77</f>
        <v>1.5249999999999999</v>
      </c>
      <c r="AG79" s="160">
        <v>1.65</v>
      </c>
      <c r="AH79" s="160"/>
      <c r="AI79" s="160"/>
      <c r="AJ79" s="75"/>
      <c r="AK79" s="26"/>
      <c r="AL79" s="719"/>
      <c r="AM79" s="719" t="s">
        <v>383</v>
      </c>
      <c r="AN79" s="719" t="s">
        <v>383</v>
      </c>
      <c r="AO79" s="719" t="s">
        <v>463</v>
      </c>
      <c r="AP79" s="713" t="s">
        <v>582</v>
      </c>
    </row>
    <row r="80" spans="1:42" s="5" customFormat="1" ht="49.5" customHeight="1" thickBot="1" x14ac:dyDescent="0.3">
      <c r="A80" s="708"/>
      <c r="B80" s="723"/>
      <c r="C80" s="742"/>
      <c r="D80" s="717"/>
      <c r="E80" s="717"/>
      <c r="F80" s="717"/>
      <c r="G80" s="41" t="s">
        <v>14</v>
      </c>
      <c r="H80" s="135">
        <f>+H76</f>
        <v>554892693</v>
      </c>
      <c r="I80" s="135"/>
      <c r="J80" s="135">
        <v>41000000</v>
      </c>
      <c r="K80" s="135">
        <f>+K76</f>
        <v>39884387</v>
      </c>
      <c r="L80" s="135">
        <f t="shared" ref="L80:Q80" si="21">+L76+L78</f>
        <v>200952720</v>
      </c>
      <c r="M80" s="135">
        <f t="shared" si="21"/>
        <v>200952720</v>
      </c>
      <c r="N80" s="135">
        <f t="shared" si="21"/>
        <v>200952720</v>
      </c>
      <c r="O80" s="135">
        <f t="shared" si="21"/>
        <v>200952720</v>
      </c>
      <c r="P80" s="145">
        <f t="shared" si="21"/>
        <v>180466026</v>
      </c>
      <c r="Q80" s="135">
        <f t="shared" si="21"/>
        <v>159711124</v>
      </c>
      <c r="R80" s="135">
        <f>+R76+R78</f>
        <v>159711124</v>
      </c>
      <c r="S80" s="135">
        <v>159711124</v>
      </c>
      <c r="T80" s="135">
        <v>154511124</v>
      </c>
      <c r="U80" s="135">
        <v>127962012</v>
      </c>
      <c r="V80" s="345">
        <f>+V76+V78</f>
        <v>71395000</v>
      </c>
      <c r="W80" s="135">
        <v>71395000</v>
      </c>
      <c r="X80" s="135"/>
      <c r="Y80" s="135"/>
      <c r="Z80" s="135"/>
      <c r="AA80" s="135">
        <v>0</v>
      </c>
      <c r="AB80" s="135"/>
      <c r="AC80" s="135"/>
      <c r="AD80" s="135"/>
      <c r="AE80" s="411"/>
      <c r="AF80" s="462">
        <f>AF78+AF76</f>
        <v>71314833</v>
      </c>
      <c r="AG80" s="145">
        <v>71314833</v>
      </c>
      <c r="AH80" s="145"/>
      <c r="AI80" s="145"/>
      <c r="AJ80" s="76"/>
      <c r="AK80" s="58"/>
      <c r="AL80" s="720"/>
      <c r="AM80" s="720" t="s">
        <v>383</v>
      </c>
      <c r="AN80" s="720" t="s">
        <v>383</v>
      </c>
      <c r="AO80" s="720" t="s">
        <v>463</v>
      </c>
      <c r="AP80" s="714" t="s">
        <v>582</v>
      </c>
    </row>
    <row r="81" spans="1:42" s="5" customFormat="1" ht="63.75" customHeight="1" x14ac:dyDescent="0.25">
      <c r="A81" s="708"/>
      <c r="B81" s="749">
        <v>13</v>
      </c>
      <c r="C81" s="748" t="s">
        <v>173</v>
      </c>
      <c r="D81" s="715" t="s">
        <v>123</v>
      </c>
      <c r="E81" s="715">
        <v>311</v>
      </c>
      <c r="F81" s="715">
        <v>182</v>
      </c>
      <c r="G81" s="39" t="s">
        <v>9</v>
      </c>
      <c r="H81" s="125">
        <v>120</v>
      </c>
      <c r="I81" s="125"/>
      <c r="J81" s="125">
        <v>30</v>
      </c>
      <c r="K81" s="125">
        <v>30</v>
      </c>
      <c r="L81" s="146">
        <v>113.22</v>
      </c>
      <c r="M81" s="125" t="s">
        <v>191</v>
      </c>
      <c r="N81" s="125" t="s">
        <v>191</v>
      </c>
      <c r="O81" s="125" t="s">
        <v>191</v>
      </c>
      <c r="P81" s="48">
        <v>113.22</v>
      </c>
      <c r="Q81" s="125">
        <v>115</v>
      </c>
      <c r="R81" s="125">
        <v>115</v>
      </c>
      <c r="S81" s="125">
        <v>115</v>
      </c>
      <c r="T81" s="125">
        <v>115</v>
      </c>
      <c r="U81" s="125">
        <v>115</v>
      </c>
      <c r="V81" s="452">
        <v>118</v>
      </c>
      <c r="W81" s="139">
        <v>130</v>
      </c>
      <c r="X81" s="139"/>
      <c r="Y81" s="139"/>
      <c r="Z81" s="139"/>
      <c r="AA81" s="139">
        <v>120</v>
      </c>
      <c r="AB81" s="139"/>
      <c r="AC81" s="139"/>
      <c r="AD81" s="139"/>
      <c r="AE81" s="139"/>
      <c r="AF81" s="453">
        <v>115</v>
      </c>
      <c r="AG81" s="444">
        <v>120.8</v>
      </c>
      <c r="AH81" s="444"/>
      <c r="AI81" s="444"/>
      <c r="AJ81" s="130">
        <f>AF81/V81</f>
        <v>0.97457627118644063</v>
      </c>
      <c r="AK81" s="367"/>
      <c r="AL81" s="752" t="s">
        <v>583</v>
      </c>
      <c r="AM81" s="718" t="s">
        <v>376</v>
      </c>
      <c r="AN81" s="718" t="s">
        <v>155</v>
      </c>
      <c r="AO81" s="718" t="s">
        <v>412</v>
      </c>
      <c r="AP81" s="712" t="s">
        <v>478</v>
      </c>
    </row>
    <row r="82" spans="1:42" s="5" customFormat="1" ht="66.75" customHeight="1" x14ac:dyDescent="0.25">
      <c r="A82" s="708"/>
      <c r="B82" s="750"/>
      <c r="C82" s="741"/>
      <c r="D82" s="716"/>
      <c r="E82" s="716"/>
      <c r="F82" s="716"/>
      <c r="G82" s="40" t="s">
        <v>10</v>
      </c>
      <c r="H82" s="127">
        <f>K82+P82+U82+V82+AA82</f>
        <v>7311426756</v>
      </c>
      <c r="I82" s="127"/>
      <c r="J82" s="127">
        <v>128035421</v>
      </c>
      <c r="K82" s="127">
        <v>125633380</v>
      </c>
      <c r="L82" s="127">
        <v>1631676547</v>
      </c>
      <c r="M82" s="127">
        <v>1631676547</v>
      </c>
      <c r="N82" s="127">
        <v>1631676547</v>
      </c>
      <c r="O82" s="127">
        <v>1631676547</v>
      </c>
      <c r="P82" s="81">
        <v>1631640000</v>
      </c>
      <c r="Q82" s="127">
        <v>967995000</v>
      </c>
      <c r="R82" s="127">
        <v>967995000</v>
      </c>
      <c r="S82" s="127">
        <v>889340000</v>
      </c>
      <c r="T82" s="127">
        <v>888217376</v>
      </c>
      <c r="U82" s="127">
        <v>879217376</v>
      </c>
      <c r="V82" s="403">
        <v>1196747000</v>
      </c>
      <c r="W82" s="371">
        <v>1196747000</v>
      </c>
      <c r="X82" s="371"/>
      <c r="Y82" s="371"/>
      <c r="Z82" s="371"/>
      <c r="AA82" s="371">
        <v>3478189000</v>
      </c>
      <c r="AB82" s="371"/>
      <c r="AC82" s="371"/>
      <c r="AD82" s="371"/>
      <c r="AE82" s="371"/>
      <c r="AF82" s="418">
        <v>220842300</v>
      </c>
      <c r="AG82" s="172">
        <v>985236300</v>
      </c>
      <c r="AH82" s="172"/>
      <c r="AI82" s="172"/>
      <c r="AJ82" s="130">
        <f>AF82/V82</f>
        <v>0.18453549497095043</v>
      </c>
      <c r="AK82" s="368">
        <v>0.39019999999999999</v>
      </c>
      <c r="AL82" s="753"/>
      <c r="AM82" s="719"/>
      <c r="AN82" s="719"/>
      <c r="AO82" s="719"/>
      <c r="AP82" s="713"/>
    </row>
    <row r="83" spans="1:42" s="5" customFormat="1" ht="53.25" customHeight="1" x14ac:dyDescent="0.25">
      <c r="A83" s="708"/>
      <c r="B83" s="750"/>
      <c r="C83" s="741"/>
      <c r="D83" s="716"/>
      <c r="E83" s="716"/>
      <c r="F83" s="716"/>
      <c r="G83" s="40" t="s">
        <v>11</v>
      </c>
      <c r="H83" s="131"/>
      <c r="I83" s="131"/>
      <c r="J83" s="131"/>
      <c r="K83" s="131"/>
      <c r="L83" s="131"/>
      <c r="M83" s="131"/>
      <c r="N83" s="131"/>
      <c r="O83" s="131"/>
      <c r="P83" s="160"/>
      <c r="Q83" s="131"/>
      <c r="R83" s="131"/>
      <c r="S83" s="131"/>
      <c r="T83" s="131"/>
      <c r="U83" s="131"/>
      <c r="V83" s="407"/>
      <c r="W83" s="370"/>
      <c r="X83" s="406"/>
      <c r="Y83" s="406"/>
      <c r="Z83" s="406"/>
      <c r="AA83" s="406"/>
      <c r="AB83" s="406"/>
      <c r="AC83" s="406"/>
      <c r="AD83" s="406"/>
      <c r="AE83" s="406"/>
      <c r="AF83" s="423"/>
      <c r="AG83" s="173"/>
      <c r="AH83" s="173"/>
      <c r="AI83" s="173"/>
      <c r="AJ83" s="130"/>
      <c r="AK83" s="368"/>
      <c r="AL83" s="753"/>
      <c r="AM83" s="719"/>
      <c r="AN83" s="719"/>
      <c r="AO83" s="719"/>
      <c r="AP83" s="713"/>
    </row>
    <row r="84" spans="1:42" s="5" customFormat="1" ht="62.25" customHeight="1" x14ac:dyDescent="0.25">
      <c r="A84" s="708"/>
      <c r="B84" s="750"/>
      <c r="C84" s="741"/>
      <c r="D84" s="716"/>
      <c r="E84" s="716"/>
      <c r="F84" s="716"/>
      <c r="G84" s="40" t="s">
        <v>12</v>
      </c>
      <c r="H84" s="131"/>
      <c r="I84" s="131"/>
      <c r="J84" s="131"/>
      <c r="K84" s="131"/>
      <c r="L84" s="131"/>
      <c r="M84" s="131"/>
      <c r="N84" s="131"/>
      <c r="O84" s="131"/>
      <c r="P84" s="162"/>
      <c r="Q84" s="152">
        <v>354084734</v>
      </c>
      <c r="R84" s="152">
        <v>354084734</v>
      </c>
      <c r="S84" s="152">
        <v>349021401</v>
      </c>
      <c r="T84" s="152">
        <v>349021401</v>
      </c>
      <c r="U84" s="131">
        <v>237965401</v>
      </c>
      <c r="V84" s="403">
        <v>296633709</v>
      </c>
      <c r="W84" s="370">
        <v>252170467</v>
      </c>
      <c r="X84" s="406"/>
      <c r="Y84" s="406"/>
      <c r="Z84" s="406"/>
      <c r="AA84" s="406"/>
      <c r="AB84" s="406"/>
      <c r="AC84" s="406"/>
      <c r="AD84" s="406"/>
      <c r="AE84" s="406"/>
      <c r="AF84" s="454">
        <v>221174000</v>
      </c>
      <c r="AG84" s="455">
        <v>241848709</v>
      </c>
      <c r="AH84" s="455"/>
      <c r="AI84" s="455"/>
      <c r="AJ84" s="130"/>
      <c r="AK84" s="368"/>
      <c r="AL84" s="753"/>
      <c r="AM84" s="719"/>
      <c r="AN84" s="719"/>
      <c r="AO84" s="719"/>
      <c r="AP84" s="713"/>
    </row>
    <row r="85" spans="1:42" s="5" customFormat="1" ht="54.75" customHeight="1" x14ac:dyDescent="0.25">
      <c r="A85" s="708"/>
      <c r="B85" s="750"/>
      <c r="C85" s="741"/>
      <c r="D85" s="716"/>
      <c r="E85" s="716"/>
      <c r="F85" s="716"/>
      <c r="G85" s="40" t="s">
        <v>13</v>
      </c>
      <c r="H85" s="134">
        <f>+H81</f>
        <v>120</v>
      </c>
      <c r="I85" s="134"/>
      <c r="J85" s="134">
        <f>+J81</f>
        <v>30</v>
      </c>
      <c r="K85" s="134">
        <f t="shared" ref="K85:O86" si="22">+K81</f>
        <v>30</v>
      </c>
      <c r="L85" s="134">
        <f t="shared" si="22"/>
        <v>113.22</v>
      </c>
      <c r="M85" s="134" t="str">
        <f t="shared" si="22"/>
        <v>113.22</v>
      </c>
      <c r="N85" s="134" t="str">
        <f t="shared" si="22"/>
        <v>113.22</v>
      </c>
      <c r="O85" s="134" t="str">
        <f t="shared" si="22"/>
        <v>113.22</v>
      </c>
      <c r="P85" s="160">
        <v>113.22</v>
      </c>
      <c r="Q85" s="134">
        <f>+Q81</f>
        <v>115</v>
      </c>
      <c r="R85" s="134">
        <f>+R81</f>
        <v>115</v>
      </c>
      <c r="S85" s="134">
        <v>115</v>
      </c>
      <c r="T85" s="134">
        <v>115</v>
      </c>
      <c r="U85" s="134">
        <v>115</v>
      </c>
      <c r="V85" s="393">
        <f>+V81</f>
        <v>118</v>
      </c>
      <c r="W85" s="409">
        <v>130</v>
      </c>
      <c r="X85" s="409"/>
      <c r="Y85" s="409"/>
      <c r="Z85" s="409"/>
      <c r="AA85" s="409">
        <v>120</v>
      </c>
      <c r="AB85" s="409"/>
      <c r="AC85" s="409"/>
      <c r="AD85" s="409"/>
      <c r="AE85" s="409"/>
      <c r="AF85" s="419">
        <v>115</v>
      </c>
      <c r="AG85" s="173">
        <v>115</v>
      </c>
      <c r="AH85" s="173"/>
      <c r="AI85" s="173"/>
      <c r="AJ85" s="130"/>
      <c r="AK85" s="368"/>
      <c r="AL85" s="753"/>
      <c r="AM85" s="719"/>
      <c r="AN85" s="719"/>
      <c r="AO85" s="719"/>
      <c r="AP85" s="713"/>
    </row>
    <row r="86" spans="1:42" s="5" customFormat="1" ht="63.75" customHeight="1" thickBot="1" x14ac:dyDescent="0.3">
      <c r="A86" s="708"/>
      <c r="B86" s="751"/>
      <c r="C86" s="742"/>
      <c r="D86" s="717"/>
      <c r="E86" s="717"/>
      <c r="F86" s="717"/>
      <c r="G86" s="41" t="s">
        <v>14</v>
      </c>
      <c r="H86" s="135">
        <f>+H82</f>
        <v>7311426756</v>
      </c>
      <c r="I86" s="135"/>
      <c r="J86" s="135">
        <f>+J82</f>
        <v>128035421</v>
      </c>
      <c r="K86" s="135">
        <f t="shared" si="22"/>
        <v>125633380</v>
      </c>
      <c r="L86" s="135">
        <f t="shared" si="22"/>
        <v>1631676547</v>
      </c>
      <c r="M86" s="135">
        <f t="shared" si="22"/>
        <v>1631676547</v>
      </c>
      <c r="N86" s="135">
        <f t="shared" si="22"/>
        <v>1631676547</v>
      </c>
      <c r="O86" s="135">
        <f t="shared" si="22"/>
        <v>1631676547</v>
      </c>
      <c r="P86" s="145">
        <f>+P82</f>
        <v>1631640000</v>
      </c>
      <c r="Q86" s="135">
        <f>+Q82+Q84</f>
        <v>1322079734</v>
      </c>
      <c r="R86" s="135">
        <f>+R82+R84</f>
        <v>1322079734</v>
      </c>
      <c r="S86" s="135">
        <v>1238361401</v>
      </c>
      <c r="T86" s="135">
        <v>1237238777</v>
      </c>
      <c r="U86" s="135">
        <v>1117182777</v>
      </c>
      <c r="V86" s="456">
        <f>+V82+V84</f>
        <v>1493380709</v>
      </c>
      <c r="W86" s="411">
        <v>1448917467</v>
      </c>
      <c r="X86" s="411"/>
      <c r="Y86" s="411"/>
      <c r="Z86" s="411"/>
      <c r="AA86" s="411">
        <v>3478189000</v>
      </c>
      <c r="AB86" s="411"/>
      <c r="AC86" s="411"/>
      <c r="AD86" s="411"/>
      <c r="AE86" s="411"/>
      <c r="AF86" s="391">
        <f>+AF82+AF84</f>
        <v>442016300</v>
      </c>
      <c r="AG86" s="136">
        <v>1227085009</v>
      </c>
      <c r="AH86" s="136"/>
      <c r="AI86" s="136"/>
      <c r="AJ86" s="138"/>
      <c r="AK86" s="373"/>
      <c r="AL86" s="754"/>
      <c r="AM86" s="720"/>
      <c r="AN86" s="720"/>
      <c r="AO86" s="720"/>
      <c r="AP86" s="714"/>
    </row>
    <row r="87" spans="1:42" s="5" customFormat="1" ht="45" customHeight="1" x14ac:dyDescent="0.25">
      <c r="A87" s="708"/>
      <c r="B87" s="721">
        <v>14</v>
      </c>
      <c r="C87" s="748" t="s">
        <v>174</v>
      </c>
      <c r="D87" s="715" t="s">
        <v>122</v>
      </c>
      <c r="E87" s="715">
        <v>311</v>
      </c>
      <c r="F87" s="715">
        <v>182</v>
      </c>
      <c r="G87" s="39" t="s">
        <v>9</v>
      </c>
      <c r="H87" s="125">
        <v>3</v>
      </c>
      <c r="I87" s="125"/>
      <c r="J87" s="125">
        <v>3</v>
      </c>
      <c r="K87" s="125">
        <v>3</v>
      </c>
      <c r="L87" s="125">
        <v>3</v>
      </c>
      <c r="M87" s="125">
        <v>3</v>
      </c>
      <c r="N87" s="125">
        <v>3</v>
      </c>
      <c r="O87" s="125">
        <v>3</v>
      </c>
      <c r="P87" s="48">
        <v>3</v>
      </c>
      <c r="Q87" s="125">
        <v>3</v>
      </c>
      <c r="R87" s="125">
        <v>3</v>
      </c>
      <c r="S87" s="125">
        <v>3</v>
      </c>
      <c r="T87" s="125">
        <v>3</v>
      </c>
      <c r="U87" s="125">
        <v>3</v>
      </c>
      <c r="V87" s="374">
        <v>3</v>
      </c>
      <c r="W87" s="139">
        <v>3</v>
      </c>
      <c r="X87" s="139"/>
      <c r="Y87" s="139"/>
      <c r="Z87" s="139"/>
      <c r="AA87" s="139">
        <v>3</v>
      </c>
      <c r="AB87" s="139"/>
      <c r="AC87" s="139"/>
      <c r="AD87" s="139"/>
      <c r="AE87" s="139"/>
      <c r="AF87" s="457">
        <v>3</v>
      </c>
      <c r="AG87" s="444">
        <v>3</v>
      </c>
      <c r="AH87" s="444"/>
      <c r="AI87" s="444"/>
      <c r="AJ87" s="130">
        <f>AF87/V87</f>
        <v>1</v>
      </c>
      <c r="AK87" s="29"/>
      <c r="AL87" s="752" t="s">
        <v>558</v>
      </c>
      <c r="AM87" s="718" t="s">
        <v>155</v>
      </c>
      <c r="AN87" s="718" t="s">
        <v>155</v>
      </c>
      <c r="AO87" s="752" t="s">
        <v>479</v>
      </c>
      <c r="AP87" s="755" t="s">
        <v>480</v>
      </c>
    </row>
    <row r="88" spans="1:42" s="5" customFormat="1" ht="36" customHeight="1" x14ac:dyDescent="0.25">
      <c r="A88" s="708"/>
      <c r="B88" s="722"/>
      <c r="C88" s="741"/>
      <c r="D88" s="716"/>
      <c r="E88" s="716"/>
      <c r="F88" s="716"/>
      <c r="G88" s="40" t="s">
        <v>10</v>
      </c>
      <c r="H88" s="127">
        <f>K88+P88+U88+V88+AA88</f>
        <v>2101826000</v>
      </c>
      <c r="I88" s="127"/>
      <c r="J88" s="127">
        <v>449176710</v>
      </c>
      <c r="K88" s="127">
        <v>387300000</v>
      </c>
      <c r="L88" s="127">
        <v>588560000</v>
      </c>
      <c r="M88" s="127">
        <v>588560000</v>
      </c>
      <c r="N88" s="127">
        <v>588560000</v>
      </c>
      <c r="O88" s="127">
        <v>588560000</v>
      </c>
      <c r="P88" s="81">
        <v>588560000</v>
      </c>
      <c r="Q88" s="127">
        <v>441180000</v>
      </c>
      <c r="R88" s="127">
        <v>441180000</v>
      </c>
      <c r="S88" s="127">
        <v>456140000</v>
      </c>
      <c r="T88" s="127">
        <v>456140000</v>
      </c>
      <c r="U88" s="127">
        <v>451605000</v>
      </c>
      <c r="V88" s="403">
        <v>479821000</v>
      </c>
      <c r="W88" s="371">
        <v>259821000</v>
      </c>
      <c r="X88" s="371"/>
      <c r="Y88" s="371"/>
      <c r="Z88" s="371"/>
      <c r="AA88" s="371">
        <v>194540000</v>
      </c>
      <c r="AB88" s="371"/>
      <c r="AC88" s="371"/>
      <c r="AD88" s="371"/>
      <c r="AE88" s="371"/>
      <c r="AF88" s="418">
        <v>79759080</v>
      </c>
      <c r="AG88" s="172">
        <v>79759080</v>
      </c>
      <c r="AH88" s="172"/>
      <c r="AI88" s="172"/>
      <c r="AJ88" s="130">
        <f>AF88/V88</f>
        <v>0.16622673872131483</v>
      </c>
      <c r="AK88" s="26">
        <v>0.69510000000000005</v>
      </c>
      <c r="AL88" s="753"/>
      <c r="AM88" s="719"/>
      <c r="AN88" s="719"/>
      <c r="AO88" s="753"/>
      <c r="AP88" s="756"/>
    </row>
    <row r="89" spans="1:42" s="5" customFormat="1" ht="40.5" customHeight="1" x14ac:dyDescent="0.25">
      <c r="A89" s="708"/>
      <c r="B89" s="722"/>
      <c r="C89" s="741"/>
      <c r="D89" s="716"/>
      <c r="E89" s="716"/>
      <c r="F89" s="716"/>
      <c r="G89" s="40" t="s">
        <v>11</v>
      </c>
      <c r="H89" s="131"/>
      <c r="I89" s="131"/>
      <c r="J89" s="131"/>
      <c r="K89" s="131"/>
      <c r="L89" s="131"/>
      <c r="M89" s="131"/>
      <c r="N89" s="131"/>
      <c r="O89" s="131"/>
      <c r="P89" s="165"/>
      <c r="Q89" s="131"/>
      <c r="R89" s="131"/>
      <c r="S89" s="131"/>
      <c r="T89" s="131"/>
      <c r="U89" s="131"/>
      <c r="V89" s="407"/>
      <c r="W89" s="370"/>
      <c r="X89" s="406"/>
      <c r="Y89" s="406"/>
      <c r="Z89" s="406"/>
      <c r="AA89" s="406"/>
      <c r="AB89" s="406"/>
      <c r="AC89" s="406"/>
      <c r="AD89" s="406"/>
      <c r="AE89" s="406"/>
      <c r="AF89" s="423"/>
      <c r="AG89" s="173"/>
      <c r="AH89" s="333"/>
      <c r="AI89" s="333"/>
      <c r="AJ89" s="130"/>
      <c r="AK89" s="26"/>
      <c r="AL89" s="753"/>
      <c r="AM89" s="719"/>
      <c r="AN89" s="719"/>
      <c r="AO89" s="753"/>
      <c r="AP89" s="756"/>
    </row>
    <row r="90" spans="1:42" s="5" customFormat="1" ht="33" customHeight="1" x14ac:dyDescent="0.25">
      <c r="A90" s="708"/>
      <c r="B90" s="722"/>
      <c r="C90" s="741"/>
      <c r="D90" s="716"/>
      <c r="E90" s="716"/>
      <c r="F90" s="716"/>
      <c r="G90" s="40" t="s">
        <v>12</v>
      </c>
      <c r="H90" s="141"/>
      <c r="I90" s="141"/>
      <c r="J90" s="141"/>
      <c r="K90" s="141"/>
      <c r="L90" s="141">
        <v>374000000</v>
      </c>
      <c r="M90" s="141">
        <v>374000000</v>
      </c>
      <c r="N90" s="141">
        <v>374000000</v>
      </c>
      <c r="O90" s="141">
        <v>374000000</v>
      </c>
      <c r="P90" s="81">
        <v>374000000</v>
      </c>
      <c r="Q90" s="81">
        <v>289751334</v>
      </c>
      <c r="R90" s="81">
        <v>289751334</v>
      </c>
      <c r="S90" s="81">
        <v>289751334</v>
      </c>
      <c r="T90" s="81">
        <v>289751334</v>
      </c>
      <c r="U90" s="141">
        <v>289751334</v>
      </c>
      <c r="V90" s="407">
        <v>367710667</v>
      </c>
      <c r="W90" s="647">
        <v>367710667</v>
      </c>
      <c r="X90" s="408"/>
      <c r="Y90" s="408"/>
      <c r="Z90" s="408"/>
      <c r="AA90" s="408"/>
      <c r="AB90" s="408"/>
      <c r="AC90" s="408"/>
      <c r="AD90" s="408"/>
      <c r="AE90" s="408"/>
      <c r="AF90" s="418">
        <v>2990000</v>
      </c>
      <c r="AG90" s="172">
        <v>97710667</v>
      </c>
      <c r="AH90" s="172"/>
      <c r="AI90" s="172"/>
      <c r="AJ90" s="130"/>
      <c r="AK90" s="26"/>
      <c r="AL90" s="753"/>
      <c r="AM90" s="719"/>
      <c r="AN90" s="719"/>
      <c r="AO90" s="753"/>
      <c r="AP90" s="756"/>
    </row>
    <row r="91" spans="1:42" s="5" customFormat="1" ht="36" customHeight="1" x14ac:dyDescent="0.25">
      <c r="A91" s="708"/>
      <c r="B91" s="722"/>
      <c r="C91" s="741"/>
      <c r="D91" s="716"/>
      <c r="E91" s="716"/>
      <c r="F91" s="716"/>
      <c r="G91" s="40" t="s">
        <v>13</v>
      </c>
      <c r="H91" s="134">
        <f>+H87</f>
        <v>3</v>
      </c>
      <c r="I91" s="134"/>
      <c r="J91" s="143">
        <v>3</v>
      </c>
      <c r="K91" s="134">
        <f>+K87</f>
        <v>3</v>
      </c>
      <c r="L91" s="134">
        <f>+L87</f>
        <v>3</v>
      </c>
      <c r="M91" s="134">
        <f>+M87</f>
        <v>3</v>
      </c>
      <c r="N91" s="134">
        <f>+N87</f>
        <v>3</v>
      </c>
      <c r="O91" s="134">
        <f>+O87</f>
        <v>3</v>
      </c>
      <c r="P91" s="160">
        <v>3</v>
      </c>
      <c r="Q91" s="134">
        <f>+Q87</f>
        <v>3</v>
      </c>
      <c r="R91" s="134">
        <f>+R87</f>
        <v>3</v>
      </c>
      <c r="S91" s="134">
        <v>3</v>
      </c>
      <c r="T91" s="134">
        <v>3</v>
      </c>
      <c r="U91" s="134">
        <v>3</v>
      </c>
      <c r="V91" s="393">
        <f>+V87</f>
        <v>3</v>
      </c>
      <c r="W91" s="409">
        <v>3</v>
      </c>
      <c r="X91" s="409"/>
      <c r="Y91" s="409"/>
      <c r="Z91" s="409"/>
      <c r="AA91" s="409">
        <v>3</v>
      </c>
      <c r="AB91" s="409"/>
      <c r="AC91" s="409"/>
      <c r="AD91" s="409"/>
      <c r="AE91" s="409"/>
      <c r="AF91" s="419">
        <f>+AF87+AF89</f>
        <v>3</v>
      </c>
      <c r="AG91" s="174">
        <v>3</v>
      </c>
      <c r="AH91" s="174"/>
      <c r="AI91" s="174"/>
      <c r="AJ91" s="130"/>
      <c r="AK91" s="26"/>
      <c r="AL91" s="753"/>
      <c r="AM91" s="719"/>
      <c r="AN91" s="719"/>
      <c r="AO91" s="753"/>
      <c r="AP91" s="756"/>
    </row>
    <row r="92" spans="1:42" s="5" customFormat="1" ht="49.5" customHeight="1" thickBot="1" x14ac:dyDescent="0.3">
      <c r="A92" s="708"/>
      <c r="B92" s="723"/>
      <c r="C92" s="742"/>
      <c r="D92" s="717"/>
      <c r="E92" s="717"/>
      <c r="F92" s="717"/>
      <c r="G92" s="41" t="s">
        <v>14</v>
      </c>
      <c r="H92" s="135">
        <f>+H88</f>
        <v>2101826000</v>
      </c>
      <c r="I92" s="135"/>
      <c r="J92" s="137">
        <v>449176710</v>
      </c>
      <c r="K92" s="135">
        <f>+K88</f>
        <v>387300000</v>
      </c>
      <c r="L92" s="135">
        <f t="shared" ref="L92:Q92" si="23">+L88+L90</f>
        <v>962560000</v>
      </c>
      <c r="M92" s="135">
        <f t="shared" si="23"/>
        <v>962560000</v>
      </c>
      <c r="N92" s="135">
        <f t="shared" si="23"/>
        <v>962560000</v>
      </c>
      <c r="O92" s="135">
        <f t="shared" si="23"/>
        <v>962560000</v>
      </c>
      <c r="P92" s="145">
        <f t="shared" si="23"/>
        <v>962560000</v>
      </c>
      <c r="Q92" s="135">
        <f t="shared" si="23"/>
        <v>730931334</v>
      </c>
      <c r="R92" s="135">
        <f>+R88+R90</f>
        <v>730931334</v>
      </c>
      <c r="S92" s="135">
        <v>745891334</v>
      </c>
      <c r="T92" s="135">
        <v>745891334</v>
      </c>
      <c r="U92" s="135">
        <v>741356334</v>
      </c>
      <c r="V92" s="420">
        <f>+V88+V90</f>
        <v>847531667</v>
      </c>
      <c r="W92" s="411">
        <v>627531667</v>
      </c>
      <c r="X92" s="411"/>
      <c r="Y92" s="411"/>
      <c r="Z92" s="411"/>
      <c r="AA92" s="411">
        <v>194540000</v>
      </c>
      <c r="AB92" s="411"/>
      <c r="AC92" s="411"/>
      <c r="AD92" s="411"/>
      <c r="AE92" s="411"/>
      <c r="AF92" s="391">
        <f>AF88+AF90</f>
        <v>82749080</v>
      </c>
      <c r="AG92" s="136">
        <v>177469747</v>
      </c>
      <c r="AH92" s="136"/>
      <c r="AI92" s="136"/>
      <c r="AJ92" s="138"/>
      <c r="AK92" s="58"/>
      <c r="AL92" s="754"/>
      <c r="AM92" s="720"/>
      <c r="AN92" s="720"/>
      <c r="AO92" s="754"/>
      <c r="AP92" s="757"/>
    </row>
    <row r="93" spans="1:42" s="5" customFormat="1" ht="63.75" customHeight="1" thickBot="1" x14ac:dyDescent="0.3">
      <c r="A93" s="708"/>
      <c r="B93" s="749">
        <v>15</v>
      </c>
      <c r="C93" s="748" t="s">
        <v>175</v>
      </c>
      <c r="D93" s="715" t="s">
        <v>123</v>
      </c>
      <c r="E93" s="715">
        <v>311</v>
      </c>
      <c r="F93" s="715">
        <v>182</v>
      </c>
      <c r="G93" s="39" t="s">
        <v>9</v>
      </c>
      <c r="H93" s="125">
        <v>95</v>
      </c>
      <c r="I93" s="125"/>
      <c r="J93" s="125">
        <v>76</v>
      </c>
      <c r="K93" s="125">
        <v>76</v>
      </c>
      <c r="L93" s="60">
        <v>92.7</v>
      </c>
      <c r="M93" s="60" t="s">
        <v>192</v>
      </c>
      <c r="N93" s="60" t="s">
        <v>192</v>
      </c>
      <c r="O93" s="60" t="s">
        <v>192</v>
      </c>
      <c r="P93" s="158">
        <v>93.8</v>
      </c>
      <c r="Q93" s="125">
        <v>93</v>
      </c>
      <c r="R93" s="125">
        <v>93</v>
      </c>
      <c r="S93" s="125">
        <v>93</v>
      </c>
      <c r="T93" s="125">
        <v>93</v>
      </c>
      <c r="U93" s="125">
        <v>89</v>
      </c>
      <c r="V93" s="374">
        <v>94</v>
      </c>
      <c r="W93" s="139">
        <v>94</v>
      </c>
      <c r="X93" s="139"/>
      <c r="Y93" s="139"/>
      <c r="Z93" s="139"/>
      <c r="AA93" s="139">
        <v>95</v>
      </c>
      <c r="AB93" s="139"/>
      <c r="AC93" s="139"/>
      <c r="AD93" s="139"/>
      <c r="AE93" s="139"/>
      <c r="AF93" s="457">
        <v>91.2</v>
      </c>
      <c r="AG93" s="48">
        <v>92.6</v>
      </c>
      <c r="AH93" s="158"/>
      <c r="AI93" s="158"/>
      <c r="AJ93" s="78">
        <f>AF93/V93</f>
        <v>0.97021276595744688</v>
      </c>
      <c r="AK93" s="29"/>
      <c r="AL93" s="718" t="s">
        <v>481</v>
      </c>
      <c r="AM93" s="718" t="s">
        <v>482</v>
      </c>
      <c r="AN93" s="718" t="s">
        <v>483</v>
      </c>
      <c r="AO93" s="718" t="s">
        <v>413</v>
      </c>
      <c r="AP93" s="712" t="s">
        <v>484</v>
      </c>
    </row>
    <row r="94" spans="1:42" s="5" customFormat="1" ht="66.75" customHeight="1" x14ac:dyDescent="0.25">
      <c r="A94" s="708"/>
      <c r="B94" s="750"/>
      <c r="C94" s="741"/>
      <c r="D94" s="716"/>
      <c r="E94" s="716"/>
      <c r="F94" s="716"/>
      <c r="G94" s="40" t="s">
        <v>10</v>
      </c>
      <c r="H94" s="127">
        <f>K94+P94+U94+V94+AA94</f>
        <v>1468595678.5799999</v>
      </c>
      <c r="I94" s="127"/>
      <c r="J94" s="127">
        <v>156396667</v>
      </c>
      <c r="K94" s="127">
        <v>152096667</v>
      </c>
      <c r="L94" s="127">
        <v>431900000</v>
      </c>
      <c r="M94" s="127">
        <v>317590833</v>
      </c>
      <c r="N94" s="127">
        <v>317590833</v>
      </c>
      <c r="O94" s="127">
        <v>317590833</v>
      </c>
      <c r="P94" s="81">
        <v>300027399.57999998</v>
      </c>
      <c r="Q94" s="127">
        <v>431900000</v>
      </c>
      <c r="R94" s="127">
        <v>431900000</v>
      </c>
      <c r="S94" s="127">
        <v>416940000</v>
      </c>
      <c r="T94" s="127">
        <v>342807143</v>
      </c>
      <c r="U94" s="127">
        <v>328467612</v>
      </c>
      <c r="V94" s="403">
        <v>338204000</v>
      </c>
      <c r="W94" s="371">
        <v>338204000</v>
      </c>
      <c r="X94" s="371"/>
      <c r="Y94" s="371"/>
      <c r="Z94" s="371"/>
      <c r="AA94" s="371">
        <v>349800000</v>
      </c>
      <c r="AB94" s="371"/>
      <c r="AC94" s="371"/>
      <c r="AD94" s="371"/>
      <c r="AE94" s="371"/>
      <c r="AF94" s="418">
        <v>156054888</v>
      </c>
      <c r="AG94" s="81">
        <v>269793038</v>
      </c>
      <c r="AH94" s="81"/>
      <c r="AI94" s="81"/>
      <c r="AJ94" s="78">
        <f>AF94/V94</f>
        <v>0.46142236046882945</v>
      </c>
      <c r="AK94" s="26">
        <v>0.62239999999999995</v>
      </c>
      <c r="AL94" s="719"/>
      <c r="AM94" s="719"/>
      <c r="AN94" s="719"/>
      <c r="AO94" s="719"/>
      <c r="AP94" s="713"/>
    </row>
    <row r="95" spans="1:42" s="5" customFormat="1" ht="53.25" customHeight="1" x14ac:dyDescent="0.25">
      <c r="A95" s="708"/>
      <c r="B95" s="750"/>
      <c r="C95" s="741"/>
      <c r="D95" s="716"/>
      <c r="E95" s="716"/>
      <c r="F95" s="716"/>
      <c r="G95" s="40" t="s">
        <v>11</v>
      </c>
      <c r="H95" s="131"/>
      <c r="I95" s="131"/>
      <c r="J95" s="131"/>
      <c r="K95" s="131"/>
      <c r="L95" s="131"/>
      <c r="M95" s="131"/>
      <c r="N95" s="131"/>
      <c r="O95" s="131"/>
      <c r="P95" s="165"/>
      <c r="Q95" s="131"/>
      <c r="R95" s="131"/>
      <c r="S95" s="131"/>
      <c r="T95" s="131"/>
      <c r="U95" s="131"/>
      <c r="V95" s="407"/>
      <c r="W95" s="370"/>
      <c r="X95" s="406"/>
      <c r="Y95" s="406"/>
      <c r="Z95" s="406"/>
      <c r="AA95" s="406"/>
      <c r="AB95" s="406"/>
      <c r="AC95" s="406"/>
      <c r="AD95" s="406"/>
      <c r="AE95" s="406"/>
      <c r="AF95" s="423"/>
      <c r="AG95" s="160"/>
      <c r="AH95" s="165"/>
      <c r="AI95" s="165"/>
      <c r="AJ95" s="75"/>
      <c r="AK95" s="26"/>
      <c r="AL95" s="719"/>
      <c r="AM95" s="719"/>
      <c r="AN95" s="719"/>
      <c r="AO95" s="719"/>
      <c r="AP95" s="713"/>
    </row>
    <row r="96" spans="1:42" s="5" customFormat="1" ht="62.25" customHeight="1" x14ac:dyDescent="0.25">
      <c r="A96" s="708"/>
      <c r="B96" s="750"/>
      <c r="C96" s="741"/>
      <c r="D96" s="716"/>
      <c r="E96" s="716"/>
      <c r="F96" s="716"/>
      <c r="G96" s="40" t="s">
        <v>12</v>
      </c>
      <c r="H96" s="131"/>
      <c r="I96" s="131"/>
      <c r="J96" s="131"/>
      <c r="K96" s="131"/>
      <c r="L96" s="148">
        <v>67187900</v>
      </c>
      <c r="M96" s="148">
        <v>67187900</v>
      </c>
      <c r="N96" s="148">
        <v>67187900</v>
      </c>
      <c r="O96" s="148">
        <v>67187900</v>
      </c>
      <c r="P96" s="81">
        <v>67187900</v>
      </c>
      <c r="Q96" s="81">
        <v>103885635</v>
      </c>
      <c r="R96" s="81">
        <v>103885635</v>
      </c>
      <c r="S96" s="81">
        <v>103885635</v>
      </c>
      <c r="T96" s="81">
        <v>103885635</v>
      </c>
      <c r="U96" s="131">
        <v>103885635</v>
      </c>
      <c r="V96" s="403">
        <v>113688000</v>
      </c>
      <c r="W96" s="370">
        <v>113688000</v>
      </c>
      <c r="X96" s="406"/>
      <c r="Y96" s="406"/>
      <c r="Z96" s="406"/>
      <c r="AA96" s="406"/>
      <c r="AB96" s="406"/>
      <c r="AC96" s="406"/>
      <c r="AD96" s="406"/>
      <c r="AE96" s="406"/>
      <c r="AF96" s="418">
        <v>47166432</v>
      </c>
      <c r="AG96" s="81">
        <v>70006059</v>
      </c>
      <c r="AH96" s="81"/>
      <c r="AI96" s="81"/>
      <c r="AJ96" s="75"/>
      <c r="AK96" s="26"/>
      <c r="AL96" s="719"/>
      <c r="AM96" s="719"/>
      <c r="AN96" s="719"/>
      <c r="AO96" s="719"/>
      <c r="AP96" s="713"/>
    </row>
    <row r="97" spans="1:42" s="5" customFormat="1" ht="54.75" customHeight="1" x14ac:dyDescent="0.25">
      <c r="A97" s="708"/>
      <c r="B97" s="750"/>
      <c r="C97" s="741"/>
      <c r="D97" s="716"/>
      <c r="E97" s="716"/>
      <c r="F97" s="716"/>
      <c r="G97" s="40" t="s">
        <v>13</v>
      </c>
      <c r="H97" s="134">
        <f>+H93</f>
        <v>95</v>
      </c>
      <c r="I97" s="134"/>
      <c r="J97" s="134">
        <v>76</v>
      </c>
      <c r="K97" s="134">
        <f t="shared" ref="K97:P97" si="24">+K93</f>
        <v>76</v>
      </c>
      <c r="L97" s="149">
        <f t="shared" si="24"/>
        <v>92.7</v>
      </c>
      <c r="M97" s="134" t="str">
        <f t="shared" si="24"/>
        <v>92.7</v>
      </c>
      <c r="N97" s="134" t="str">
        <f t="shared" si="24"/>
        <v>92.7</v>
      </c>
      <c r="O97" s="134" t="str">
        <f t="shared" si="24"/>
        <v>92.7</v>
      </c>
      <c r="P97" s="161">
        <f t="shared" si="24"/>
        <v>93.8</v>
      </c>
      <c r="Q97" s="134">
        <f>+Q93</f>
        <v>93</v>
      </c>
      <c r="R97" s="134">
        <f>+R93</f>
        <v>93</v>
      </c>
      <c r="S97" s="134">
        <v>93</v>
      </c>
      <c r="T97" s="134">
        <v>93</v>
      </c>
      <c r="U97" s="134">
        <v>89</v>
      </c>
      <c r="V97" s="393">
        <f>+V93</f>
        <v>94</v>
      </c>
      <c r="W97" s="409">
        <v>94</v>
      </c>
      <c r="X97" s="409"/>
      <c r="Y97" s="409"/>
      <c r="Z97" s="409"/>
      <c r="AA97" s="409">
        <v>95</v>
      </c>
      <c r="AB97" s="409"/>
      <c r="AC97" s="409"/>
      <c r="AD97" s="409"/>
      <c r="AE97" s="409"/>
      <c r="AF97" s="419">
        <v>91.2</v>
      </c>
      <c r="AG97" s="160">
        <v>91.2</v>
      </c>
      <c r="AH97" s="161"/>
      <c r="AI97" s="161"/>
      <c r="AJ97" s="75"/>
      <c r="AK97" s="26"/>
      <c r="AL97" s="719"/>
      <c r="AM97" s="719"/>
      <c r="AN97" s="719"/>
      <c r="AO97" s="719"/>
      <c r="AP97" s="713"/>
    </row>
    <row r="98" spans="1:42" s="5" customFormat="1" ht="63.75" customHeight="1" thickBot="1" x14ac:dyDescent="0.3">
      <c r="A98" s="708"/>
      <c r="B98" s="751"/>
      <c r="C98" s="742"/>
      <c r="D98" s="717"/>
      <c r="E98" s="717"/>
      <c r="F98" s="717"/>
      <c r="G98" s="41" t="s">
        <v>14</v>
      </c>
      <c r="H98" s="135">
        <f>+H94</f>
        <v>1468595678.5799999</v>
      </c>
      <c r="I98" s="135"/>
      <c r="J98" s="135">
        <v>156000000</v>
      </c>
      <c r="K98" s="135">
        <f>+K94</f>
        <v>152096667</v>
      </c>
      <c r="L98" s="135">
        <f t="shared" ref="L98:Q98" si="25">+L94+L96</f>
        <v>499087900</v>
      </c>
      <c r="M98" s="135">
        <f t="shared" si="25"/>
        <v>384778733</v>
      </c>
      <c r="N98" s="135">
        <f t="shared" si="25"/>
        <v>384778733</v>
      </c>
      <c r="O98" s="135">
        <f t="shared" si="25"/>
        <v>384778733</v>
      </c>
      <c r="P98" s="145">
        <f t="shared" si="25"/>
        <v>367215299.57999998</v>
      </c>
      <c r="Q98" s="135">
        <f t="shared" si="25"/>
        <v>535785635</v>
      </c>
      <c r="R98" s="135">
        <f>+R94+R96</f>
        <v>535785635</v>
      </c>
      <c r="S98" s="135">
        <v>520825635</v>
      </c>
      <c r="T98" s="135">
        <v>446692778</v>
      </c>
      <c r="U98" s="135">
        <v>432353247</v>
      </c>
      <c r="V98" s="420">
        <f>+V94+V96</f>
        <v>451892000</v>
      </c>
      <c r="W98" s="411">
        <v>451892000</v>
      </c>
      <c r="X98" s="411"/>
      <c r="Y98" s="411"/>
      <c r="Z98" s="411"/>
      <c r="AA98" s="411">
        <v>349800000</v>
      </c>
      <c r="AB98" s="411"/>
      <c r="AC98" s="411"/>
      <c r="AD98" s="411"/>
      <c r="AE98" s="411"/>
      <c r="AF98" s="391">
        <f>+AF94+AF96</f>
        <v>203221320</v>
      </c>
      <c r="AG98" s="145">
        <v>339799097</v>
      </c>
      <c r="AH98" s="145"/>
      <c r="AI98" s="145"/>
      <c r="AJ98" s="76"/>
      <c r="AK98" s="58"/>
      <c r="AL98" s="720"/>
      <c r="AM98" s="720"/>
      <c r="AN98" s="720"/>
      <c r="AO98" s="720"/>
      <c r="AP98" s="714"/>
    </row>
    <row r="99" spans="1:42" s="5" customFormat="1" ht="45" customHeight="1" x14ac:dyDescent="0.25">
      <c r="A99" s="708" t="s">
        <v>212</v>
      </c>
      <c r="B99" s="721">
        <v>16</v>
      </c>
      <c r="C99" s="748" t="s">
        <v>176</v>
      </c>
      <c r="D99" s="715" t="s">
        <v>123</v>
      </c>
      <c r="E99" s="715">
        <v>313</v>
      </c>
      <c r="F99" s="715">
        <v>183</v>
      </c>
      <c r="G99" s="39" t="s">
        <v>9</v>
      </c>
      <c r="H99" s="125">
        <v>500</v>
      </c>
      <c r="I99" s="125"/>
      <c r="J99" s="125">
        <v>80</v>
      </c>
      <c r="K99" s="125">
        <v>80</v>
      </c>
      <c r="L99" s="125">
        <v>130</v>
      </c>
      <c r="M99" s="125">
        <v>130</v>
      </c>
      <c r="N99" s="125">
        <v>130</v>
      </c>
      <c r="O99" s="125">
        <v>130</v>
      </c>
      <c r="P99" s="48">
        <v>91</v>
      </c>
      <c r="Q99" s="125">
        <v>161</v>
      </c>
      <c r="R99" s="125">
        <v>161</v>
      </c>
      <c r="S99" s="125">
        <v>161</v>
      </c>
      <c r="T99" s="125">
        <v>161</v>
      </c>
      <c r="U99" s="125">
        <v>161</v>
      </c>
      <c r="V99" s="374">
        <v>450</v>
      </c>
      <c r="W99" s="139">
        <v>450</v>
      </c>
      <c r="X99" s="139"/>
      <c r="Y99" s="139"/>
      <c r="Z99" s="139"/>
      <c r="AA99" s="139">
        <v>500</v>
      </c>
      <c r="AB99" s="139"/>
      <c r="AC99" s="139"/>
      <c r="AD99" s="139"/>
      <c r="AE99" s="139"/>
      <c r="AF99" s="430">
        <v>244</v>
      </c>
      <c r="AG99" s="444">
        <v>283</v>
      </c>
      <c r="AH99" s="444"/>
      <c r="AI99" s="444"/>
      <c r="AJ99" s="130">
        <f>AG99/W99</f>
        <v>0.62888888888888894</v>
      </c>
      <c r="AK99" s="29"/>
      <c r="AL99" s="718" t="s">
        <v>584</v>
      </c>
      <c r="AM99" s="718" t="s">
        <v>383</v>
      </c>
      <c r="AN99" s="718" t="s">
        <v>383</v>
      </c>
      <c r="AO99" s="718" t="s">
        <v>485</v>
      </c>
      <c r="AP99" s="712" t="s">
        <v>466</v>
      </c>
    </row>
    <row r="100" spans="1:42" s="5" customFormat="1" ht="36" customHeight="1" x14ac:dyDescent="0.25">
      <c r="A100" s="708"/>
      <c r="B100" s="722"/>
      <c r="C100" s="741"/>
      <c r="D100" s="716"/>
      <c r="E100" s="716"/>
      <c r="F100" s="716"/>
      <c r="G100" s="40" t="s">
        <v>10</v>
      </c>
      <c r="H100" s="127">
        <f>K100+P100+U100+V100+AA100</f>
        <v>3995659003</v>
      </c>
      <c r="I100" s="127"/>
      <c r="J100" s="127">
        <v>149200000</v>
      </c>
      <c r="K100" s="127">
        <v>78628003</v>
      </c>
      <c r="L100" s="127">
        <v>1230862000</v>
      </c>
      <c r="M100" s="127">
        <v>1230862000</v>
      </c>
      <c r="N100" s="127">
        <v>1230862000</v>
      </c>
      <c r="O100" s="127">
        <v>1230862000</v>
      </c>
      <c r="P100" s="81">
        <v>410460000</v>
      </c>
      <c r="Q100" s="81">
        <v>1377082000</v>
      </c>
      <c r="R100" s="81">
        <v>1377082000</v>
      </c>
      <c r="S100" s="81">
        <v>1377082000</v>
      </c>
      <c r="T100" s="81">
        <v>1376775969</v>
      </c>
      <c r="U100" s="127">
        <v>1364352000</v>
      </c>
      <c r="V100" s="403">
        <v>1136499000</v>
      </c>
      <c r="W100" s="371">
        <v>1136499000</v>
      </c>
      <c r="X100" s="371"/>
      <c r="Y100" s="371"/>
      <c r="Z100" s="371"/>
      <c r="AA100" s="371">
        <v>1005720000</v>
      </c>
      <c r="AB100" s="371"/>
      <c r="AC100" s="371"/>
      <c r="AD100" s="371"/>
      <c r="AE100" s="371"/>
      <c r="AF100" s="415">
        <v>203646450</v>
      </c>
      <c r="AG100" s="172">
        <v>791414050</v>
      </c>
      <c r="AH100" s="172"/>
      <c r="AI100" s="172"/>
      <c r="AJ100" s="130">
        <f>AG100/W100</f>
        <v>0.69636141342843239</v>
      </c>
      <c r="AK100" s="26">
        <v>0.53990000000000005</v>
      </c>
      <c r="AL100" s="719"/>
      <c r="AM100" s="719"/>
      <c r="AN100" s="719"/>
      <c r="AO100" s="719" t="s">
        <v>465</v>
      </c>
      <c r="AP100" s="713" t="s">
        <v>466</v>
      </c>
    </row>
    <row r="101" spans="1:42" s="5" customFormat="1" ht="40.5" customHeight="1" x14ac:dyDescent="0.25">
      <c r="A101" s="708"/>
      <c r="B101" s="722"/>
      <c r="C101" s="741"/>
      <c r="D101" s="716"/>
      <c r="E101" s="716"/>
      <c r="F101" s="716"/>
      <c r="G101" s="40" t="s">
        <v>11</v>
      </c>
      <c r="H101" s="131"/>
      <c r="I101" s="131"/>
      <c r="J101" s="131"/>
      <c r="K101" s="131"/>
      <c r="L101" s="131"/>
      <c r="M101" s="131"/>
      <c r="N101" s="131"/>
      <c r="O101" s="131"/>
      <c r="P101" s="160"/>
      <c r="Q101" s="131"/>
      <c r="R101" s="131"/>
      <c r="S101" s="131"/>
      <c r="T101" s="131"/>
      <c r="U101" s="131"/>
      <c r="V101" s="433"/>
      <c r="W101" s="370"/>
      <c r="X101" s="406"/>
      <c r="Y101" s="406"/>
      <c r="Z101" s="406"/>
      <c r="AA101" s="406"/>
      <c r="AB101" s="406"/>
      <c r="AC101" s="406"/>
      <c r="AD101" s="406"/>
      <c r="AE101" s="406"/>
      <c r="AF101" s="423"/>
      <c r="AG101" s="173"/>
      <c r="AH101" s="173"/>
      <c r="AI101" s="173"/>
      <c r="AJ101" s="130"/>
      <c r="AK101" s="26"/>
      <c r="AL101" s="719"/>
      <c r="AM101" s="719"/>
      <c r="AN101" s="719"/>
      <c r="AO101" s="719" t="s">
        <v>465</v>
      </c>
      <c r="AP101" s="713" t="s">
        <v>466</v>
      </c>
    </row>
    <row r="102" spans="1:42" s="5" customFormat="1" ht="33" customHeight="1" x14ac:dyDescent="0.25">
      <c r="A102" s="708"/>
      <c r="B102" s="722"/>
      <c r="C102" s="741"/>
      <c r="D102" s="716"/>
      <c r="E102" s="716"/>
      <c r="F102" s="716"/>
      <c r="G102" s="40" t="s">
        <v>12</v>
      </c>
      <c r="H102" s="141"/>
      <c r="I102" s="141"/>
      <c r="J102" s="141"/>
      <c r="K102" s="141"/>
      <c r="L102" s="141">
        <v>50028003</v>
      </c>
      <c r="M102" s="141">
        <v>50028003</v>
      </c>
      <c r="N102" s="141">
        <v>50028003</v>
      </c>
      <c r="O102" s="141">
        <v>50028003</v>
      </c>
      <c r="P102" s="81">
        <v>50028003</v>
      </c>
      <c r="Q102" s="81">
        <v>248828667</v>
      </c>
      <c r="R102" s="81">
        <v>248828667</v>
      </c>
      <c r="S102" s="81">
        <v>248828667</v>
      </c>
      <c r="T102" s="81">
        <v>248828667</v>
      </c>
      <c r="U102" s="141">
        <v>248828667</v>
      </c>
      <c r="V102" s="407">
        <v>1147005000</v>
      </c>
      <c r="W102" s="647">
        <v>1147005000</v>
      </c>
      <c r="X102" s="408"/>
      <c r="Y102" s="408"/>
      <c r="Z102" s="408"/>
      <c r="AA102" s="408"/>
      <c r="AB102" s="408"/>
      <c r="AC102" s="408"/>
      <c r="AD102" s="408"/>
      <c r="AE102" s="408"/>
      <c r="AF102" s="418">
        <v>34276334</v>
      </c>
      <c r="AG102" s="172">
        <v>622349572</v>
      </c>
      <c r="AH102" s="172"/>
      <c r="AI102" s="172"/>
      <c r="AJ102" s="130"/>
      <c r="AK102" s="26"/>
      <c r="AL102" s="719"/>
      <c r="AM102" s="719"/>
      <c r="AN102" s="719"/>
      <c r="AO102" s="719" t="s">
        <v>465</v>
      </c>
      <c r="AP102" s="713" t="s">
        <v>466</v>
      </c>
    </row>
    <row r="103" spans="1:42" s="5" customFormat="1" ht="36" customHeight="1" x14ac:dyDescent="0.25">
      <c r="A103" s="708"/>
      <c r="B103" s="722"/>
      <c r="C103" s="741"/>
      <c r="D103" s="716"/>
      <c r="E103" s="716"/>
      <c r="F103" s="716"/>
      <c r="G103" s="40" t="s">
        <v>13</v>
      </c>
      <c r="H103" s="134">
        <f>+H99</f>
        <v>500</v>
      </c>
      <c r="I103" s="134"/>
      <c r="J103" s="134">
        <f t="shared" ref="J103:O103" si="26">+J99</f>
        <v>80</v>
      </c>
      <c r="K103" s="134">
        <f t="shared" si="26"/>
        <v>80</v>
      </c>
      <c r="L103" s="134">
        <f t="shared" si="26"/>
        <v>130</v>
      </c>
      <c r="M103" s="134">
        <f t="shared" si="26"/>
        <v>130</v>
      </c>
      <c r="N103" s="134">
        <f t="shared" si="26"/>
        <v>130</v>
      </c>
      <c r="O103" s="134">
        <f t="shared" si="26"/>
        <v>130</v>
      </c>
      <c r="P103" s="160">
        <f>+P99+P101</f>
        <v>91</v>
      </c>
      <c r="Q103" s="134">
        <f>+Q99</f>
        <v>161</v>
      </c>
      <c r="R103" s="134">
        <f>+R99</f>
        <v>161</v>
      </c>
      <c r="S103" s="134">
        <v>161</v>
      </c>
      <c r="T103" s="134">
        <v>161</v>
      </c>
      <c r="U103" s="134">
        <v>161</v>
      </c>
      <c r="V103" s="393">
        <f>+V99</f>
        <v>450</v>
      </c>
      <c r="W103" s="409">
        <v>450</v>
      </c>
      <c r="X103" s="409"/>
      <c r="Y103" s="409"/>
      <c r="Z103" s="409"/>
      <c r="AA103" s="409">
        <v>500</v>
      </c>
      <c r="AB103" s="409"/>
      <c r="AC103" s="409"/>
      <c r="AD103" s="409"/>
      <c r="AE103" s="409"/>
      <c r="AF103" s="419">
        <f>+AF99+AF101</f>
        <v>244</v>
      </c>
      <c r="AG103" s="173">
        <v>283</v>
      </c>
      <c r="AH103" s="173"/>
      <c r="AI103" s="173"/>
      <c r="AJ103" s="130"/>
      <c r="AK103" s="26"/>
      <c r="AL103" s="719"/>
      <c r="AM103" s="719"/>
      <c r="AN103" s="719"/>
      <c r="AO103" s="719" t="s">
        <v>465</v>
      </c>
      <c r="AP103" s="713" t="s">
        <v>466</v>
      </c>
    </row>
    <row r="104" spans="1:42" s="5" customFormat="1" ht="49.5" customHeight="1" thickBot="1" x14ac:dyDescent="0.3">
      <c r="A104" s="708"/>
      <c r="B104" s="758"/>
      <c r="C104" s="766"/>
      <c r="D104" s="739"/>
      <c r="E104" s="739"/>
      <c r="F104" s="739"/>
      <c r="G104" s="42" t="s">
        <v>14</v>
      </c>
      <c r="H104" s="83">
        <f>+H100</f>
        <v>3995659003</v>
      </c>
      <c r="I104" s="135"/>
      <c r="J104" s="135">
        <f>+J100</f>
        <v>149200000</v>
      </c>
      <c r="K104" s="83">
        <f>+K100</f>
        <v>78628003</v>
      </c>
      <c r="L104" s="83">
        <f>+L100+L102</f>
        <v>1280890003</v>
      </c>
      <c r="M104" s="83">
        <f>+M100+M102</f>
        <v>1280890003</v>
      </c>
      <c r="N104" s="83">
        <f>+N100+N102</f>
        <v>1280890003</v>
      </c>
      <c r="O104" s="83">
        <f>+O100+O102</f>
        <v>1280890003</v>
      </c>
      <c r="P104" s="145">
        <f>+P100+P102</f>
        <v>460488003</v>
      </c>
      <c r="Q104" s="83">
        <f>+Q100+Q102</f>
        <v>1625910667</v>
      </c>
      <c r="R104" s="83">
        <f>+R100+R102</f>
        <v>1625910667</v>
      </c>
      <c r="S104" s="83">
        <v>1625910667</v>
      </c>
      <c r="T104" s="83">
        <v>1625604636</v>
      </c>
      <c r="U104" s="135">
        <v>1613180667</v>
      </c>
      <c r="V104" s="460">
        <f>+V100+V102</f>
        <v>2283504000</v>
      </c>
      <c r="W104" s="461">
        <v>2283504000</v>
      </c>
      <c r="X104" s="461"/>
      <c r="Y104" s="461"/>
      <c r="Z104" s="411"/>
      <c r="AA104" s="461">
        <v>1005720000</v>
      </c>
      <c r="AB104" s="461"/>
      <c r="AC104" s="461"/>
      <c r="AD104" s="461"/>
      <c r="AE104" s="411"/>
      <c r="AF104" s="391">
        <f>AF102+AF100</f>
        <v>237922784</v>
      </c>
      <c r="AG104" s="136">
        <v>1413763622</v>
      </c>
      <c r="AH104" s="136"/>
      <c r="AI104" s="136"/>
      <c r="AJ104" s="138"/>
      <c r="AK104" s="58"/>
      <c r="AL104" s="720"/>
      <c r="AM104" s="720"/>
      <c r="AN104" s="720"/>
      <c r="AO104" s="720" t="s">
        <v>465</v>
      </c>
      <c r="AP104" s="714" t="s">
        <v>466</v>
      </c>
    </row>
    <row r="105" spans="1:42" s="5" customFormat="1" ht="63.75" customHeight="1" x14ac:dyDescent="0.25">
      <c r="A105" s="710"/>
      <c r="B105" s="764">
        <v>17</v>
      </c>
      <c r="C105" s="740" t="s">
        <v>177</v>
      </c>
      <c r="D105" s="743" t="s">
        <v>123</v>
      </c>
      <c r="E105" s="743">
        <v>303</v>
      </c>
      <c r="F105" s="743">
        <v>179</v>
      </c>
      <c r="G105" s="62" t="s">
        <v>9</v>
      </c>
      <c r="H105" s="166">
        <v>100</v>
      </c>
      <c r="I105" s="125"/>
      <c r="J105" s="60">
        <v>10</v>
      </c>
      <c r="K105" s="60">
        <v>1.5</v>
      </c>
      <c r="L105" s="125">
        <v>42</v>
      </c>
      <c r="M105" s="125">
        <v>42</v>
      </c>
      <c r="N105" s="125">
        <v>42</v>
      </c>
      <c r="O105" s="125">
        <v>42</v>
      </c>
      <c r="P105" s="48">
        <v>42</v>
      </c>
      <c r="Q105" s="125">
        <v>51</v>
      </c>
      <c r="R105" s="125">
        <v>51</v>
      </c>
      <c r="S105" s="125">
        <v>51</v>
      </c>
      <c r="T105" s="125">
        <v>64.2</v>
      </c>
      <c r="U105" s="125">
        <v>64.900000000000006</v>
      </c>
      <c r="V105" s="374">
        <v>90</v>
      </c>
      <c r="W105" s="139">
        <v>90</v>
      </c>
      <c r="X105" s="139"/>
      <c r="Y105" s="139"/>
      <c r="Z105" s="139"/>
      <c r="AA105" s="139">
        <v>100</v>
      </c>
      <c r="AB105" s="139"/>
      <c r="AC105" s="139"/>
      <c r="AD105" s="139"/>
      <c r="AE105" s="139"/>
      <c r="AF105" s="414">
        <v>68.55</v>
      </c>
      <c r="AG105" s="48">
        <v>89.52</v>
      </c>
      <c r="AH105" s="48"/>
      <c r="AI105" s="48"/>
      <c r="AJ105" s="75">
        <f>AG105/W105</f>
        <v>0.99466666666666659</v>
      </c>
      <c r="AK105" s="29"/>
      <c r="AL105" s="718" t="s">
        <v>559</v>
      </c>
      <c r="AM105" s="718" t="s">
        <v>383</v>
      </c>
      <c r="AN105" s="718" t="s">
        <v>383</v>
      </c>
      <c r="AO105" s="718" t="s">
        <v>457</v>
      </c>
      <c r="AP105" s="712" t="s">
        <v>458</v>
      </c>
    </row>
    <row r="106" spans="1:42" s="5" customFormat="1" ht="66.75" customHeight="1" x14ac:dyDescent="0.25">
      <c r="A106" s="710"/>
      <c r="B106" s="750"/>
      <c r="C106" s="741"/>
      <c r="D106" s="716"/>
      <c r="E106" s="716"/>
      <c r="F106" s="716"/>
      <c r="G106" s="63" t="s">
        <v>10</v>
      </c>
      <c r="H106" s="127">
        <f>K106+P106+U106+V106+AG106</f>
        <v>1946871430</v>
      </c>
      <c r="I106" s="127"/>
      <c r="J106" s="127">
        <v>353763094</v>
      </c>
      <c r="K106" s="127">
        <v>307026667</v>
      </c>
      <c r="L106" s="127">
        <v>1152953711</v>
      </c>
      <c r="M106" s="127">
        <v>1152953711</v>
      </c>
      <c r="N106" s="127">
        <v>1152953711</v>
      </c>
      <c r="O106" s="127">
        <v>1152953711</v>
      </c>
      <c r="P106" s="81">
        <v>431281049</v>
      </c>
      <c r="Q106" s="127">
        <v>487637000</v>
      </c>
      <c r="R106" s="127">
        <v>487637000</v>
      </c>
      <c r="S106" s="127">
        <v>423804002</v>
      </c>
      <c r="T106" s="127">
        <v>360079790</v>
      </c>
      <c r="U106" s="127">
        <v>357815020</v>
      </c>
      <c r="V106" s="403">
        <v>584994000</v>
      </c>
      <c r="W106" s="371">
        <v>584994000</v>
      </c>
      <c r="X106" s="371"/>
      <c r="Y106" s="371"/>
      <c r="Z106" s="371"/>
      <c r="AA106" s="371">
        <v>811000000</v>
      </c>
      <c r="AB106" s="371"/>
      <c r="AC106" s="371"/>
      <c r="AD106" s="371"/>
      <c r="AE106" s="371"/>
      <c r="AF106" s="415">
        <v>91494900</v>
      </c>
      <c r="AG106" s="81">
        <v>265754694</v>
      </c>
      <c r="AH106" s="81"/>
      <c r="AI106" s="81"/>
      <c r="AJ106" s="75">
        <f>AG106/W106</f>
        <v>0.45428618755064154</v>
      </c>
      <c r="AK106" s="26">
        <v>0.41739999999999999</v>
      </c>
      <c r="AL106" s="719"/>
      <c r="AM106" s="719" t="s">
        <v>383</v>
      </c>
      <c r="AN106" s="719" t="s">
        <v>383</v>
      </c>
      <c r="AO106" s="719" t="s">
        <v>457</v>
      </c>
      <c r="AP106" s="713" t="s">
        <v>458</v>
      </c>
    </row>
    <row r="107" spans="1:42" s="5" customFormat="1" ht="53.25" customHeight="1" x14ac:dyDescent="0.25">
      <c r="A107" s="710"/>
      <c r="B107" s="750"/>
      <c r="C107" s="741"/>
      <c r="D107" s="716"/>
      <c r="E107" s="716"/>
      <c r="F107" s="716"/>
      <c r="G107" s="63" t="s">
        <v>11</v>
      </c>
      <c r="H107" s="167"/>
      <c r="I107" s="131"/>
      <c r="J107" s="131"/>
      <c r="K107" s="131"/>
      <c r="L107" s="49"/>
      <c r="M107" s="49"/>
      <c r="N107" s="49"/>
      <c r="O107" s="49"/>
      <c r="P107" s="162"/>
      <c r="Q107" s="131"/>
      <c r="R107" s="131"/>
      <c r="S107" s="131"/>
      <c r="T107" s="131"/>
      <c r="U107" s="131"/>
      <c r="V107" s="407"/>
      <c r="W107" s="370"/>
      <c r="X107" s="406"/>
      <c r="Y107" s="406"/>
      <c r="Z107" s="406"/>
      <c r="AA107" s="406"/>
      <c r="AB107" s="406"/>
      <c r="AC107" s="406"/>
      <c r="AD107" s="406"/>
      <c r="AE107" s="406"/>
      <c r="AF107" s="416"/>
      <c r="AG107" s="162"/>
      <c r="AH107" s="162"/>
      <c r="AI107" s="162"/>
      <c r="AJ107" s="75"/>
      <c r="AK107" s="26"/>
      <c r="AL107" s="719"/>
      <c r="AM107" s="719" t="s">
        <v>383</v>
      </c>
      <c r="AN107" s="719" t="s">
        <v>383</v>
      </c>
      <c r="AO107" s="719" t="s">
        <v>457</v>
      </c>
      <c r="AP107" s="713" t="s">
        <v>458</v>
      </c>
    </row>
    <row r="108" spans="1:42" s="5" customFormat="1" ht="62.25" customHeight="1" x14ac:dyDescent="0.25">
      <c r="A108" s="710"/>
      <c r="B108" s="750"/>
      <c r="C108" s="741"/>
      <c r="D108" s="716"/>
      <c r="E108" s="716"/>
      <c r="F108" s="716"/>
      <c r="G108" s="63" t="s">
        <v>12</v>
      </c>
      <c r="H108" s="167"/>
      <c r="I108" s="131"/>
      <c r="J108" s="131"/>
      <c r="K108" s="131"/>
      <c r="L108" s="148">
        <v>96208333</v>
      </c>
      <c r="M108" s="148">
        <v>96208333</v>
      </c>
      <c r="N108" s="148">
        <v>96208333</v>
      </c>
      <c r="O108" s="148">
        <v>96208333</v>
      </c>
      <c r="P108" s="81">
        <v>4433000</v>
      </c>
      <c r="Q108" s="81">
        <v>306466667</v>
      </c>
      <c r="R108" s="81">
        <v>306466667</v>
      </c>
      <c r="S108" s="81">
        <v>306466667</v>
      </c>
      <c r="T108" s="81">
        <v>306466667</v>
      </c>
      <c r="U108" s="131">
        <v>291789727</v>
      </c>
      <c r="V108" s="417">
        <v>246589276.33333299</v>
      </c>
      <c r="W108" s="370">
        <v>246589276.33333299</v>
      </c>
      <c r="X108" s="406"/>
      <c r="Y108" s="406"/>
      <c r="Z108" s="406"/>
      <c r="AA108" s="406"/>
      <c r="AB108" s="406"/>
      <c r="AC108" s="406"/>
      <c r="AD108" s="406"/>
      <c r="AE108" s="406"/>
      <c r="AF108" s="418">
        <v>181417759</v>
      </c>
      <c r="AG108" s="81">
        <v>246589276.32999998</v>
      </c>
      <c r="AH108" s="81"/>
      <c r="AI108" s="81"/>
      <c r="AJ108" s="75"/>
      <c r="AK108" s="26"/>
      <c r="AL108" s="719"/>
      <c r="AM108" s="719" t="s">
        <v>383</v>
      </c>
      <c r="AN108" s="719" t="s">
        <v>383</v>
      </c>
      <c r="AO108" s="719" t="s">
        <v>457</v>
      </c>
      <c r="AP108" s="713" t="s">
        <v>458</v>
      </c>
    </row>
    <row r="109" spans="1:42" s="5" customFormat="1" ht="54.75" customHeight="1" x14ac:dyDescent="0.25">
      <c r="A109" s="710"/>
      <c r="B109" s="750"/>
      <c r="C109" s="741"/>
      <c r="D109" s="716"/>
      <c r="E109" s="716"/>
      <c r="F109" s="716"/>
      <c r="G109" s="63" t="s">
        <v>13</v>
      </c>
      <c r="H109" s="168">
        <f>+H105</f>
        <v>100</v>
      </c>
      <c r="I109" s="134"/>
      <c r="J109" s="143">
        <v>10</v>
      </c>
      <c r="K109" s="134">
        <f>+K105</f>
        <v>1.5</v>
      </c>
      <c r="L109" s="134">
        <f>+L105</f>
        <v>42</v>
      </c>
      <c r="M109" s="134">
        <f>+M105</f>
        <v>42</v>
      </c>
      <c r="N109" s="134">
        <f>+N105</f>
        <v>42</v>
      </c>
      <c r="O109" s="134">
        <f>+O105</f>
        <v>42</v>
      </c>
      <c r="P109" s="160">
        <f>+P105+P107</f>
        <v>42</v>
      </c>
      <c r="Q109" s="134">
        <f>+Q105</f>
        <v>51</v>
      </c>
      <c r="R109" s="134">
        <f>+R105</f>
        <v>51</v>
      </c>
      <c r="S109" s="134">
        <v>51</v>
      </c>
      <c r="T109" s="134">
        <v>64.2</v>
      </c>
      <c r="U109" s="134">
        <v>64.900000000000006</v>
      </c>
      <c r="V109" s="393">
        <f>+V105</f>
        <v>90</v>
      </c>
      <c r="W109" s="409">
        <v>90</v>
      </c>
      <c r="X109" s="409"/>
      <c r="Y109" s="409"/>
      <c r="Z109" s="409"/>
      <c r="AA109" s="409">
        <v>100</v>
      </c>
      <c r="AB109" s="409"/>
      <c r="AC109" s="409"/>
      <c r="AD109" s="409"/>
      <c r="AE109" s="409"/>
      <c r="AF109" s="419">
        <f>+AF105+AF107</f>
        <v>68.55</v>
      </c>
      <c r="AG109" s="160">
        <v>89.52</v>
      </c>
      <c r="AH109" s="160"/>
      <c r="AI109" s="160"/>
      <c r="AJ109" s="75"/>
      <c r="AK109" s="26"/>
      <c r="AL109" s="719"/>
      <c r="AM109" s="719" t="s">
        <v>383</v>
      </c>
      <c r="AN109" s="719" t="s">
        <v>383</v>
      </c>
      <c r="AO109" s="719" t="s">
        <v>457</v>
      </c>
      <c r="AP109" s="713" t="s">
        <v>458</v>
      </c>
    </row>
    <row r="110" spans="1:42" s="5" customFormat="1" ht="63.75" customHeight="1" thickBot="1" x14ac:dyDescent="0.3">
      <c r="A110" s="710"/>
      <c r="B110" s="765"/>
      <c r="C110" s="742"/>
      <c r="D110" s="717"/>
      <c r="E110" s="717"/>
      <c r="F110" s="717"/>
      <c r="G110" s="64" t="s">
        <v>14</v>
      </c>
      <c r="H110" s="169">
        <f>+H106</f>
        <v>1946871430</v>
      </c>
      <c r="I110" s="135"/>
      <c r="J110" s="137">
        <v>354000000</v>
      </c>
      <c r="K110" s="135">
        <f>+K106</f>
        <v>307026667</v>
      </c>
      <c r="L110" s="135">
        <f>+L106+L108</f>
        <v>1249162044</v>
      </c>
      <c r="M110" s="135">
        <f>+M106+M108</f>
        <v>1249162044</v>
      </c>
      <c r="N110" s="135">
        <f>+N106+N108</f>
        <v>1249162044</v>
      </c>
      <c r="O110" s="135">
        <f>+O106+O108</f>
        <v>1249162044</v>
      </c>
      <c r="P110" s="145">
        <f>+P106+P108</f>
        <v>435714049</v>
      </c>
      <c r="Q110" s="135">
        <f>+Q106+Q108</f>
        <v>794103667</v>
      </c>
      <c r="R110" s="135">
        <f>+R106+R108</f>
        <v>794103667</v>
      </c>
      <c r="S110" s="135">
        <v>730270669</v>
      </c>
      <c r="T110" s="135">
        <v>666546457</v>
      </c>
      <c r="U110" s="135">
        <v>649604747</v>
      </c>
      <c r="V110" s="420">
        <f>+V106+V108</f>
        <v>831583276.33333302</v>
      </c>
      <c r="W110" s="411">
        <v>831583276.33333302</v>
      </c>
      <c r="X110" s="411"/>
      <c r="Y110" s="411"/>
      <c r="Z110" s="411"/>
      <c r="AA110" s="411">
        <v>811000000</v>
      </c>
      <c r="AB110" s="411"/>
      <c r="AC110" s="411"/>
      <c r="AD110" s="411"/>
      <c r="AE110" s="411"/>
      <c r="AF110" s="391">
        <f>AF106+AF108</f>
        <v>272912659</v>
      </c>
      <c r="AG110" s="145">
        <v>512343970.32999998</v>
      </c>
      <c r="AH110" s="145"/>
      <c r="AI110" s="145"/>
      <c r="AJ110" s="76"/>
      <c r="AK110" s="58"/>
      <c r="AL110" s="720"/>
      <c r="AM110" s="720" t="s">
        <v>383</v>
      </c>
      <c r="AN110" s="720" t="s">
        <v>383</v>
      </c>
      <c r="AO110" s="720" t="s">
        <v>457</v>
      </c>
      <c r="AP110" s="714" t="s">
        <v>458</v>
      </c>
    </row>
    <row r="111" spans="1:42" s="5" customFormat="1" ht="45" customHeight="1" x14ac:dyDescent="0.25">
      <c r="A111" s="710"/>
      <c r="B111" s="733">
        <v>18</v>
      </c>
      <c r="C111" s="736" t="s">
        <v>178</v>
      </c>
      <c r="D111" s="715" t="s">
        <v>123</v>
      </c>
      <c r="E111" s="715">
        <v>314</v>
      </c>
      <c r="F111" s="715">
        <v>183</v>
      </c>
      <c r="G111" s="39" t="s">
        <v>9</v>
      </c>
      <c r="H111" s="125">
        <v>2</v>
      </c>
      <c r="I111" s="125"/>
      <c r="J111" s="170">
        <v>0.2</v>
      </c>
      <c r="K111" s="125">
        <v>0</v>
      </c>
      <c r="L111" s="60">
        <v>1.2</v>
      </c>
      <c r="M111" s="60" t="s">
        <v>193</v>
      </c>
      <c r="N111" s="60" t="s">
        <v>193</v>
      </c>
      <c r="O111" s="60" t="s">
        <v>193</v>
      </c>
      <c r="P111" s="48">
        <v>1.2</v>
      </c>
      <c r="Q111" s="60">
        <v>1.5</v>
      </c>
      <c r="R111" s="60">
        <v>1.5</v>
      </c>
      <c r="S111" s="60">
        <v>1.5</v>
      </c>
      <c r="T111" s="60">
        <v>1.5</v>
      </c>
      <c r="U111" s="60">
        <v>1.5</v>
      </c>
      <c r="V111" s="374">
        <v>2</v>
      </c>
      <c r="W111" s="126">
        <v>2</v>
      </c>
      <c r="X111" s="126"/>
      <c r="Y111" s="126"/>
      <c r="Z111" s="139"/>
      <c r="AA111" s="139"/>
      <c r="AB111" s="139"/>
      <c r="AC111" s="139"/>
      <c r="AD111" s="139"/>
      <c r="AE111" s="139"/>
      <c r="AF111" s="430">
        <v>1.63</v>
      </c>
      <c r="AG111" s="444">
        <v>1.75</v>
      </c>
      <c r="AH111" s="444"/>
      <c r="AI111" s="444"/>
      <c r="AJ111" s="75">
        <f>AG111/W111</f>
        <v>0.875</v>
      </c>
      <c r="AK111" s="29"/>
      <c r="AL111" s="718" t="s">
        <v>560</v>
      </c>
      <c r="AM111" s="718"/>
      <c r="AN111" s="718"/>
      <c r="AO111" s="718"/>
      <c r="AP111" s="712"/>
    </row>
    <row r="112" spans="1:42" s="5" customFormat="1" ht="36" customHeight="1" x14ac:dyDescent="0.25">
      <c r="A112" s="710"/>
      <c r="B112" s="734"/>
      <c r="C112" s="737"/>
      <c r="D112" s="716"/>
      <c r="E112" s="716"/>
      <c r="F112" s="716"/>
      <c r="G112" s="40" t="s">
        <v>10</v>
      </c>
      <c r="H112" s="127">
        <f>K112+P112+U112+V112+AA112</f>
        <v>171476000</v>
      </c>
      <c r="I112" s="127"/>
      <c r="J112" s="127"/>
      <c r="K112" s="49">
        <v>0</v>
      </c>
      <c r="L112" s="127">
        <v>48690000</v>
      </c>
      <c r="M112" s="127">
        <v>48690000</v>
      </c>
      <c r="N112" s="127">
        <v>48690000</v>
      </c>
      <c r="O112" s="127">
        <v>48690000</v>
      </c>
      <c r="P112" s="81">
        <v>48690000</v>
      </c>
      <c r="Q112" s="127">
        <v>64800000</v>
      </c>
      <c r="R112" s="127">
        <v>64800000</v>
      </c>
      <c r="S112" s="127">
        <v>64800000</v>
      </c>
      <c r="T112" s="127">
        <v>64280000</v>
      </c>
      <c r="U112" s="127">
        <v>64280000</v>
      </c>
      <c r="V112" s="403">
        <v>58506000</v>
      </c>
      <c r="W112" s="371">
        <v>58506000</v>
      </c>
      <c r="X112" s="371"/>
      <c r="Y112" s="371"/>
      <c r="Z112" s="371"/>
      <c r="AA112" s="371"/>
      <c r="AB112" s="371"/>
      <c r="AC112" s="371"/>
      <c r="AD112" s="371"/>
      <c r="AE112" s="371"/>
      <c r="AF112" s="415">
        <v>58323407</v>
      </c>
      <c r="AG112" s="172">
        <v>58323407</v>
      </c>
      <c r="AH112" s="172"/>
      <c r="AI112" s="172"/>
      <c r="AJ112" s="75">
        <f>AG112/W112</f>
        <v>0.99687907223190786</v>
      </c>
      <c r="AK112" s="26">
        <v>0.99890000000000001</v>
      </c>
      <c r="AL112" s="719"/>
      <c r="AM112" s="719"/>
      <c r="AN112" s="719"/>
      <c r="AO112" s="719"/>
      <c r="AP112" s="713"/>
    </row>
    <row r="113" spans="1:42" s="5" customFormat="1" ht="40.5" customHeight="1" x14ac:dyDescent="0.25">
      <c r="A113" s="710"/>
      <c r="B113" s="734"/>
      <c r="C113" s="737"/>
      <c r="D113" s="716"/>
      <c r="E113" s="716"/>
      <c r="F113" s="716"/>
      <c r="G113" s="40" t="s">
        <v>11</v>
      </c>
      <c r="H113" s="131"/>
      <c r="I113" s="131"/>
      <c r="J113" s="131"/>
      <c r="K113" s="131">
        <f>0.3/12</f>
        <v>2.4999999999999998E-2</v>
      </c>
      <c r="L113" s="131"/>
      <c r="M113" s="131"/>
      <c r="N113" s="131"/>
      <c r="O113" s="131"/>
      <c r="P113" s="160"/>
      <c r="Q113" s="131"/>
      <c r="R113" s="131"/>
      <c r="S113" s="131"/>
      <c r="T113" s="131"/>
      <c r="U113" s="131"/>
      <c r="V113" s="407"/>
      <c r="W113" s="370"/>
      <c r="X113" s="406"/>
      <c r="Y113" s="406"/>
      <c r="Z113" s="406"/>
      <c r="AA113" s="406"/>
      <c r="AB113" s="406"/>
      <c r="AC113" s="406"/>
      <c r="AD113" s="406"/>
      <c r="AE113" s="406"/>
      <c r="AF113" s="423"/>
      <c r="AG113" s="173"/>
      <c r="AH113" s="173"/>
      <c r="AI113" s="173"/>
      <c r="AJ113" s="130"/>
      <c r="AK113" s="26"/>
      <c r="AL113" s="719"/>
      <c r="AM113" s="719"/>
      <c r="AN113" s="719"/>
      <c r="AO113" s="719"/>
      <c r="AP113" s="713"/>
    </row>
    <row r="114" spans="1:42" s="5" customFormat="1" ht="33" customHeight="1" x14ac:dyDescent="0.25">
      <c r="A114" s="710"/>
      <c r="B114" s="734"/>
      <c r="C114" s="737"/>
      <c r="D114" s="716"/>
      <c r="E114" s="716"/>
      <c r="F114" s="716"/>
      <c r="G114" s="40" t="s">
        <v>12</v>
      </c>
      <c r="H114" s="141"/>
      <c r="I114" s="141"/>
      <c r="J114" s="141"/>
      <c r="K114" s="141"/>
      <c r="L114" s="141"/>
      <c r="M114" s="141"/>
      <c r="N114" s="141"/>
      <c r="O114" s="141"/>
      <c r="P114" s="160"/>
      <c r="Q114" s="127">
        <v>6852666</v>
      </c>
      <c r="R114" s="127">
        <v>6852666</v>
      </c>
      <c r="S114" s="127">
        <v>6852666</v>
      </c>
      <c r="T114" s="127">
        <v>6852666</v>
      </c>
      <c r="U114" s="141">
        <v>6852666</v>
      </c>
      <c r="V114" s="407">
        <v>13606333</v>
      </c>
      <c r="W114" s="647">
        <v>13606333</v>
      </c>
      <c r="X114" s="408"/>
      <c r="Y114" s="408"/>
      <c r="Z114" s="408"/>
      <c r="AA114" s="408"/>
      <c r="AB114" s="408"/>
      <c r="AC114" s="408"/>
      <c r="AD114" s="408"/>
      <c r="AE114" s="408"/>
      <c r="AF114" s="445">
        <v>13008333</v>
      </c>
      <c r="AG114" s="173">
        <v>13606333</v>
      </c>
      <c r="AH114" s="173"/>
      <c r="AI114" s="173"/>
      <c r="AJ114" s="130"/>
      <c r="AK114" s="26"/>
      <c r="AL114" s="719"/>
      <c r="AM114" s="719"/>
      <c r="AN114" s="719"/>
      <c r="AO114" s="719"/>
      <c r="AP114" s="713"/>
    </row>
    <row r="115" spans="1:42" s="5" customFormat="1" ht="36" customHeight="1" x14ac:dyDescent="0.25">
      <c r="A115" s="710"/>
      <c r="B115" s="734"/>
      <c r="C115" s="737"/>
      <c r="D115" s="716"/>
      <c r="E115" s="716"/>
      <c r="F115" s="716"/>
      <c r="G115" s="40" t="s">
        <v>13</v>
      </c>
      <c r="H115" s="134">
        <f>+H111</f>
        <v>2</v>
      </c>
      <c r="I115" s="134"/>
      <c r="J115" s="164">
        <f>+J111</f>
        <v>0.2</v>
      </c>
      <c r="K115" s="134">
        <f t="shared" ref="K115:O116" si="27">+K111</f>
        <v>0</v>
      </c>
      <c r="L115" s="164">
        <f t="shared" si="27"/>
        <v>1.2</v>
      </c>
      <c r="M115" s="134" t="str">
        <f t="shared" si="27"/>
        <v>1.2</v>
      </c>
      <c r="N115" s="134" t="str">
        <f t="shared" si="27"/>
        <v>1.2</v>
      </c>
      <c r="O115" s="134" t="str">
        <f t="shared" si="27"/>
        <v>1.2</v>
      </c>
      <c r="P115" s="160">
        <f>+P111</f>
        <v>1.2</v>
      </c>
      <c r="Q115" s="149">
        <f>+Q111</f>
        <v>1.5</v>
      </c>
      <c r="R115" s="164">
        <f>+R111</f>
        <v>1.5</v>
      </c>
      <c r="S115" s="164">
        <v>1.5</v>
      </c>
      <c r="T115" s="164">
        <v>1.5</v>
      </c>
      <c r="U115" s="134">
        <v>1.5</v>
      </c>
      <c r="V115" s="393">
        <f>+V111</f>
        <v>2</v>
      </c>
      <c r="W115" s="409">
        <v>2</v>
      </c>
      <c r="X115" s="409"/>
      <c r="Y115" s="409"/>
      <c r="Z115" s="409"/>
      <c r="AA115" s="409">
        <v>0</v>
      </c>
      <c r="AB115" s="409"/>
      <c r="AC115" s="409"/>
      <c r="AD115" s="409"/>
      <c r="AE115" s="409"/>
      <c r="AF115" s="432">
        <f>+AF111+AF113</f>
        <v>1.63</v>
      </c>
      <c r="AG115" s="173">
        <v>1.75</v>
      </c>
      <c r="AH115" s="173"/>
      <c r="AI115" s="173"/>
      <c r="AJ115" s="130"/>
      <c r="AK115" s="26"/>
      <c r="AL115" s="719"/>
      <c r="AM115" s="719"/>
      <c r="AN115" s="719"/>
      <c r="AO115" s="719"/>
      <c r="AP115" s="713"/>
    </row>
    <row r="116" spans="1:42" s="5" customFormat="1" ht="49.5" customHeight="1" thickBot="1" x14ac:dyDescent="0.3">
      <c r="A116" s="710"/>
      <c r="B116" s="735"/>
      <c r="C116" s="747"/>
      <c r="D116" s="717"/>
      <c r="E116" s="717"/>
      <c r="F116" s="717"/>
      <c r="G116" s="41" t="s">
        <v>14</v>
      </c>
      <c r="H116" s="135">
        <f>+H112</f>
        <v>171476000</v>
      </c>
      <c r="I116" s="135"/>
      <c r="J116" s="135"/>
      <c r="K116" s="135">
        <f t="shared" si="27"/>
        <v>0</v>
      </c>
      <c r="L116" s="135">
        <f t="shared" si="27"/>
        <v>48690000</v>
      </c>
      <c r="M116" s="135">
        <f t="shared" si="27"/>
        <v>48690000</v>
      </c>
      <c r="N116" s="135">
        <f t="shared" si="27"/>
        <v>48690000</v>
      </c>
      <c r="O116" s="135">
        <f t="shared" si="27"/>
        <v>48690000</v>
      </c>
      <c r="P116" s="145">
        <f>+P112+P114</f>
        <v>48690000</v>
      </c>
      <c r="Q116" s="135">
        <f>+Q112+Q114</f>
        <v>71652666</v>
      </c>
      <c r="R116" s="135">
        <f>+R112+R114</f>
        <v>71652666</v>
      </c>
      <c r="S116" s="135">
        <v>71652666</v>
      </c>
      <c r="T116" s="135">
        <v>71132666</v>
      </c>
      <c r="U116" s="135">
        <v>71132666</v>
      </c>
      <c r="V116" s="420">
        <f>+V112</f>
        <v>58506000</v>
      </c>
      <c r="W116" s="411">
        <v>58506000</v>
      </c>
      <c r="X116" s="411"/>
      <c r="Y116" s="411"/>
      <c r="Z116" s="411"/>
      <c r="AA116" s="411">
        <v>0</v>
      </c>
      <c r="AB116" s="411"/>
      <c r="AC116" s="411"/>
      <c r="AD116" s="411"/>
      <c r="AE116" s="411"/>
      <c r="AF116" s="397">
        <f>AF114+AF112</f>
        <v>71331740</v>
      </c>
      <c r="AG116" s="136">
        <v>71929740</v>
      </c>
      <c r="AH116" s="136"/>
      <c r="AI116" s="136"/>
      <c r="AJ116" s="138"/>
      <c r="AK116" s="58"/>
      <c r="AL116" s="720"/>
      <c r="AM116" s="720"/>
      <c r="AN116" s="720"/>
      <c r="AO116" s="720"/>
      <c r="AP116" s="714"/>
    </row>
    <row r="117" spans="1:42" s="5" customFormat="1" ht="45" customHeight="1" x14ac:dyDescent="0.25">
      <c r="A117" s="710" t="s">
        <v>216</v>
      </c>
      <c r="B117" s="733">
        <v>19</v>
      </c>
      <c r="C117" s="736" t="s">
        <v>179</v>
      </c>
      <c r="D117" s="715" t="s">
        <v>122</v>
      </c>
      <c r="E117" s="715">
        <v>311</v>
      </c>
      <c r="F117" s="715">
        <v>182</v>
      </c>
      <c r="G117" s="39" t="s">
        <v>9</v>
      </c>
      <c r="H117" s="125">
        <v>1</v>
      </c>
      <c r="I117" s="125"/>
      <c r="J117" s="125">
        <v>1</v>
      </c>
      <c r="K117" s="125">
        <v>1</v>
      </c>
      <c r="L117" s="125">
        <v>1</v>
      </c>
      <c r="M117" s="125">
        <v>1</v>
      </c>
      <c r="N117" s="125">
        <v>1</v>
      </c>
      <c r="O117" s="125">
        <v>1</v>
      </c>
      <c r="P117" s="48">
        <v>1</v>
      </c>
      <c r="Q117" s="125">
        <v>1</v>
      </c>
      <c r="R117" s="125">
        <v>1</v>
      </c>
      <c r="S117" s="125">
        <v>1</v>
      </c>
      <c r="T117" s="125">
        <v>1</v>
      </c>
      <c r="U117" s="125">
        <v>1</v>
      </c>
      <c r="V117" s="374">
        <v>1</v>
      </c>
      <c r="W117" s="139">
        <v>1</v>
      </c>
      <c r="X117" s="139"/>
      <c r="Y117" s="139"/>
      <c r="Z117" s="139"/>
      <c r="AA117" s="139">
        <v>1</v>
      </c>
      <c r="AB117" s="139"/>
      <c r="AC117" s="139"/>
      <c r="AD117" s="139"/>
      <c r="AE117" s="139"/>
      <c r="AF117" s="458">
        <v>1</v>
      </c>
      <c r="AG117" s="444">
        <v>1</v>
      </c>
      <c r="AH117" s="444"/>
      <c r="AI117" s="444"/>
      <c r="AJ117" s="130">
        <f>AF117/V117</f>
        <v>1</v>
      </c>
      <c r="AK117" s="367"/>
      <c r="AL117" s="730" t="s">
        <v>561</v>
      </c>
      <c r="AM117" s="718"/>
      <c r="AN117" s="718"/>
      <c r="AO117" s="718" t="s">
        <v>486</v>
      </c>
      <c r="AP117" s="712" t="s">
        <v>487</v>
      </c>
    </row>
    <row r="118" spans="1:42" s="5" customFormat="1" ht="36" customHeight="1" x14ac:dyDescent="0.25">
      <c r="A118" s="710"/>
      <c r="B118" s="734"/>
      <c r="C118" s="737"/>
      <c r="D118" s="716"/>
      <c r="E118" s="716"/>
      <c r="F118" s="716"/>
      <c r="G118" s="40" t="s">
        <v>10</v>
      </c>
      <c r="H118" s="127">
        <f>K118+P118+U118+V118+AA118</f>
        <v>1124209334</v>
      </c>
      <c r="I118" s="127"/>
      <c r="J118" s="127">
        <v>28266667</v>
      </c>
      <c r="K118" s="127">
        <v>15016667</v>
      </c>
      <c r="L118" s="127">
        <v>387903196</v>
      </c>
      <c r="M118" s="127">
        <v>387903196</v>
      </c>
      <c r="N118" s="127">
        <v>387903196</v>
      </c>
      <c r="O118" s="127">
        <v>387903196</v>
      </c>
      <c r="P118" s="81">
        <v>361905000</v>
      </c>
      <c r="Q118" s="127">
        <v>413493500</v>
      </c>
      <c r="R118" s="127">
        <v>413493500</v>
      </c>
      <c r="S118" s="127">
        <v>448528000</v>
      </c>
      <c r="T118" s="127">
        <v>448528000</v>
      </c>
      <c r="U118" s="127">
        <v>448441667</v>
      </c>
      <c r="V118" s="403">
        <v>98846000</v>
      </c>
      <c r="W118" s="371">
        <v>195964700</v>
      </c>
      <c r="X118" s="371"/>
      <c r="Y118" s="371"/>
      <c r="Z118" s="371"/>
      <c r="AA118" s="371">
        <v>200000000</v>
      </c>
      <c r="AB118" s="371"/>
      <c r="AC118" s="371"/>
      <c r="AD118" s="371"/>
      <c r="AE118" s="371"/>
      <c r="AF118" s="459">
        <v>87493350</v>
      </c>
      <c r="AG118" s="172">
        <v>191397567</v>
      </c>
      <c r="AH118" s="172"/>
      <c r="AI118" s="172"/>
      <c r="AJ118" s="130">
        <f>AF118/V118</f>
        <v>0.88514810917993647</v>
      </c>
      <c r="AK118" s="368">
        <v>0.78449999999999998</v>
      </c>
      <c r="AL118" s="731"/>
      <c r="AM118" s="719"/>
      <c r="AN118" s="719"/>
      <c r="AO118" s="719"/>
      <c r="AP118" s="713"/>
    </row>
    <row r="119" spans="1:42" s="5" customFormat="1" ht="40.5" customHeight="1" x14ac:dyDescent="0.25">
      <c r="A119" s="710"/>
      <c r="B119" s="734"/>
      <c r="C119" s="737"/>
      <c r="D119" s="716"/>
      <c r="E119" s="716"/>
      <c r="F119" s="716"/>
      <c r="G119" s="40" t="s">
        <v>11</v>
      </c>
      <c r="H119" s="131"/>
      <c r="I119" s="131"/>
      <c r="J119" s="131"/>
      <c r="K119" s="131"/>
      <c r="L119" s="131"/>
      <c r="M119" s="131"/>
      <c r="N119" s="131"/>
      <c r="O119" s="131"/>
      <c r="P119" s="160"/>
      <c r="Q119" s="175"/>
      <c r="R119" s="131"/>
      <c r="S119" s="131"/>
      <c r="T119" s="131"/>
      <c r="U119" s="131"/>
      <c r="V119" s="407"/>
      <c r="W119" s="370"/>
      <c r="X119" s="406"/>
      <c r="Y119" s="406"/>
      <c r="Z119" s="406"/>
      <c r="AA119" s="406"/>
      <c r="AB119" s="406"/>
      <c r="AC119" s="406"/>
      <c r="AD119" s="406"/>
      <c r="AE119" s="406"/>
      <c r="AF119" s="423"/>
      <c r="AG119" s="173"/>
      <c r="AH119" s="173"/>
      <c r="AI119" s="173"/>
      <c r="AJ119" s="130"/>
      <c r="AK119" s="368"/>
      <c r="AL119" s="731"/>
      <c r="AM119" s="719"/>
      <c r="AN119" s="719"/>
      <c r="AO119" s="719"/>
      <c r="AP119" s="713"/>
    </row>
    <row r="120" spans="1:42" s="5" customFormat="1" ht="33" customHeight="1" x14ac:dyDescent="0.25">
      <c r="A120" s="710"/>
      <c r="B120" s="734"/>
      <c r="C120" s="737"/>
      <c r="D120" s="716"/>
      <c r="E120" s="716"/>
      <c r="F120" s="716"/>
      <c r="G120" s="40" t="s">
        <v>12</v>
      </c>
      <c r="H120" s="141"/>
      <c r="I120" s="141"/>
      <c r="J120" s="141"/>
      <c r="K120" s="141"/>
      <c r="L120" s="141">
        <v>706667</v>
      </c>
      <c r="M120" s="141">
        <v>706667</v>
      </c>
      <c r="N120" s="141">
        <v>706667</v>
      </c>
      <c r="O120" s="141">
        <v>706667</v>
      </c>
      <c r="P120" s="81">
        <f>+O120</f>
        <v>706667</v>
      </c>
      <c r="Q120" s="176">
        <v>69023999</v>
      </c>
      <c r="R120" s="176">
        <v>74298999</v>
      </c>
      <c r="S120" s="176">
        <v>63203999</v>
      </c>
      <c r="T120" s="176">
        <v>63203999</v>
      </c>
      <c r="U120" s="141">
        <v>63203999</v>
      </c>
      <c r="V120" s="407">
        <v>34530334</v>
      </c>
      <c r="W120" s="647">
        <v>34530334</v>
      </c>
      <c r="X120" s="408"/>
      <c r="Y120" s="408"/>
      <c r="Z120" s="408"/>
      <c r="AA120" s="408"/>
      <c r="AB120" s="408"/>
      <c r="AC120" s="408"/>
      <c r="AD120" s="408"/>
      <c r="AE120" s="408"/>
      <c r="AF120" s="418">
        <v>34530333</v>
      </c>
      <c r="AG120" s="172">
        <v>34530333</v>
      </c>
      <c r="AH120" s="172"/>
      <c r="AI120" s="172"/>
      <c r="AJ120" s="130"/>
      <c r="AK120" s="368"/>
      <c r="AL120" s="731"/>
      <c r="AM120" s="719"/>
      <c r="AN120" s="719"/>
      <c r="AO120" s="719"/>
      <c r="AP120" s="713"/>
    </row>
    <row r="121" spans="1:42" s="5" customFormat="1" ht="36" customHeight="1" x14ac:dyDescent="0.25">
      <c r="A121" s="710"/>
      <c r="B121" s="734"/>
      <c r="C121" s="737"/>
      <c r="D121" s="716"/>
      <c r="E121" s="716"/>
      <c r="F121" s="716"/>
      <c r="G121" s="40" t="s">
        <v>13</v>
      </c>
      <c r="H121" s="134">
        <f>+H117</f>
        <v>1</v>
      </c>
      <c r="I121" s="134"/>
      <c r="J121" s="134">
        <f>+J117</f>
        <v>1</v>
      </c>
      <c r="K121" s="134">
        <f t="shared" ref="K121:P121" si="28">+K117</f>
        <v>1</v>
      </c>
      <c r="L121" s="134">
        <f t="shared" si="28"/>
        <v>1</v>
      </c>
      <c r="M121" s="134">
        <f t="shared" si="28"/>
        <v>1</v>
      </c>
      <c r="N121" s="134">
        <f t="shared" si="28"/>
        <v>1</v>
      </c>
      <c r="O121" s="134">
        <f t="shared" si="28"/>
        <v>1</v>
      </c>
      <c r="P121" s="160">
        <f t="shared" si="28"/>
        <v>1</v>
      </c>
      <c r="Q121" s="134">
        <f>+Q117</f>
        <v>1</v>
      </c>
      <c r="R121" s="134">
        <f>+R117</f>
        <v>1</v>
      </c>
      <c r="S121" s="134">
        <v>1</v>
      </c>
      <c r="T121" s="134">
        <v>1</v>
      </c>
      <c r="U121" s="134">
        <v>1</v>
      </c>
      <c r="V121" s="393">
        <f>+V117</f>
        <v>1</v>
      </c>
      <c r="W121" s="409">
        <v>1</v>
      </c>
      <c r="X121" s="409"/>
      <c r="Y121" s="409"/>
      <c r="Z121" s="409"/>
      <c r="AA121" s="409">
        <v>1</v>
      </c>
      <c r="AB121" s="409"/>
      <c r="AC121" s="409"/>
      <c r="AD121" s="409"/>
      <c r="AE121" s="409"/>
      <c r="AF121" s="419">
        <f>+AF117+AF119</f>
        <v>1</v>
      </c>
      <c r="AG121" s="173">
        <v>1</v>
      </c>
      <c r="AH121" s="173"/>
      <c r="AI121" s="173"/>
      <c r="AJ121" s="130"/>
      <c r="AK121" s="368"/>
      <c r="AL121" s="731"/>
      <c r="AM121" s="719"/>
      <c r="AN121" s="719"/>
      <c r="AO121" s="719"/>
      <c r="AP121" s="713"/>
    </row>
    <row r="122" spans="1:42" s="5" customFormat="1" ht="49.5" customHeight="1" thickBot="1" x14ac:dyDescent="0.3">
      <c r="A122" s="710"/>
      <c r="B122" s="735"/>
      <c r="C122" s="738"/>
      <c r="D122" s="739"/>
      <c r="E122" s="739"/>
      <c r="F122" s="739"/>
      <c r="G122" s="41" t="s">
        <v>14</v>
      </c>
      <c r="H122" s="135">
        <f>+H118</f>
        <v>1124209334</v>
      </c>
      <c r="I122" s="135"/>
      <c r="J122" s="135">
        <f>+J118</f>
        <v>28266667</v>
      </c>
      <c r="K122" s="135">
        <f>+K118</f>
        <v>15016667</v>
      </c>
      <c r="L122" s="135">
        <f t="shared" ref="L122:Q122" si="29">+L118+L120</f>
        <v>388609863</v>
      </c>
      <c r="M122" s="135">
        <f t="shared" si="29"/>
        <v>388609863</v>
      </c>
      <c r="N122" s="135">
        <f t="shared" si="29"/>
        <v>388609863</v>
      </c>
      <c r="O122" s="135">
        <f t="shared" si="29"/>
        <v>388609863</v>
      </c>
      <c r="P122" s="145">
        <f t="shared" si="29"/>
        <v>362611667</v>
      </c>
      <c r="Q122" s="135">
        <f t="shared" si="29"/>
        <v>482517499</v>
      </c>
      <c r="R122" s="135">
        <f>+R118+R120</f>
        <v>487792499</v>
      </c>
      <c r="S122" s="135">
        <v>511731999</v>
      </c>
      <c r="T122" s="135">
        <v>511731999</v>
      </c>
      <c r="U122" s="135">
        <v>511645666</v>
      </c>
      <c r="V122" s="420">
        <f>+V118</f>
        <v>98846000</v>
      </c>
      <c r="W122" s="411">
        <v>195964700</v>
      </c>
      <c r="X122" s="411"/>
      <c r="Y122" s="411"/>
      <c r="Z122" s="411"/>
      <c r="AA122" s="411">
        <v>200000000</v>
      </c>
      <c r="AB122" s="411"/>
      <c r="AC122" s="411"/>
      <c r="AD122" s="411"/>
      <c r="AE122" s="411"/>
      <c r="AF122" s="391">
        <f>AF120+AF118</f>
        <v>122023683</v>
      </c>
      <c r="AG122" s="136">
        <v>225927900</v>
      </c>
      <c r="AH122" s="136"/>
      <c r="AI122" s="136"/>
      <c r="AJ122" s="138"/>
      <c r="AK122" s="373"/>
      <c r="AL122" s="732"/>
      <c r="AM122" s="720"/>
      <c r="AN122" s="720"/>
      <c r="AO122" s="720"/>
      <c r="AP122" s="714"/>
    </row>
    <row r="123" spans="1:42" s="5" customFormat="1" ht="45" customHeight="1" thickBot="1" x14ac:dyDescent="0.3">
      <c r="A123" s="710"/>
      <c r="B123" s="721">
        <v>20</v>
      </c>
      <c r="C123" s="740" t="s">
        <v>180</v>
      </c>
      <c r="D123" s="743" t="s">
        <v>122</v>
      </c>
      <c r="E123" s="743">
        <v>311</v>
      </c>
      <c r="F123" s="744">
        <v>182</v>
      </c>
      <c r="G123" s="65" t="s">
        <v>9</v>
      </c>
      <c r="H123" s="125">
        <v>100</v>
      </c>
      <c r="I123" s="125"/>
      <c r="J123" s="125">
        <v>100</v>
      </c>
      <c r="K123" s="125">
        <v>100</v>
      </c>
      <c r="L123" s="125">
        <v>100</v>
      </c>
      <c r="M123" s="125">
        <v>100</v>
      </c>
      <c r="N123" s="125">
        <v>100</v>
      </c>
      <c r="O123" s="125">
        <v>100</v>
      </c>
      <c r="P123" s="48">
        <v>100</v>
      </c>
      <c r="Q123" s="125">
        <v>100</v>
      </c>
      <c r="R123" s="125">
        <v>100</v>
      </c>
      <c r="S123" s="125">
        <v>100</v>
      </c>
      <c r="T123" s="125">
        <v>100</v>
      </c>
      <c r="U123" s="125">
        <v>100</v>
      </c>
      <c r="V123" s="374">
        <v>100</v>
      </c>
      <c r="W123" s="139">
        <v>100</v>
      </c>
      <c r="X123" s="139"/>
      <c r="Y123" s="139"/>
      <c r="Z123" s="139"/>
      <c r="AA123" s="139">
        <v>100</v>
      </c>
      <c r="AB123" s="139"/>
      <c r="AC123" s="139"/>
      <c r="AD123" s="139"/>
      <c r="AE123" s="139"/>
      <c r="AF123" s="458">
        <v>100</v>
      </c>
      <c r="AG123" s="444">
        <v>100</v>
      </c>
      <c r="AH123" s="444"/>
      <c r="AI123" s="444"/>
      <c r="AJ123" s="59">
        <f>AF123/V123</f>
        <v>1</v>
      </c>
      <c r="AK123" s="367"/>
      <c r="AL123" s="718" t="s">
        <v>562</v>
      </c>
      <c r="AM123" s="718"/>
      <c r="AN123" s="718"/>
      <c r="AO123" s="718" t="s">
        <v>488</v>
      </c>
      <c r="AP123" s="712" t="s">
        <v>489</v>
      </c>
    </row>
    <row r="124" spans="1:42" s="5" customFormat="1" ht="36" customHeight="1" x14ac:dyDescent="0.25">
      <c r="A124" s="710"/>
      <c r="B124" s="722"/>
      <c r="C124" s="741"/>
      <c r="D124" s="716"/>
      <c r="E124" s="716"/>
      <c r="F124" s="745"/>
      <c r="G124" s="66" t="s">
        <v>10</v>
      </c>
      <c r="H124" s="127">
        <f>K124+P124+U124+V124+AA124</f>
        <v>3239713933</v>
      </c>
      <c r="I124" s="127"/>
      <c r="J124" s="127">
        <v>12466667</v>
      </c>
      <c r="K124" s="127">
        <v>12466667</v>
      </c>
      <c r="L124" s="127">
        <v>1026979325</v>
      </c>
      <c r="M124" s="127">
        <v>1026979325</v>
      </c>
      <c r="N124" s="127">
        <v>1026979325</v>
      </c>
      <c r="O124" s="127">
        <v>1026979325</v>
      </c>
      <c r="P124" s="81">
        <v>791895466</v>
      </c>
      <c r="Q124" s="81">
        <v>611691500</v>
      </c>
      <c r="R124" s="81">
        <v>611691500</v>
      </c>
      <c r="S124" s="81">
        <v>576657000</v>
      </c>
      <c r="T124" s="81">
        <v>576657000</v>
      </c>
      <c r="U124" s="127">
        <v>576649800</v>
      </c>
      <c r="V124" s="403">
        <v>658702000</v>
      </c>
      <c r="W124" s="371">
        <v>738105500</v>
      </c>
      <c r="X124" s="371"/>
      <c r="Y124" s="371"/>
      <c r="Z124" s="371"/>
      <c r="AA124" s="371">
        <v>1200000000</v>
      </c>
      <c r="AB124" s="371"/>
      <c r="AC124" s="371"/>
      <c r="AD124" s="371"/>
      <c r="AE124" s="371"/>
      <c r="AF124" s="459">
        <v>361221000</v>
      </c>
      <c r="AG124" s="172">
        <v>698088832</v>
      </c>
      <c r="AH124" s="172"/>
      <c r="AI124" s="172"/>
      <c r="AJ124" s="59">
        <f>AF124/V124</f>
        <v>0.54838303208431127</v>
      </c>
      <c r="AK124" s="368">
        <v>0.50139999999999996</v>
      </c>
      <c r="AL124" s="719"/>
      <c r="AM124" s="719"/>
      <c r="AN124" s="719"/>
      <c r="AO124" s="719"/>
      <c r="AP124" s="713"/>
    </row>
    <row r="125" spans="1:42" s="5" customFormat="1" ht="40.5" customHeight="1" x14ac:dyDescent="0.25">
      <c r="A125" s="710"/>
      <c r="B125" s="722"/>
      <c r="C125" s="741"/>
      <c r="D125" s="716"/>
      <c r="E125" s="716"/>
      <c r="F125" s="745"/>
      <c r="G125" s="66" t="s">
        <v>11</v>
      </c>
      <c r="H125" s="131"/>
      <c r="I125" s="131"/>
      <c r="J125" s="131"/>
      <c r="K125" s="131"/>
      <c r="L125" s="131"/>
      <c r="M125" s="131"/>
      <c r="N125" s="131"/>
      <c r="O125" s="131"/>
      <c r="P125" s="162"/>
      <c r="Q125" s="131"/>
      <c r="R125" s="131"/>
      <c r="S125" s="131"/>
      <c r="T125" s="131"/>
      <c r="U125" s="131"/>
      <c r="V125" s="407"/>
      <c r="W125" s="370"/>
      <c r="X125" s="406"/>
      <c r="Y125" s="406"/>
      <c r="Z125" s="406"/>
      <c r="AA125" s="406"/>
      <c r="AB125" s="406"/>
      <c r="AC125" s="406"/>
      <c r="AD125" s="406"/>
      <c r="AE125" s="406"/>
      <c r="AF125" s="416"/>
      <c r="AG125" s="455"/>
      <c r="AH125" s="455"/>
      <c r="AI125" s="455"/>
      <c r="AJ125" s="130"/>
      <c r="AK125" s="368"/>
      <c r="AL125" s="719"/>
      <c r="AM125" s="719"/>
      <c r="AN125" s="719"/>
      <c r="AO125" s="719"/>
      <c r="AP125" s="713"/>
    </row>
    <row r="126" spans="1:42" s="5" customFormat="1" ht="33" customHeight="1" x14ac:dyDescent="0.25">
      <c r="A126" s="710"/>
      <c r="B126" s="722"/>
      <c r="C126" s="741"/>
      <c r="D126" s="716"/>
      <c r="E126" s="716"/>
      <c r="F126" s="745"/>
      <c r="G126" s="66" t="s">
        <v>12</v>
      </c>
      <c r="H126" s="141"/>
      <c r="I126" s="141"/>
      <c r="J126" s="141"/>
      <c r="K126" s="141"/>
      <c r="L126" s="141">
        <v>2913333</v>
      </c>
      <c r="M126" s="141">
        <v>2913333</v>
      </c>
      <c r="N126" s="141">
        <v>2913333</v>
      </c>
      <c r="O126" s="141">
        <v>2913333</v>
      </c>
      <c r="P126" s="81">
        <v>2913333</v>
      </c>
      <c r="Q126" s="81">
        <v>619859801</v>
      </c>
      <c r="R126" s="81">
        <v>619859801</v>
      </c>
      <c r="S126" s="81">
        <v>611366468</v>
      </c>
      <c r="T126" s="81">
        <v>611366468</v>
      </c>
      <c r="U126" s="141">
        <v>135413828</v>
      </c>
      <c r="V126" s="407">
        <f>203588195-15540000</f>
        <v>188048195</v>
      </c>
      <c r="W126" s="647">
        <v>188048195</v>
      </c>
      <c r="X126" s="408"/>
      <c r="Y126" s="408"/>
      <c r="Z126" s="408"/>
      <c r="AA126" s="408"/>
      <c r="AB126" s="408"/>
      <c r="AC126" s="408"/>
      <c r="AD126" s="408"/>
      <c r="AE126" s="408"/>
      <c r="AF126" s="418">
        <v>19667667</v>
      </c>
      <c r="AG126" s="172">
        <v>44375289</v>
      </c>
      <c r="AH126" s="172"/>
      <c r="AI126" s="172"/>
      <c r="AJ126" s="130"/>
      <c r="AK126" s="368"/>
      <c r="AL126" s="719"/>
      <c r="AM126" s="719"/>
      <c r="AN126" s="719"/>
      <c r="AO126" s="719"/>
      <c r="AP126" s="713"/>
    </row>
    <row r="127" spans="1:42" s="5" customFormat="1" ht="36" customHeight="1" x14ac:dyDescent="0.25">
      <c r="A127" s="710"/>
      <c r="B127" s="722"/>
      <c r="C127" s="741"/>
      <c r="D127" s="716"/>
      <c r="E127" s="716"/>
      <c r="F127" s="745"/>
      <c r="G127" s="66" t="s">
        <v>13</v>
      </c>
      <c r="H127" s="134">
        <f>+H123</f>
        <v>100</v>
      </c>
      <c r="I127" s="134"/>
      <c r="J127" s="134">
        <f t="shared" ref="J127:O127" si="30">+J123</f>
        <v>100</v>
      </c>
      <c r="K127" s="134">
        <f t="shared" si="30"/>
        <v>100</v>
      </c>
      <c r="L127" s="134">
        <f t="shared" si="30"/>
        <v>100</v>
      </c>
      <c r="M127" s="134">
        <f t="shared" si="30"/>
        <v>100</v>
      </c>
      <c r="N127" s="134">
        <f t="shared" si="30"/>
        <v>100</v>
      </c>
      <c r="O127" s="134">
        <f t="shared" si="30"/>
        <v>100</v>
      </c>
      <c r="P127" s="160">
        <v>100</v>
      </c>
      <c r="Q127" s="134">
        <f>+Q123</f>
        <v>100</v>
      </c>
      <c r="R127" s="134">
        <f>+R123</f>
        <v>100</v>
      </c>
      <c r="S127" s="134">
        <v>100</v>
      </c>
      <c r="T127" s="134">
        <v>100</v>
      </c>
      <c r="U127" s="134">
        <v>100</v>
      </c>
      <c r="V127" s="393">
        <f>+V123</f>
        <v>100</v>
      </c>
      <c r="W127" s="409">
        <v>100</v>
      </c>
      <c r="X127" s="409"/>
      <c r="Y127" s="409"/>
      <c r="Z127" s="409"/>
      <c r="AA127" s="409">
        <v>100</v>
      </c>
      <c r="AB127" s="409"/>
      <c r="AC127" s="409"/>
      <c r="AD127" s="409"/>
      <c r="AE127" s="409"/>
      <c r="AF127" s="419">
        <f>+AF123+AF125</f>
        <v>100</v>
      </c>
      <c r="AG127" s="173">
        <v>100</v>
      </c>
      <c r="AH127" s="173"/>
      <c r="AI127" s="173"/>
      <c r="AJ127" s="130"/>
      <c r="AK127" s="368"/>
      <c r="AL127" s="719"/>
      <c r="AM127" s="719"/>
      <c r="AN127" s="719"/>
      <c r="AO127" s="719"/>
      <c r="AP127" s="713"/>
    </row>
    <row r="128" spans="1:42" s="5" customFormat="1" ht="49.5" customHeight="1" thickBot="1" x14ac:dyDescent="0.3">
      <c r="A128" s="710"/>
      <c r="B128" s="723"/>
      <c r="C128" s="742"/>
      <c r="D128" s="717"/>
      <c r="E128" s="717"/>
      <c r="F128" s="746"/>
      <c r="G128" s="67" t="s">
        <v>14</v>
      </c>
      <c r="H128" s="135">
        <f>+H124</f>
        <v>3239713933</v>
      </c>
      <c r="I128" s="135"/>
      <c r="J128" s="135">
        <f>+J124</f>
        <v>12466667</v>
      </c>
      <c r="K128" s="135">
        <f>+K124</f>
        <v>12466667</v>
      </c>
      <c r="L128" s="135">
        <f t="shared" ref="L128:Q128" si="31">+L124+L126</f>
        <v>1029892658</v>
      </c>
      <c r="M128" s="135">
        <f t="shared" si="31"/>
        <v>1029892658</v>
      </c>
      <c r="N128" s="135">
        <f t="shared" si="31"/>
        <v>1029892658</v>
      </c>
      <c r="O128" s="135">
        <f t="shared" si="31"/>
        <v>1029892658</v>
      </c>
      <c r="P128" s="145">
        <f t="shared" si="31"/>
        <v>794808799</v>
      </c>
      <c r="Q128" s="135">
        <f t="shared" si="31"/>
        <v>1231551301</v>
      </c>
      <c r="R128" s="135">
        <f>+R124+R126</f>
        <v>1231551301</v>
      </c>
      <c r="S128" s="135">
        <v>1188023468</v>
      </c>
      <c r="T128" s="135">
        <v>1188023468</v>
      </c>
      <c r="U128" s="135">
        <v>712063628</v>
      </c>
      <c r="V128" s="420">
        <f>+V124</f>
        <v>658702000</v>
      </c>
      <c r="W128" s="411">
        <v>738105500</v>
      </c>
      <c r="X128" s="411"/>
      <c r="Y128" s="411"/>
      <c r="Z128" s="411"/>
      <c r="AA128" s="411">
        <v>1200000000</v>
      </c>
      <c r="AB128" s="411"/>
      <c r="AC128" s="411"/>
      <c r="AD128" s="411"/>
      <c r="AE128" s="411"/>
      <c r="AF128" s="391">
        <f>+AF124+AF126</f>
        <v>380888667</v>
      </c>
      <c r="AG128" s="136">
        <v>742464121</v>
      </c>
      <c r="AH128" s="136"/>
      <c r="AI128" s="136"/>
      <c r="AJ128" s="138"/>
      <c r="AK128" s="373"/>
      <c r="AL128" s="720"/>
      <c r="AM128" s="720"/>
      <c r="AN128" s="720"/>
      <c r="AO128" s="720"/>
      <c r="AP128" s="714"/>
    </row>
    <row r="129" spans="1:46" s="5" customFormat="1" ht="45" customHeight="1" x14ac:dyDescent="0.25">
      <c r="A129" s="710"/>
      <c r="B129" s="721">
        <v>21</v>
      </c>
      <c r="C129" s="724" t="s">
        <v>181</v>
      </c>
      <c r="D129" s="727" t="s">
        <v>123</v>
      </c>
      <c r="E129" s="715">
        <v>307</v>
      </c>
      <c r="F129" s="715">
        <v>180</v>
      </c>
      <c r="G129" s="39" t="s">
        <v>9</v>
      </c>
      <c r="H129" s="125">
        <v>1</v>
      </c>
      <c r="I129" s="125"/>
      <c r="J129" s="146">
        <v>0.1</v>
      </c>
      <c r="K129" s="84">
        <v>0.1</v>
      </c>
      <c r="L129" s="158">
        <v>0.4</v>
      </c>
      <c r="M129" s="158" t="s">
        <v>182</v>
      </c>
      <c r="N129" s="158" t="s">
        <v>182</v>
      </c>
      <c r="O129" s="158" t="s">
        <v>182</v>
      </c>
      <c r="P129" s="48">
        <v>0.4</v>
      </c>
      <c r="Q129" s="158">
        <v>0.7</v>
      </c>
      <c r="R129" s="158">
        <v>0.7</v>
      </c>
      <c r="S129" s="158">
        <v>0.7</v>
      </c>
      <c r="T129" s="158">
        <v>0.7</v>
      </c>
      <c r="U129" s="158">
        <v>0.7</v>
      </c>
      <c r="V129" s="374">
        <v>1</v>
      </c>
      <c r="W129" s="171">
        <v>1</v>
      </c>
      <c r="X129" s="171"/>
      <c r="Y129" s="171"/>
      <c r="Z129" s="171"/>
      <c r="AA129" s="443">
        <v>0</v>
      </c>
      <c r="AB129" s="443"/>
      <c r="AC129" s="443"/>
      <c r="AD129" s="443"/>
      <c r="AE129" s="139"/>
      <c r="AF129" s="126">
        <v>0.76</v>
      </c>
      <c r="AG129" s="444">
        <v>0.91</v>
      </c>
      <c r="AH129" s="444"/>
      <c r="AI129" s="444"/>
      <c r="AJ129" s="130">
        <f>AF129/V129</f>
        <v>0.76</v>
      </c>
      <c r="AK129" s="367"/>
      <c r="AL129" s="718" t="s">
        <v>563</v>
      </c>
      <c r="AM129" s="718" t="s">
        <v>383</v>
      </c>
      <c r="AN129" s="718" t="s">
        <v>383</v>
      </c>
      <c r="AO129" s="718" t="s">
        <v>157</v>
      </c>
      <c r="AP129" s="712" t="s">
        <v>538</v>
      </c>
    </row>
    <row r="130" spans="1:46" s="5" customFormat="1" ht="36" customHeight="1" x14ac:dyDescent="0.25">
      <c r="A130" s="710"/>
      <c r="B130" s="722"/>
      <c r="C130" s="725"/>
      <c r="D130" s="728"/>
      <c r="E130" s="716"/>
      <c r="F130" s="716"/>
      <c r="G130" s="40" t="s">
        <v>10</v>
      </c>
      <c r="H130" s="127">
        <f>K130+P130+U130+V130+AA130</f>
        <v>841356851</v>
      </c>
      <c r="I130" s="127"/>
      <c r="J130" s="127">
        <v>13300000</v>
      </c>
      <c r="K130" s="49">
        <v>0</v>
      </c>
      <c r="L130" s="127">
        <v>607850000</v>
      </c>
      <c r="M130" s="127">
        <v>607850000</v>
      </c>
      <c r="N130" s="127">
        <v>607850000</v>
      </c>
      <c r="O130" s="127">
        <v>607850000</v>
      </c>
      <c r="P130" s="81">
        <v>606700000</v>
      </c>
      <c r="Q130" s="127">
        <v>224560000</v>
      </c>
      <c r="R130" s="127">
        <v>224560000</v>
      </c>
      <c r="S130" s="127">
        <v>224560000</v>
      </c>
      <c r="T130" s="127">
        <v>220655000</v>
      </c>
      <c r="U130" s="127">
        <v>160573851</v>
      </c>
      <c r="V130" s="403">
        <v>74083000</v>
      </c>
      <c r="W130" s="371">
        <v>74083000</v>
      </c>
      <c r="X130" s="371"/>
      <c r="Y130" s="371"/>
      <c r="Z130" s="371"/>
      <c r="AA130" s="371">
        <v>0</v>
      </c>
      <c r="AB130" s="371"/>
      <c r="AC130" s="371"/>
      <c r="AD130" s="371"/>
      <c r="AE130" s="371"/>
      <c r="AF130" s="415">
        <v>51189970</v>
      </c>
      <c r="AG130" s="172">
        <v>68576370</v>
      </c>
      <c r="AH130" s="172"/>
      <c r="AI130" s="172"/>
      <c r="AJ130" s="130">
        <f>AF130/V130</f>
        <v>0.69098133174952414</v>
      </c>
      <c r="AK130" s="368">
        <v>0.89359999999999995</v>
      </c>
      <c r="AL130" s="719"/>
      <c r="AM130" s="719" t="s">
        <v>383</v>
      </c>
      <c r="AN130" s="719" t="s">
        <v>383</v>
      </c>
      <c r="AO130" s="719" t="s">
        <v>157</v>
      </c>
      <c r="AP130" s="713" t="s">
        <v>464</v>
      </c>
    </row>
    <row r="131" spans="1:46" s="5" customFormat="1" ht="40.5" customHeight="1" x14ac:dyDescent="0.25">
      <c r="A131" s="710"/>
      <c r="B131" s="722"/>
      <c r="C131" s="725"/>
      <c r="D131" s="728"/>
      <c r="E131" s="716"/>
      <c r="F131" s="716"/>
      <c r="G131" s="40" t="s">
        <v>11</v>
      </c>
      <c r="H131" s="131"/>
      <c r="I131" s="131"/>
      <c r="J131" s="131"/>
      <c r="K131" s="131"/>
      <c r="L131" s="131"/>
      <c r="M131" s="131"/>
      <c r="N131" s="131"/>
      <c r="O131" s="131"/>
      <c r="P131" s="160"/>
      <c r="Q131" s="131"/>
      <c r="R131" s="131"/>
      <c r="S131" s="131"/>
      <c r="T131" s="131"/>
      <c r="U131" s="131"/>
      <c r="V131" s="407"/>
      <c r="W131" s="370"/>
      <c r="X131" s="406"/>
      <c r="Y131" s="406"/>
      <c r="Z131" s="406"/>
      <c r="AA131" s="406"/>
      <c r="AB131" s="406"/>
      <c r="AC131" s="406"/>
      <c r="AD131" s="406"/>
      <c r="AE131" s="406"/>
      <c r="AF131" s="423"/>
      <c r="AG131" s="173"/>
      <c r="AH131" s="173"/>
      <c r="AI131" s="173"/>
      <c r="AJ131" s="130"/>
      <c r="AK131" s="368"/>
      <c r="AL131" s="719"/>
      <c r="AM131" s="719" t="s">
        <v>383</v>
      </c>
      <c r="AN131" s="719" t="s">
        <v>383</v>
      </c>
      <c r="AO131" s="719" t="s">
        <v>157</v>
      </c>
      <c r="AP131" s="713" t="s">
        <v>464</v>
      </c>
    </row>
    <row r="132" spans="1:46" s="5" customFormat="1" ht="33" customHeight="1" x14ac:dyDescent="0.25">
      <c r="A132" s="710"/>
      <c r="B132" s="722"/>
      <c r="C132" s="725"/>
      <c r="D132" s="728"/>
      <c r="E132" s="716"/>
      <c r="F132" s="716"/>
      <c r="G132" s="40" t="s">
        <v>12</v>
      </c>
      <c r="H132" s="141"/>
      <c r="I132" s="141"/>
      <c r="J132" s="141"/>
      <c r="K132" s="141"/>
      <c r="L132" s="141"/>
      <c r="M132" s="141"/>
      <c r="N132" s="141"/>
      <c r="O132" s="141"/>
      <c r="P132" s="160"/>
      <c r="Q132" s="81">
        <v>514572334</v>
      </c>
      <c r="R132" s="81">
        <v>514572334</v>
      </c>
      <c r="S132" s="81">
        <v>514572334</v>
      </c>
      <c r="T132" s="81">
        <v>514572334</v>
      </c>
      <c r="U132" s="141">
        <v>225988334</v>
      </c>
      <c r="V132" s="407">
        <v>103060517</v>
      </c>
      <c r="W132" s="647">
        <v>103060517</v>
      </c>
      <c r="X132" s="408"/>
      <c r="Y132" s="408"/>
      <c r="Z132" s="408"/>
      <c r="AA132" s="408"/>
      <c r="AB132" s="408"/>
      <c r="AC132" s="408"/>
      <c r="AD132" s="408"/>
      <c r="AE132" s="408"/>
      <c r="AF132" s="445">
        <v>22933000</v>
      </c>
      <c r="AG132" s="173">
        <v>29617251</v>
      </c>
      <c r="AH132" s="173"/>
      <c r="AI132" s="173"/>
      <c r="AJ132" s="130"/>
      <c r="AK132" s="368"/>
      <c r="AL132" s="719"/>
      <c r="AM132" s="719" t="s">
        <v>383</v>
      </c>
      <c r="AN132" s="719" t="s">
        <v>383</v>
      </c>
      <c r="AO132" s="719" t="s">
        <v>157</v>
      </c>
      <c r="AP132" s="713" t="s">
        <v>464</v>
      </c>
    </row>
    <row r="133" spans="1:46" s="5" customFormat="1" ht="36" customHeight="1" x14ac:dyDescent="0.25">
      <c r="A133" s="710"/>
      <c r="B133" s="722"/>
      <c r="C133" s="725"/>
      <c r="D133" s="728"/>
      <c r="E133" s="716"/>
      <c r="F133" s="716"/>
      <c r="G133" s="40" t="s">
        <v>13</v>
      </c>
      <c r="H133" s="134">
        <f>+H129</f>
        <v>1</v>
      </c>
      <c r="I133" s="134"/>
      <c r="J133" s="149">
        <f>+J129</f>
        <v>0.1</v>
      </c>
      <c r="K133" s="134">
        <f t="shared" ref="K133:O134" si="32">+K129</f>
        <v>0.1</v>
      </c>
      <c r="L133" s="134">
        <f>+L129</f>
        <v>0.4</v>
      </c>
      <c r="M133" s="134" t="str">
        <f t="shared" si="32"/>
        <v>0.4</v>
      </c>
      <c r="N133" s="134" t="str">
        <f t="shared" si="32"/>
        <v>0.4</v>
      </c>
      <c r="O133" s="134" t="str">
        <f t="shared" si="32"/>
        <v>0.4</v>
      </c>
      <c r="P133" s="160">
        <f>+P129</f>
        <v>0.4</v>
      </c>
      <c r="Q133" s="164">
        <f>+Q129</f>
        <v>0.7</v>
      </c>
      <c r="R133" s="164">
        <f>+R129</f>
        <v>0.7</v>
      </c>
      <c r="S133" s="164">
        <v>0.7</v>
      </c>
      <c r="T133" s="164">
        <v>0.7</v>
      </c>
      <c r="U133" s="134">
        <v>0.7</v>
      </c>
      <c r="V133" s="393">
        <f>+V129</f>
        <v>1</v>
      </c>
      <c r="W133" s="409">
        <v>1</v>
      </c>
      <c r="X133" s="409"/>
      <c r="Y133" s="409"/>
      <c r="Z133" s="409"/>
      <c r="AA133" s="409">
        <v>0</v>
      </c>
      <c r="AB133" s="409"/>
      <c r="AC133" s="409"/>
      <c r="AD133" s="409"/>
      <c r="AE133" s="409"/>
      <c r="AF133" s="419">
        <f>+AF129+AF131</f>
        <v>0.76</v>
      </c>
      <c r="AG133" s="173">
        <v>0.91</v>
      </c>
      <c r="AH133" s="173"/>
      <c r="AI133" s="173"/>
      <c r="AJ133" s="130"/>
      <c r="AK133" s="368"/>
      <c r="AL133" s="719"/>
      <c r="AM133" s="719" t="s">
        <v>383</v>
      </c>
      <c r="AN133" s="719" t="s">
        <v>383</v>
      </c>
      <c r="AO133" s="719" t="s">
        <v>157</v>
      </c>
      <c r="AP133" s="713" t="s">
        <v>464</v>
      </c>
    </row>
    <row r="134" spans="1:46" s="5" customFormat="1" ht="49.5" customHeight="1" thickBot="1" x14ac:dyDescent="0.3">
      <c r="A134" s="710"/>
      <c r="B134" s="723"/>
      <c r="C134" s="726"/>
      <c r="D134" s="729"/>
      <c r="E134" s="717"/>
      <c r="F134" s="717"/>
      <c r="G134" s="41" t="s">
        <v>14</v>
      </c>
      <c r="H134" s="135">
        <f>+H130</f>
        <v>841356851</v>
      </c>
      <c r="I134" s="135"/>
      <c r="J134" s="135">
        <f>+J130</f>
        <v>13300000</v>
      </c>
      <c r="K134" s="135">
        <f t="shared" si="32"/>
        <v>0</v>
      </c>
      <c r="L134" s="135">
        <f t="shared" si="32"/>
        <v>607850000</v>
      </c>
      <c r="M134" s="135">
        <f t="shared" si="32"/>
        <v>607850000</v>
      </c>
      <c r="N134" s="135">
        <f t="shared" si="32"/>
        <v>607850000</v>
      </c>
      <c r="O134" s="135">
        <f t="shared" si="32"/>
        <v>607850000</v>
      </c>
      <c r="P134" s="145">
        <f>+P130</f>
        <v>606700000</v>
      </c>
      <c r="Q134" s="135">
        <f>+Q130+Q132</f>
        <v>739132334</v>
      </c>
      <c r="R134" s="135">
        <f>+R130+R132</f>
        <v>739132334</v>
      </c>
      <c r="S134" s="135">
        <v>739132334</v>
      </c>
      <c r="T134" s="135">
        <v>735227334</v>
      </c>
      <c r="U134" s="135">
        <v>386562185</v>
      </c>
      <c r="V134" s="420">
        <f>+V130</f>
        <v>74083000</v>
      </c>
      <c r="W134" s="411">
        <v>74083000</v>
      </c>
      <c r="X134" s="411"/>
      <c r="Y134" s="411"/>
      <c r="Z134" s="411"/>
      <c r="AA134" s="411">
        <v>0</v>
      </c>
      <c r="AB134" s="411"/>
      <c r="AC134" s="411"/>
      <c r="AD134" s="411"/>
      <c r="AE134" s="411"/>
      <c r="AF134" s="391">
        <f>AF132+AF130</f>
        <v>74122970</v>
      </c>
      <c r="AG134" s="136">
        <v>98193621</v>
      </c>
      <c r="AH134" s="136"/>
      <c r="AI134" s="136"/>
      <c r="AJ134" s="138"/>
      <c r="AK134" s="373"/>
      <c r="AL134" s="720"/>
      <c r="AM134" s="720" t="s">
        <v>383</v>
      </c>
      <c r="AN134" s="720" t="s">
        <v>383</v>
      </c>
      <c r="AO134" s="720" t="s">
        <v>157</v>
      </c>
      <c r="AP134" s="714" t="s">
        <v>464</v>
      </c>
    </row>
    <row r="135" spans="1:46" s="5" customFormat="1" ht="45" customHeight="1" thickBot="1" x14ac:dyDescent="0.3">
      <c r="A135" s="710"/>
      <c r="B135" s="721">
        <v>22</v>
      </c>
      <c r="C135" s="724" t="s">
        <v>367</v>
      </c>
      <c r="D135" s="727" t="s">
        <v>123</v>
      </c>
      <c r="E135" s="715">
        <v>306</v>
      </c>
      <c r="F135" s="715"/>
      <c r="G135" s="39" t="s">
        <v>9</v>
      </c>
      <c r="H135" s="125">
        <v>14</v>
      </c>
      <c r="I135" s="125"/>
      <c r="J135" s="125">
        <v>0</v>
      </c>
      <c r="K135" s="125">
        <v>0</v>
      </c>
      <c r="L135" s="125">
        <v>0</v>
      </c>
      <c r="M135" s="125">
        <v>0</v>
      </c>
      <c r="N135" s="125">
        <v>0</v>
      </c>
      <c r="O135" s="125">
        <v>0</v>
      </c>
      <c r="P135" s="52">
        <v>0</v>
      </c>
      <c r="Q135" s="125">
        <v>0</v>
      </c>
      <c r="R135" s="125">
        <v>0</v>
      </c>
      <c r="S135" s="125">
        <v>0</v>
      </c>
      <c r="T135" s="125"/>
      <c r="U135" s="125"/>
      <c r="V135" s="374">
        <v>0.8</v>
      </c>
      <c r="W135" s="139">
        <v>0.8</v>
      </c>
      <c r="X135" s="139"/>
      <c r="Y135" s="139"/>
      <c r="Z135" s="139"/>
      <c r="AA135" s="139">
        <v>14</v>
      </c>
      <c r="AB135" s="139"/>
      <c r="AC135" s="139"/>
      <c r="AD135" s="139"/>
      <c r="AE135" s="139"/>
      <c r="AF135" s="402">
        <v>0</v>
      </c>
      <c r="AG135" s="52"/>
      <c r="AH135" s="52"/>
      <c r="AI135" s="52"/>
      <c r="AJ135" s="78">
        <f>AF135/V135</f>
        <v>0</v>
      </c>
      <c r="AK135" s="29"/>
      <c r="AL135" s="718" t="s">
        <v>564</v>
      </c>
      <c r="AM135" s="718"/>
      <c r="AN135" s="718"/>
      <c r="AO135" s="718"/>
      <c r="AP135" s="712"/>
    </row>
    <row r="136" spans="1:46" s="5" customFormat="1" ht="36" customHeight="1" x14ac:dyDescent="0.25">
      <c r="A136" s="710"/>
      <c r="B136" s="722"/>
      <c r="C136" s="725"/>
      <c r="D136" s="728"/>
      <c r="E136" s="716"/>
      <c r="F136" s="716"/>
      <c r="G136" s="40" t="s">
        <v>10</v>
      </c>
      <c r="H136" s="127">
        <f>K136+P136+U136+V136+AA136</f>
        <v>1014383000</v>
      </c>
      <c r="I136" s="127"/>
      <c r="J136" s="127">
        <v>0</v>
      </c>
      <c r="K136" s="127">
        <v>0</v>
      </c>
      <c r="L136" s="127">
        <v>0</v>
      </c>
      <c r="M136" s="127">
        <v>0</v>
      </c>
      <c r="N136" s="127">
        <v>0</v>
      </c>
      <c r="O136" s="127">
        <v>0</v>
      </c>
      <c r="P136" s="49">
        <v>0</v>
      </c>
      <c r="Q136" s="127">
        <v>0</v>
      </c>
      <c r="R136" s="127">
        <v>0</v>
      </c>
      <c r="S136" s="127">
        <v>0</v>
      </c>
      <c r="T136" s="127"/>
      <c r="U136" s="127"/>
      <c r="V136" s="403">
        <v>200000000</v>
      </c>
      <c r="W136" s="371">
        <v>200000000</v>
      </c>
      <c r="X136" s="371"/>
      <c r="Y136" s="371"/>
      <c r="Z136" s="371"/>
      <c r="AA136" s="371">
        <v>814383000</v>
      </c>
      <c r="AB136" s="371"/>
      <c r="AC136" s="371"/>
      <c r="AD136" s="371"/>
      <c r="AE136" s="371"/>
      <c r="AF136" s="369">
        <v>0</v>
      </c>
      <c r="AG136" s="49"/>
      <c r="AH136" s="49"/>
      <c r="AI136" s="49"/>
      <c r="AJ136" s="78">
        <f>AF136/V136</f>
        <v>0</v>
      </c>
      <c r="AK136" s="26">
        <v>0</v>
      </c>
      <c r="AL136" s="719"/>
      <c r="AM136" s="719"/>
      <c r="AN136" s="719"/>
      <c r="AO136" s="719"/>
      <c r="AP136" s="713"/>
    </row>
    <row r="137" spans="1:46" s="5" customFormat="1" ht="40.5" customHeight="1" x14ac:dyDescent="0.25">
      <c r="A137" s="710"/>
      <c r="B137" s="722"/>
      <c r="C137" s="725"/>
      <c r="D137" s="728"/>
      <c r="E137" s="716"/>
      <c r="F137" s="716"/>
      <c r="G137" s="40" t="s">
        <v>11</v>
      </c>
      <c r="H137" s="131"/>
      <c r="I137" s="131"/>
      <c r="J137" s="131"/>
      <c r="K137" s="131"/>
      <c r="L137" s="131"/>
      <c r="M137" s="131"/>
      <c r="N137" s="131"/>
      <c r="O137" s="131"/>
      <c r="P137" s="49"/>
      <c r="Q137" s="131"/>
      <c r="R137" s="131"/>
      <c r="S137" s="131"/>
      <c r="T137" s="131"/>
      <c r="U137" s="131"/>
      <c r="V137" s="407"/>
      <c r="W137" s="370"/>
      <c r="X137" s="406"/>
      <c r="Y137" s="406"/>
      <c r="Z137" s="406"/>
      <c r="AA137" s="406"/>
      <c r="AB137" s="406"/>
      <c r="AC137" s="406"/>
      <c r="AD137" s="406"/>
      <c r="AE137" s="406"/>
      <c r="AF137" s="369"/>
      <c r="AG137" s="49"/>
      <c r="AH137" s="50"/>
      <c r="AI137" s="49"/>
      <c r="AJ137" s="75"/>
      <c r="AK137" s="26"/>
      <c r="AL137" s="719"/>
      <c r="AM137" s="719"/>
      <c r="AN137" s="719"/>
      <c r="AO137" s="719"/>
      <c r="AP137" s="713"/>
    </row>
    <row r="138" spans="1:46" s="5" customFormat="1" ht="33" customHeight="1" x14ac:dyDescent="0.25">
      <c r="A138" s="710"/>
      <c r="B138" s="722"/>
      <c r="C138" s="725"/>
      <c r="D138" s="728"/>
      <c r="E138" s="716"/>
      <c r="F138" s="716"/>
      <c r="G138" s="40" t="s">
        <v>12</v>
      </c>
      <c r="H138" s="141"/>
      <c r="I138" s="141"/>
      <c r="J138" s="141"/>
      <c r="K138" s="141"/>
      <c r="L138" s="141"/>
      <c r="M138" s="141"/>
      <c r="N138" s="141"/>
      <c r="O138" s="141"/>
      <c r="P138" s="142"/>
      <c r="Q138" s="141"/>
      <c r="R138" s="141"/>
      <c r="S138" s="141"/>
      <c r="T138" s="141"/>
      <c r="U138" s="141"/>
      <c r="V138" s="407"/>
      <c r="W138" s="647"/>
      <c r="X138" s="408"/>
      <c r="Y138" s="408"/>
      <c r="Z138" s="408"/>
      <c r="AA138" s="408"/>
      <c r="AB138" s="408"/>
      <c r="AC138" s="408"/>
      <c r="AD138" s="408"/>
      <c r="AE138" s="408"/>
      <c r="AF138" s="404"/>
      <c r="AG138" s="127"/>
      <c r="AH138" s="127"/>
      <c r="AI138" s="127"/>
      <c r="AJ138" s="75"/>
      <c r="AK138" s="26"/>
      <c r="AL138" s="719"/>
      <c r="AM138" s="719"/>
      <c r="AN138" s="719"/>
      <c r="AO138" s="719"/>
      <c r="AP138" s="713"/>
    </row>
    <row r="139" spans="1:46" s="5" customFormat="1" ht="36" customHeight="1" x14ac:dyDescent="0.25">
      <c r="A139" s="710"/>
      <c r="B139" s="722"/>
      <c r="C139" s="725"/>
      <c r="D139" s="728"/>
      <c r="E139" s="716"/>
      <c r="F139" s="716"/>
      <c r="G139" s="40" t="s">
        <v>13</v>
      </c>
      <c r="H139" s="159">
        <f>+H135</f>
        <v>14</v>
      </c>
      <c r="I139" s="134"/>
      <c r="J139" s="159">
        <f t="shared" ref="J139" si="33">+J135</f>
        <v>0</v>
      </c>
      <c r="K139" s="159">
        <f t="shared" ref="K139:O140" si="34">+K135</f>
        <v>0</v>
      </c>
      <c r="L139" s="159">
        <f t="shared" si="34"/>
        <v>0</v>
      </c>
      <c r="M139" s="159">
        <f t="shared" si="34"/>
        <v>0</v>
      </c>
      <c r="N139" s="159">
        <f t="shared" si="34"/>
        <v>0</v>
      </c>
      <c r="O139" s="159">
        <f t="shared" si="34"/>
        <v>0</v>
      </c>
      <c r="P139" s="49">
        <v>0</v>
      </c>
      <c r="Q139" s="159">
        <f>+Q135</f>
        <v>0</v>
      </c>
      <c r="R139" s="159">
        <f>+R135</f>
        <v>0</v>
      </c>
      <c r="S139" s="159">
        <v>0</v>
      </c>
      <c r="T139" s="159"/>
      <c r="U139" s="134"/>
      <c r="V139" s="377">
        <f>+V135</f>
        <v>0.8</v>
      </c>
      <c r="W139" s="438">
        <v>0.8</v>
      </c>
      <c r="X139" s="438"/>
      <c r="Y139" s="438"/>
      <c r="Z139" s="409"/>
      <c r="AA139" s="438">
        <v>14</v>
      </c>
      <c r="AB139" s="438"/>
      <c r="AC139" s="438"/>
      <c r="AD139" s="438"/>
      <c r="AE139" s="409"/>
      <c r="AF139" s="369">
        <v>0</v>
      </c>
      <c r="AG139" s="49"/>
      <c r="AH139" s="49"/>
      <c r="AI139" s="49"/>
      <c r="AJ139" s="75"/>
      <c r="AK139" s="26"/>
      <c r="AL139" s="719"/>
      <c r="AM139" s="719"/>
      <c r="AN139" s="719"/>
      <c r="AO139" s="719"/>
      <c r="AP139" s="713"/>
    </row>
    <row r="140" spans="1:46" s="5" customFormat="1" ht="49.5" customHeight="1" thickBot="1" x14ac:dyDescent="0.3">
      <c r="A140" s="711"/>
      <c r="B140" s="723"/>
      <c r="C140" s="726"/>
      <c r="D140" s="767"/>
      <c r="E140" s="739"/>
      <c r="F140" s="739"/>
      <c r="G140" s="42" t="s">
        <v>14</v>
      </c>
      <c r="H140" s="177">
        <f>+H136</f>
        <v>1014383000</v>
      </c>
      <c r="I140" s="178"/>
      <c r="J140" s="177">
        <f t="shared" ref="J140" si="35">+J136</f>
        <v>0</v>
      </c>
      <c r="K140" s="177">
        <f t="shared" si="34"/>
        <v>0</v>
      </c>
      <c r="L140" s="177">
        <f t="shared" si="34"/>
        <v>0</v>
      </c>
      <c r="M140" s="177">
        <f t="shared" si="34"/>
        <v>0</v>
      </c>
      <c r="N140" s="177">
        <f t="shared" si="34"/>
        <v>0</v>
      </c>
      <c r="O140" s="177">
        <f t="shared" si="34"/>
        <v>0</v>
      </c>
      <c r="P140" s="68">
        <v>0</v>
      </c>
      <c r="Q140" s="177">
        <f>+Q136</f>
        <v>0</v>
      </c>
      <c r="R140" s="177">
        <f>+R136</f>
        <v>0</v>
      </c>
      <c r="S140" s="177">
        <v>0</v>
      </c>
      <c r="T140" s="177"/>
      <c r="U140" s="178"/>
      <c r="V140" s="439">
        <f>+V136</f>
        <v>200000000</v>
      </c>
      <c r="W140" s="440">
        <v>200000000</v>
      </c>
      <c r="X140" s="440"/>
      <c r="Y140" s="440"/>
      <c r="Z140" s="441"/>
      <c r="AA140" s="440">
        <v>814383000</v>
      </c>
      <c r="AB140" s="440"/>
      <c r="AC140" s="440"/>
      <c r="AD140" s="440"/>
      <c r="AE140" s="441"/>
      <c r="AF140" s="442">
        <v>0</v>
      </c>
      <c r="AG140" s="68"/>
      <c r="AH140" s="68"/>
      <c r="AI140" s="68"/>
      <c r="AJ140" s="85"/>
      <c r="AK140" s="56"/>
      <c r="AL140" s="720"/>
      <c r="AM140" s="720"/>
      <c r="AN140" s="720"/>
      <c r="AO140" s="720"/>
      <c r="AP140" s="714"/>
    </row>
    <row r="141" spans="1:46" ht="31.5" customHeight="1" x14ac:dyDescent="0.25">
      <c r="A141" s="769" t="s">
        <v>15</v>
      </c>
      <c r="B141" s="770"/>
      <c r="C141" s="770"/>
      <c r="D141" s="770"/>
      <c r="E141" s="770"/>
      <c r="F141" s="771"/>
      <c r="G141" s="43" t="s">
        <v>10</v>
      </c>
      <c r="H141" s="179">
        <f>SUM(H10+H16+H22+H28+H34+H40+H46+H52+H58+H64+H70+H76+H82+H88+H94+H100+H106+H112+H118+H124+H130+H136)</f>
        <v>67155251851.91333</v>
      </c>
      <c r="I141" s="180"/>
      <c r="J141" s="179">
        <f t="shared" ref="J141:P141" si="36">SUM(J10+J16+J22+J28+J34+J40+J46+J52+J58+J64+J70+J76+J82+J88+J94+J100+J106+J112+J118+J124+J130+J136)</f>
        <v>3463707539</v>
      </c>
      <c r="K141" s="179">
        <f t="shared" si="36"/>
        <v>2644510628</v>
      </c>
      <c r="L141" s="179">
        <f t="shared" si="36"/>
        <v>20404581546</v>
      </c>
      <c r="M141" s="179">
        <f t="shared" si="36"/>
        <v>20290272379</v>
      </c>
      <c r="N141" s="179">
        <f t="shared" si="36"/>
        <v>20290272379</v>
      </c>
      <c r="O141" s="179">
        <f t="shared" si="36"/>
        <v>20290272379</v>
      </c>
      <c r="P141" s="179">
        <f t="shared" si="36"/>
        <v>17038034982.913332</v>
      </c>
      <c r="Q141" s="179">
        <f>SUM(Q10+Q16+Q22+Q28+Q34+Q40+Q46+Q52+Q58+Q64+Q70+S76+Q82+Q88+Q94+Q100+Q106+Q112+Q118+Q124+Q130+Q136)</f>
        <v>14004860000</v>
      </c>
      <c r="R141" s="179">
        <f>SUM(R10+R16+R22+R28+R34+R40+R46+R52+R58+R64+R70+T76+R82+R88+R94+R100+R106+R112+R118+R124+R130+R136)</f>
        <v>13999660000</v>
      </c>
      <c r="S141" s="179">
        <v>13182460335</v>
      </c>
      <c r="T141" s="179">
        <f>SUM(T10+T16+T22+T28+T34+T40+T46+T52+T58+T64+T70+T76+T82+T88+T94+T100+T106+T112+T118+T124+T130+T136)</f>
        <v>12791260335</v>
      </c>
      <c r="U141" s="180"/>
      <c r="V141" s="179">
        <v>17600000000</v>
      </c>
      <c r="W141" s="179">
        <v>17600000000</v>
      </c>
      <c r="X141" s="179">
        <f>SUM(X10+X16+X22+X28+X34+Z40+X46+X52+X58+X64+X70+X76+X82+X88+X94+X100+X106+X112+X118+X124+X130+X136)</f>
        <v>0</v>
      </c>
      <c r="Y141" s="179">
        <f>SUM(Y10+Y16+Y22+Y28+Y34+AA40+Y46+Y52+Y58+Y64+Y70+Y76+Y82+Y88+Y94+Y100+Y106+Y112+Y118+Y124+Y130+Y136)</f>
        <v>0</v>
      </c>
      <c r="Z141" s="180"/>
      <c r="AA141" s="179">
        <v>19247085000</v>
      </c>
      <c r="AB141" s="179">
        <f>SUM(AB10+AB16+AB22+AB28+AB34+AB40+AB46+AB52+AB58+AB64+AB70+AB76+AB82+AB88+AB94+AB100+AB106+AB112+AB118+AB124+AB130+AB136)</f>
        <v>0</v>
      </c>
      <c r="AC141" s="179">
        <f>SUM(AC10+AC16+AC22+AC28+AC34+AC40+AC46+AC52+AC58+AC64+AC70+AC76+AC82+AC88+AC94+AC100+AC106+AC112+AC118+AC124+AC130+AC136)</f>
        <v>0</v>
      </c>
      <c r="AD141" s="179">
        <f>SUM(AD10+AD16+AD22+AD28+AD34+AD40+AD46+AD52+AD58+AD64+AD70+AD76+AD82+AD88+AD94+AD100+AD106+AD112+AD118+AD124+AD130+AD136)</f>
        <v>0</v>
      </c>
      <c r="AE141" s="180"/>
      <c r="AF141" s="179">
        <f>SUM(AF10+AF16+AF22+AF28+AF34+AF40+AF46+AF52+AF58+AF64+AF70+AF76+AF82+AF88+AF94+AF100+AF106+AF112+AF118+AF124+AF130+AF136)</f>
        <v>5126455596</v>
      </c>
      <c r="AG141" s="179">
        <f>SUM(AG10+AG16+AG22+AG28+AG34+AG40+AG46+AG52+AG58+AG64+AG70+AG76+AG82+AG88+AG94+AG100+AG106+AG112+AG118+AG124+AG130+AG136)</f>
        <v>11435324404</v>
      </c>
      <c r="AH141" s="179"/>
      <c r="AI141" s="179">
        <f>SUM(AI10+AI16+AI22+AI28+AI34+AI40+AI46+AI52+AI58+AI64+AI70+AI76+AI82+AI88+AI94+AI100+AI106+AI112+AI118+AI124+AI130+AI136)</f>
        <v>0</v>
      </c>
      <c r="AJ141" s="181"/>
      <c r="AK141" s="182"/>
      <c r="AL141" s="183"/>
      <c r="AM141" s="183"/>
      <c r="AN141" s="183"/>
      <c r="AO141" s="183"/>
      <c r="AP141" s="184"/>
    </row>
    <row r="142" spans="1:46" ht="28.5" customHeight="1" x14ac:dyDescent="0.25">
      <c r="A142" s="769"/>
      <c r="B142" s="770"/>
      <c r="C142" s="770"/>
      <c r="D142" s="770"/>
      <c r="E142" s="770"/>
      <c r="F142" s="771"/>
      <c r="G142" s="40" t="s">
        <v>12</v>
      </c>
      <c r="H142" s="141">
        <f>SUM(H12+H18+H24+H30+H36+H42+H48+H54+H60+H66+H72+H78+H84+H90+H96+H102+H108+H114+H120+H126+H132+H138)</f>
        <v>0</v>
      </c>
      <c r="I142" s="131"/>
      <c r="J142" s="141">
        <f>SUM(J12+J18+J24+J30+J36+J42+J48+J54+J60+J66+J72+J78+J84+J90+J96+J102+J108+J114+J120+J126+J132+J138)</f>
        <v>0</v>
      </c>
      <c r="K142" s="141">
        <f>SUM(K12+K18+K24+K30+K36+K42+K48+K54+K60+K66+K72+K78+K84+K90+K96+K102+K108+K114+K120+K126+K132+K138)</f>
        <v>0</v>
      </c>
      <c r="L142" s="141">
        <f>SUM(L24+L30+L36+L54+L60+L66+L72+L78+L90+L96+L102+L108+L120+L126)</f>
        <v>1537098780</v>
      </c>
      <c r="M142" s="141">
        <f>SUM(M24+M30+M36+M54+M60+M66+M72+M78+M90+M96+M102+M108+M120+M126)</f>
        <v>1537098780</v>
      </c>
      <c r="N142" s="141">
        <f>SUM(N24+N30+N36+N54+N60+N66+N72+N78+N90+N96+N102+N108+N120+N126)</f>
        <v>1537098780</v>
      </c>
      <c r="O142" s="141">
        <f>SUM(O24+O30+O36+O54+O60+O66+O72+O78+O90+O96+O102+O108+O120+O126)</f>
        <v>1537098780</v>
      </c>
      <c r="P142" s="141">
        <f>SUM(P12+P18+P24+P30+P36+P42+P48+P54+P60+P66+P72+P78+P84+P90+P96+P102+P108+P114+P120+P126+P132+P138)</f>
        <v>1373812447</v>
      </c>
      <c r="Q142" s="141">
        <f>SUM(Q12+Q18+Q24+Q30+Q36+Q42+Q48+Q54+Q60+Q66+Q72+S78+Q84+Q90+Q96+Q102+Q108+Q114+Q120+Q126+Q132+Q138)</f>
        <v>8036023311</v>
      </c>
      <c r="R142" s="141">
        <f t="shared" ref="R142:AE142" si="37">SUM(R12+R18+R24+R30+R36+R42+R48+R54+R60+R66+R72+T78+R84+R90+R96+R102+R108+R114+R120+R126+R132+R138)</f>
        <v>8041298311</v>
      </c>
      <c r="S142" s="141">
        <v>8016646645</v>
      </c>
      <c r="T142" s="141">
        <f>SUM(T12+T18+T24+T30+T36+T42+T48+T54+T60+T66+T72+T78+T84+T90+T96+T102+T108+T114+T120+T126+T132+T138)</f>
        <v>8008946645</v>
      </c>
      <c r="U142" s="141">
        <f t="shared" si="37"/>
        <v>4948610549</v>
      </c>
      <c r="V142" s="141">
        <f>SUM(V12+V18+V24+V30+V36+V42+V48+V54+V60+V66+V72+V78+V84+V90+V96+V102+V108+V114+V120+V126+V132+V138)</f>
        <v>5763419746.996666</v>
      </c>
      <c r="W142" s="141">
        <f>SUM(W12+W18+W24+W30+W36+W42+W48+W54+W60+W66+W72+W78+W84+W90+W96+W102+W108+W114+W120+W126+W132+W138)</f>
        <v>5718956504.996666</v>
      </c>
      <c r="X142" s="141">
        <f t="shared" si="37"/>
        <v>0</v>
      </c>
      <c r="Y142" s="141">
        <f t="shared" si="37"/>
        <v>0</v>
      </c>
      <c r="Z142" s="141">
        <f t="shared" si="37"/>
        <v>0</v>
      </c>
      <c r="AA142" s="141">
        <v>0</v>
      </c>
      <c r="AB142" s="141">
        <f t="shared" si="37"/>
        <v>0</v>
      </c>
      <c r="AC142" s="141">
        <f t="shared" si="37"/>
        <v>0</v>
      </c>
      <c r="AD142" s="141">
        <f t="shared" si="37"/>
        <v>2940000</v>
      </c>
      <c r="AE142" s="141">
        <f t="shared" si="37"/>
        <v>2940000</v>
      </c>
      <c r="AF142" s="185">
        <f>+AF12+AF18+AF24+AF30+AF36+AF42+AF48+AF54+AF60+AF66+AF72+AF78+AF84+AF90+AF96+AF102+AF108+AF114+AF120+AF126+AF132</f>
        <v>1770170432</v>
      </c>
      <c r="AG142" s="185">
        <f>+AG12+AG18+AG24+AG30+AG36+AG42+AG48+AG54+AG60+AG66+AG72+AG78+AG84+AG90+AG96+AG102+AG108+AG114+AG120+AG126+AG132</f>
        <v>3389055085.9933329</v>
      </c>
      <c r="AH142" s="141"/>
      <c r="AI142" s="141">
        <f>SUM(AI12+AI18+AI24+AI30+AI36+AI42+AI48+AI54+AI60+AI66+AI72+AI78+AI84+AI90+AI96+AI102+AI108+AI114+AI120+AI126+AI132+AI138)</f>
        <v>0</v>
      </c>
      <c r="AJ142" s="182"/>
      <c r="AK142" s="182"/>
      <c r="AL142" s="183"/>
      <c r="AM142" s="183"/>
      <c r="AN142" s="183"/>
      <c r="AO142" s="183"/>
      <c r="AP142" s="184"/>
    </row>
    <row r="143" spans="1:46" ht="35.25" customHeight="1" x14ac:dyDescent="0.25">
      <c r="A143" s="769"/>
      <c r="B143" s="770"/>
      <c r="C143" s="770"/>
      <c r="D143" s="770"/>
      <c r="E143" s="770"/>
      <c r="F143" s="771"/>
      <c r="G143" s="41" t="s">
        <v>15</v>
      </c>
      <c r="H143" s="189">
        <f>+H141+H142</f>
        <v>67155251851.91333</v>
      </c>
      <c r="I143" s="189"/>
      <c r="J143" s="189">
        <f t="shared" ref="J143:Q143" si="38">+J141+J142</f>
        <v>3463707539</v>
      </c>
      <c r="K143" s="189">
        <f t="shared" si="38"/>
        <v>2644510628</v>
      </c>
      <c r="L143" s="189">
        <f t="shared" si="38"/>
        <v>21941680326</v>
      </c>
      <c r="M143" s="189">
        <f t="shared" si="38"/>
        <v>21827371159</v>
      </c>
      <c r="N143" s="189">
        <f t="shared" si="38"/>
        <v>21827371159</v>
      </c>
      <c r="O143" s="189">
        <f t="shared" si="38"/>
        <v>21827371159</v>
      </c>
      <c r="P143" s="189">
        <f t="shared" si="38"/>
        <v>18411847429.91333</v>
      </c>
      <c r="Q143" s="189">
        <f t="shared" si="38"/>
        <v>22040883311</v>
      </c>
      <c r="R143" s="189">
        <f>+R141+R142</f>
        <v>22040958311</v>
      </c>
      <c r="S143" s="189">
        <v>21199106980</v>
      </c>
      <c r="T143" s="189">
        <f>+T141+T142</f>
        <v>20800206980</v>
      </c>
      <c r="U143" s="189"/>
      <c r="V143" s="189">
        <f>+V141+V142</f>
        <v>23363419746.996666</v>
      </c>
      <c r="W143" s="189">
        <v>23363419746.996666</v>
      </c>
      <c r="X143" s="189">
        <f>+X141+X142</f>
        <v>0</v>
      </c>
      <c r="Y143" s="189">
        <f>+Y141+Y142</f>
        <v>0</v>
      </c>
      <c r="Z143" s="189"/>
      <c r="AA143" s="189">
        <v>19247085000</v>
      </c>
      <c r="AB143" s="189">
        <f>+AB141+AB142</f>
        <v>0</v>
      </c>
      <c r="AC143" s="189">
        <f>+AC141+AC142</f>
        <v>0</v>
      </c>
      <c r="AD143" s="189">
        <f>+AD141+AD142</f>
        <v>2940000</v>
      </c>
      <c r="AE143" s="189"/>
      <c r="AF143" s="189">
        <f>+AF141+AF142</f>
        <v>6896626028</v>
      </c>
      <c r="AG143" s="189">
        <f>+AG141+AG142</f>
        <v>14824379489.993332</v>
      </c>
      <c r="AH143" s="189"/>
      <c r="AI143" s="189">
        <f>+AI141+AI142</f>
        <v>0</v>
      </c>
      <c r="AJ143" s="182"/>
      <c r="AK143" s="182"/>
      <c r="AL143" s="183"/>
      <c r="AM143" s="183"/>
      <c r="AN143" s="183"/>
      <c r="AO143" s="183"/>
      <c r="AP143" s="190"/>
      <c r="AQ143" s="6"/>
      <c r="AR143" s="6"/>
      <c r="AS143" s="6"/>
      <c r="AT143" s="6"/>
    </row>
    <row r="144" spans="1:46" ht="71.25" customHeight="1" x14ac:dyDescent="0.25">
      <c r="A144" s="768" t="s">
        <v>32</v>
      </c>
      <c r="B144" s="768"/>
      <c r="C144" s="768"/>
      <c r="D144" s="768"/>
      <c r="E144" s="768"/>
      <c r="F144" s="768"/>
      <c r="G144" s="768"/>
      <c r="H144" s="768"/>
      <c r="I144" s="768"/>
      <c r="J144" s="768"/>
      <c r="K144" s="768"/>
      <c r="L144" s="768"/>
      <c r="M144" s="768"/>
      <c r="N144" s="768"/>
      <c r="O144" s="768"/>
      <c r="P144" s="768"/>
      <c r="Q144" s="768"/>
      <c r="R144" s="768"/>
      <c r="S144" s="768"/>
      <c r="T144" s="768"/>
      <c r="U144" s="768"/>
      <c r="V144" s="768"/>
      <c r="W144" s="768"/>
      <c r="X144" s="768"/>
      <c r="Y144" s="768"/>
      <c r="Z144" s="768"/>
      <c r="AA144" s="768"/>
      <c r="AB144" s="768"/>
      <c r="AC144" s="768"/>
      <c r="AD144" s="768"/>
      <c r="AE144" s="768"/>
      <c r="AF144" s="768"/>
      <c r="AG144" s="768"/>
      <c r="AH144" s="768"/>
      <c r="AI144" s="768"/>
      <c r="AJ144" s="768"/>
      <c r="AK144" s="768"/>
      <c r="AL144" s="768"/>
      <c r="AM144" s="768"/>
      <c r="AN144" s="768"/>
      <c r="AO144" s="768"/>
      <c r="AP144" s="768"/>
    </row>
    <row r="145" spans="1:42" x14ac:dyDescent="0.25">
      <c r="A145" s="70"/>
      <c r="B145" s="70"/>
      <c r="C145" s="70"/>
      <c r="D145" s="87"/>
      <c r="E145" s="87"/>
      <c r="F145" s="87"/>
      <c r="G145" s="88"/>
      <c r="H145" s="89"/>
      <c r="I145" s="89"/>
      <c r="J145" s="89"/>
      <c r="K145" s="89"/>
      <c r="L145" s="89"/>
      <c r="M145" s="89"/>
      <c r="N145" s="89"/>
      <c r="O145" s="89"/>
      <c r="P145" s="89"/>
      <c r="Q145" s="89"/>
      <c r="R145" s="89"/>
      <c r="S145" s="89"/>
      <c r="T145" s="89"/>
      <c r="U145" s="89"/>
      <c r="V145" s="90"/>
      <c r="W145" s="89"/>
      <c r="X145" s="89"/>
      <c r="Y145" s="89"/>
      <c r="Z145" s="89"/>
      <c r="AA145" s="89"/>
      <c r="AB145" s="89"/>
      <c r="AC145" s="89"/>
      <c r="AD145" s="89"/>
      <c r="AE145" s="89"/>
      <c r="AF145" s="89"/>
      <c r="AG145" s="89"/>
      <c r="AH145" s="89"/>
      <c r="AI145" s="89"/>
      <c r="AJ145" s="89"/>
      <c r="AK145" s="91"/>
      <c r="AL145" s="70"/>
      <c r="AM145" s="20"/>
      <c r="AN145" s="20"/>
    </row>
    <row r="146" spans="1:42" x14ac:dyDescent="0.25">
      <c r="A146" s="70"/>
      <c r="B146" s="70"/>
      <c r="C146" s="70"/>
      <c r="D146" s="87"/>
      <c r="E146" s="87"/>
      <c r="F146" s="87"/>
      <c r="G146" s="88"/>
      <c r="H146" s="89"/>
      <c r="I146" s="89"/>
      <c r="J146" s="89"/>
      <c r="K146" s="89"/>
      <c r="L146" s="89"/>
      <c r="M146" s="89"/>
      <c r="N146" s="89"/>
      <c r="O146" s="89"/>
      <c r="P146" s="89"/>
      <c r="Q146" s="89"/>
      <c r="R146" s="89"/>
      <c r="S146" s="89"/>
      <c r="T146" s="89"/>
      <c r="U146" s="89"/>
      <c r="V146" s="89"/>
      <c r="W146" s="89"/>
      <c r="X146" s="89"/>
      <c r="Y146" s="89"/>
      <c r="Z146" s="70"/>
      <c r="AA146" s="89"/>
      <c r="AB146" s="89"/>
      <c r="AC146" s="89"/>
      <c r="AD146" s="89"/>
      <c r="AE146" s="89"/>
      <c r="AF146" s="89"/>
      <c r="AG146" s="89"/>
      <c r="AH146" s="89"/>
      <c r="AI146" s="89"/>
      <c r="AJ146" s="89"/>
      <c r="AK146" s="70"/>
      <c r="AL146" s="70"/>
      <c r="AM146" s="20"/>
      <c r="AN146" s="20"/>
    </row>
    <row r="147" spans="1:42" x14ac:dyDescent="0.25">
      <c r="A147" s="70"/>
      <c r="B147" s="70"/>
      <c r="C147" s="70"/>
      <c r="D147" s="87"/>
      <c r="E147" s="87"/>
      <c r="F147" s="87"/>
      <c r="G147" s="88"/>
      <c r="H147" s="89"/>
      <c r="I147" s="89"/>
      <c r="J147" s="89"/>
      <c r="K147" s="89"/>
      <c r="L147" s="89"/>
      <c r="M147" s="89"/>
      <c r="N147" s="89"/>
      <c r="O147" s="89"/>
      <c r="P147" s="89"/>
      <c r="Q147" s="89"/>
      <c r="R147" s="89"/>
      <c r="S147" s="89"/>
      <c r="T147" s="89"/>
      <c r="U147" s="89"/>
      <c r="V147" s="89"/>
      <c r="W147" s="92"/>
      <c r="X147" s="89"/>
      <c r="Y147" s="89"/>
      <c r="Z147" s="89"/>
      <c r="AA147" s="89"/>
      <c r="AB147" s="89"/>
      <c r="AC147" s="89"/>
      <c r="AD147" s="89"/>
      <c r="AE147" s="89"/>
      <c r="AF147" s="89"/>
      <c r="AG147" s="89"/>
      <c r="AH147" s="89"/>
      <c r="AI147" s="89"/>
      <c r="AJ147" s="89"/>
      <c r="AK147" s="93"/>
      <c r="AL147" s="70"/>
      <c r="AM147" s="20"/>
      <c r="AN147" s="20"/>
    </row>
    <row r="148" spans="1:42" x14ac:dyDescent="0.25">
      <c r="A148" s="70"/>
      <c r="B148" s="70"/>
      <c r="C148" s="70"/>
      <c r="D148" s="87"/>
      <c r="E148" s="87"/>
      <c r="F148" s="87"/>
      <c r="G148" s="88"/>
      <c r="H148" s="89"/>
      <c r="I148" s="89"/>
      <c r="J148" s="89"/>
      <c r="K148" s="186"/>
      <c r="L148" s="89"/>
      <c r="M148" s="89"/>
      <c r="N148" s="89"/>
      <c r="O148" s="89"/>
      <c r="P148" s="94"/>
      <c r="Q148" s="95"/>
      <c r="R148" s="89"/>
      <c r="S148" s="89"/>
      <c r="T148" s="89"/>
      <c r="U148" s="94"/>
      <c r="V148" s="90"/>
      <c r="W148" s="94"/>
      <c r="X148" s="89"/>
      <c r="Y148" s="89"/>
      <c r="Z148" s="90"/>
      <c r="AA148" s="89"/>
      <c r="AB148" s="89"/>
      <c r="AC148" s="89"/>
      <c r="AD148" s="89"/>
      <c r="AE148" s="89"/>
      <c r="AF148" s="89"/>
      <c r="AG148" s="89"/>
      <c r="AH148" s="89"/>
      <c r="AI148" s="89"/>
      <c r="AJ148" s="89"/>
      <c r="AK148" s="69"/>
      <c r="AL148" s="70"/>
      <c r="AM148" s="71"/>
      <c r="AN148" s="71"/>
      <c r="AO148" s="69"/>
      <c r="AP148" s="69"/>
    </row>
    <row r="149" spans="1:42" x14ac:dyDescent="0.25">
      <c r="A149" s="70"/>
      <c r="B149" s="70"/>
      <c r="C149" s="70"/>
      <c r="D149" s="87"/>
      <c r="E149" s="87"/>
      <c r="F149" s="87"/>
      <c r="G149" s="88"/>
      <c r="H149" s="89"/>
      <c r="I149" s="89"/>
      <c r="J149" s="89"/>
      <c r="K149" s="186"/>
      <c r="L149" s="89"/>
      <c r="M149" s="89"/>
      <c r="N149" s="89"/>
      <c r="O149" s="89"/>
      <c r="P149" s="94"/>
      <c r="Q149" s="95"/>
      <c r="R149" s="89"/>
      <c r="S149" s="89"/>
      <c r="T149" s="89"/>
      <c r="U149" s="94"/>
      <c r="V149" s="90"/>
      <c r="W149" s="96"/>
      <c r="X149" s="89"/>
      <c r="Y149" s="89"/>
      <c r="Z149" s="90"/>
      <c r="AA149" s="89"/>
      <c r="AB149" s="89"/>
      <c r="AC149" s="89"/>
      <c r="AD149" s="89"/>
      <c r="AE149" s="89"/>
      <c r="AF149" s="89"/>
      <c r="AG149" s="89"/>
      <c r="AH149" s="89"/>
      <c r="AI149" s="89"/>
      <c r="AJ149" s="89"/>
      <c r="AK149" s="69"/>
      <c r="AL149" s="70"/>
      <c r="AM149" s="71"/>
      <c r="AN149" s="71"/>
      <c r="AO149" s="69"/>
      <c r="AP149" s="69"/>
    </row>
    <row r="150" spans="1:42" x14ac:dyDescent="0.25">
      <c r="A150" s="70"/>
      <c r="B150" s="70"/>
      <c r="C150" s="70"/>
      <c r="D150" s="87"/>
      <c r="E150" s="87"/>
      <c r="F150" s="87"/>
      <c r="G150" s="88"/>
      <c r="H150" s="89"/>
      <c r="I150" s="89"/>
      <c r="J150" s="89"/>
      <c r="K150" s="186"/>
      <c r="L150" s="89"/>
      <c r="M150" s="89"/>
      <c r="N150" s="89"/>
      <c r="O150" s="89"/>
      <c r="P150" s="94"/>
      <c r="Q150" s="95"/>
      <c r="R150" s="89"/>
      <c r="S150" s="89"/>
      <c r="T150" s="89"/>
      <c r="U150" s="94"/>
      <c r="V150" s="90"/>
      <c r="W150" s="96"/>
      <c r="X150" s="89"/>
      <c r="Y150" s="89"/>
      <c r="Z150" s="90"/>
      <c r="AA150" s="89"/>
      <c r="AB150" s="89"/>
      <c r="AC150" s="89"/>
      <c r="AD150" s="89"/>
      <c r="AE150" s="89"/>
      <c r="AF150" s="89"/>
      <c r="AG150" s="89"/>
      <c r="AH150" s="89"/>
      <c r="AI150" s="89"/>
      <c r="AJ150" s="89"/>
      <c r="AK150" s="69"/>
      <c r="AL150" s="70"/>
      <c r="AM150" s="71"/>
      <c r="AN150" s="71"/>
      <c r="AO150" s="86"/>
      <c r="AP150" s="69"/>
    </row>
    <row r="151" spans="1:42" x14ac:dyDescent="0.25">
      <c r="A151" s="70"/>
      <c r="B151" s="70"/>
      <c r="C151" s="70"/>
      <c r="D151" s="87"/>
      <c r="E151" s="87"/>
      <c r="F151" s="87"/>
      <c r="G151" s="88"/>
      <c r="H151" s="89"/>
      <c r="I151" s="89"/>
      <c r="J151" s="89"/>
      <c r="K151" s="186"/>
      <c r="L151" s="89"/>
      <c r="M151" s="89"/>
      <c r="N151" s="89"/>
      <c r="O151" s="89"/>
      <c r="P151" s="94"/>
      <c r="Q151" s="95"/>
      <c r="R151" s="89"/>
      <c r="S151" s="89"/>
      <c r="T151" s="89"/>
      <c r="U151" s="94"/>
      <c r="V151" s="90"/>
      <c r="W151" s="96"/>
      <c r="X151" s="89"/>
      <c r="Y151" s="89"/>
      <c r="Z151" s="90"/>
      <c r="AA151" s="89"/>
      <c r="AB151" s="89"/>
      <c r="AC151" s="89"/>
      <c r="AD151" s="89"/>
      <c r="AE151" s="89"/>
      <c r="AF151" s="89"/>
      <c r="AG151" s="89"/>
      <c r="AH151" s="89"/>
      <c r="AI151" s="89"/>
      <c r="AJ151" s="89"/>
      <c r="AK151" s="69"/>
      <c r="AL151" s="70"/>
      <c r="AM151" s="71"/>
      <c r="AN151" s="71"/>
      <c r="AO151" s="69"/>
      <c r="AP151" s="69"/>
    </row>
    <row r="152" spans="1:42" x14ac:dyDescent="0.25">
      <c r="A152" s="70"/>
      <c r="B152" s="70"/>
      <c r="C152" s="70"/>
      <c r="D152" s="87"/>
      <c r="E152" s="87"/>
      <c r="F152" s="87"/>
      <c r="G152" s="88"/>
      <c r="H152" s="89"/>
      <c r="I152" s="89"/>
      <c r="J152" s="89"/>
      <c r="K152" s="96"/>
      <c r="L152" s="89"/>
      <c r="M152" s="89"/>
      <c r="N152" s="89"/>
      <c r="O152" s="89"/>
      <c r="P152" s="97"/>
      <c r="Q152" s="95"/>
      <c r="R152" s="89"/>
      <c r="S152" s="89"/>
      <c r="T152" s="89"/>
      <c r="U152" s="94"/>
      <c r="V152" s="90"/>
      <c r="W152" s="90"/>
      <c r="X152" s="89"/>
      <c r="Y152" s="89"/>
      <c r="Z152" s="90"/>
      <c r="AA152" s="89"/>
      <c r="AB152" s="89"/>
      <c r="AC152" s="89"/>
      <c r="AD152" s="89"/>
      <c r="AE152" s="89"/>
      <c r="AF152" s="89"/>
      <c r="AG152" s="89"/>
      <c r="AH152" s="89"/>
      <c r="AI152" s="89"/>
      <c r="AJ152" s="89"/>
      <c r="AK152" s="69"/>
      <c r="AL152" s="69"/>
      <c r="AM152" s="69"/>
      <c r="AN152" s="69"/>
      <c r="AO152" s="69"/>
      <c r="AP152" s="72"/>
    </row>
    <row r="153" spans="1:42" x14ac:dyDescent="0.25">
      <c r="A153" s="70"/>
      <c r="B153" s="70"/>
      <c r="C153" s="70"/>
      <c r="D153" s="87"/>
      <c r="E153" s="87"/>
      <c r="F153" s="87"/>
      <c r="G153" s="88"/>
      <c r="H153" s="89"/>
      <c r="I153" s="89"/>
      <c r="J153" s="89"/>
      <c r="K153" s="89"/>
      <c r="L153" s="89"/>
      <c r="M153" s="89"/>
      <c r="N153" s="89"/>
      <c r="O153" s="89"/>
      <c r="P153" s="89"/>
      <c r="Q153" s="90"/>
      <c r="R153" s="89"/>
      <c r="S153" s="89"/>
      <c r="T153" s="89"/>
      <c r="U153" s="89"/>
      <c r="V153" s="89"/>
      <c r="W153" s="89"/>
      <c r="X153" s="89"/>
      <c r="Y153" s="89"/>
      <c r="Z153" s="89"/>
      <c r="AA153" s="89"/>
      <c r="AB153" s="89"/>
      <c r="AC153" s="89"/>
      <c r="AD153" s="89"/>
      <c r="AE153" s="89"/>
      <c r="AF153" s="70"/>
      <c r="AG153" s="70"/>
      <c r="AH153" s="71"/>
      <c r="AI153" s="71"/>
      <c r="AJ153" s="70"/>
      <c r="AK153" s="73"/>
      <c r="AL153" s="73"/>
    </row>
    <row r="154" spans="1:42" x14ac:dyDescent="0.25">
      <c r="A154" s="70"/>
      <c r="B154" s="70"/>
      <c r="C154" s="70"/>
      <c r="D154" s="87"/>
      <c r="E154" s="87"/>
      <c r="F154" s="87"/>
      <c r="G154" s="88"/>
      <c r="H154" s="89"/>
      <c r="I154" s="89"/>
      <c r="J154" s="89"/>
      <c r="K154" s="89"/>
      <c r="L154" s="89"/>
      <c r="M154" s="89"/>
      <c r="N154" s="89"/>
      <c r="O154" s="89"/>
      <c r="P154" s="89"/>
      <c r="Q154" s="89"/>
      <c r="R154" s="89"/>
      <c r="S154" s="89"/>
      <c r="T154" s="89"/>
      <c r="U154" s="89"/>
      <c r="V154" s="89"/>
      <c r="W154" s="89"/>
      <c r="X154" s="89"/>
      <c r="Y154" s="89"/>
      <c r="Z154" s="89"/>
      <c r="AA154" s="89"/>
      <c r="AB154" s="89"/>
      <c r="AC154" s="89"/>
      <c r="AD154" s="89"/>
      <c r="AE154" s="89"/>
      <c r="AF154" s="70"/>
      <c r="AG154" s="70"/>
      <c r="AH154" s="71"/>
      <c r="AI154" s="71"/>
      <c r="AJ154" s="70"/>
      <c r="AK154" s="73"/>
      <c r="AL154" s="70"/>
    </row>
    <row r="155" spans="1:42" x14ac:dyDescent="0.25">
      <c r="A155" s="70"/>
      <c r="B155" s="70"/>
      <c r="C155" s="70"/>
      <c r="D155" s="87"/>
      <c r="E155" s="87"/>
      <c r="F155" s="87"/>
      <c r="G155" s="88"/>
      <c r="H155" s="89"/>
      <c r="I155" s="89"/>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70"/>
      <c r="AG155" s="70"/>
      <c r="AH155" s="71"/>
      <c r="AI155" s="71"/>
      <c r="AJ155" s="70"/>
      <c r="AK155" s="70"/>
      <c r="AL155" s="70"/>
    </row>
    <row r="156" spans="1:42" x14ac:dyDescent="0.25">
      <c r="A156" s="70"/>
      <c r="B156" s="70"/>
      <c r="C156" s="70"/>
      <c r="D156" s="87"/>
      <c r="E156" s="87"/>
      <c r="F156" s="87"/>
      <c r="G156" s="88"/>
      <c r="H156" s="89"/>
      <c r="I156" s="89"/>
      <c r="J156" s="89"/>
      <c r="K156" s="89"/>
      <c r="L156" s="89"/>
      <c r="M156" s="89"/>
      <c r="N156" s="89"/>
      <c r="O156" s="89"/>
      <c r="P156" s="89"/>
      <c r="Q156" s="89"/>
      <c r="R156" s="89"/>
      <c r="S156" s="89"/>
      <c r="T156" s="89"/>
      <c r="U156" s="89"/>
      <c r="V156" s="89"/>
      <c r="W156" s="89"/>
      <c r="X156" s="89"/>
      <c r="Y156" s="89"/>
      <c r="Z156" s="89"/>
      <c r="AA156" s="89"/>
      <c r="AB156" s="89"/>
      <c r="AC156" s="89"/>
      <c r="AD156" s="89"/>
      <c r="AE156" s="89"/>
      <c r="AF156" s="70"/>
      <c r="AG156" s="70"/>
      <c r="AH156" s="71"/>
      <c r="AI156" s="71"/>
      <c r="AJ156" s="70"/>
      <c r="AK156" s="70"/>
      <c r="AL156" s="70"/>
    </row>
    <row r="157" spans="1:42" s="55" customFormat="1" x14ac:dyDescent="0.25">
      <c r="A157" s="98"/>
      <c r="B157" s="98"/>
      <c r="C157" s="98"/>
      <c r="D157" s="99"/>
      <c r="E157" s="99"/>
      <c r="F157" s="99"/>
      <c r="G157" s="100"/>
      <c r="H157" s="89"/>
      <c r="I157" s="101"/>
      <c r="J157" s="101"/>
      <c r="K157" s="101"/>
      <c r="L157" s="101"/>
      <c r="M157" s="101"/>
      <c r="N157" s="101"/>
      <c r="O157" s="102"/>
      <c r="P157" s="187"/>
      <c r="Q157" s="188"/>
      <c r="R157" s="102"/>
      <c r="S157" s="102"/>
      <c r="T157" s="102"/>
      <c r="U157" s="105"/>
      <c r="V157" s="102"/>
      <c r="W157" s="102"/>
      <c r="X157" s="102"/>
      <c r="Y157" s="102"/>
      <c r="Z157" s="98"/>
      <c r="AA157" s="98"/>
      <c r="AB157" s="106"/>
      <c r="AC157" s="106"/>
      <c r="AD157" s="98"/>
      <c r="AE157" s="98"/>
      <c r="AF157" s="107"/>
      <c r="AG157" s="98"/>
      <c r="AH157" s="98"/>
      <c r="AI157" s="98"/>
      <c r="AJ157" s="107"/>
      <c r="AK157" s="98"/>
      <c r="AL157" s="98"/>
    </row>
    <row r="158" spans="1:42" x14ac:dyDescent="0.25">
      <c r="A158" s="70"/>
      <c r="B158" s="70"/>
      <c r="C158" s="70"/>
      <c r="D158" s="87"/>
      <c r="E158" s="87"/>
      <c r="F158" s="87"/>
      <c r="G158" s="88"/>
      <c r="H158" s="89"/>
      <c r="I158" s="89"/>
      <c r="J158" s="89"/>
      <c r="K158" s="94"/>
      <c r="L158" s="94"/>
      <c r="M158" s="94"/>
      <c r="N158" s="94"/>
      <c r="O158" s="89"/>
      <c r="P158" s="187"/>
      <c r="Q158" s="188"/>
      <c r="R158" s="89"/>
      <c r="S158" s="89"/>
      <c r="T158" s="89"/>
      <c r="U158" s="105"/>
      <c r="V158" s="89"/>
      <c r="W158" s="89"/>
      <c r="X158" s="89"/>
      <c r="Y158" s="89"/>
      <c r="Z158" s="70"/>
      <c r="AA158" s="70"/>
      <c r="AB158" s="71"/>
      <c r="AC158" s="71"/>
      <c r="AD158" s="70"/>
      <c r="AE158" s="70"/>
      <c r="AF158" s="108"/>
      <c r="AG158" s="70"/>
      <c r="AH158" s="70"/>
      <c r="AI158" s="70"/>
      <c r="AJ158" s="107"/>
      <c r="AK158" s="70"/>
      <c r="AL158" s="70"/>
    </row>
    <row r="159" spans="1:42" x14ac:dyDescent="0.25">
      <c r="A159" s="70"/>
      <c r="B159" s="70"/>
      <c r="C159" s="70"/>
      <c r="D159" s="87"/>
      <c r="E159" s="87"/>
      <c r="F159" s="87"/>
      <c r="G159" s="88"/>
      <c r="H159" s="89"/>
      <c r="I159" s="89"/>
      <c r="J159" s="89"/>
      <c r="K159" s="94"/>
      <c r="L159" s="94"/>
      <c r="M159" s="94"/>
      <c r="N159" s="94"/>
      <c r="O159" s="89"/>
      <c r="P159" s="187"/>
      <c r="Q159" s="188"/>
      <c r="R159" s="89"/>
      <c r="S159" s="89"/>
      <c r="T159" s="89"/>
      <c r="U159" s="105"/>
      <c r="V159" s="89"/>
      <c r="W159" s="89"/>
      <c r="X159" s="89"/>
      <c r="Y159" s="89"/>
      <c r="Z159" s="70"/>
      <c r="AA159" s="70"/>
      <c r="AB159" s="71"/>
      <c r="AC159" s="71"/>
      <c r="AD159" s="70"/>
      <c r="AE159" s="70"/>
      <c r="AF159" s="91"/>
      <c r="AG159" s="70"/>
      <c r="AH159" s="70"/>
      <c r="AI159" s="70"/>
      <c r="AJ159" s="107"/>
      <c r="AK159" s="70"/>
      <c r="AL159" s="70"/>
    </row>
    <row r="160" spans="1:42" x14ac:dyDescent="0.25">
      <c r="A160" s="70"/>
      <c r="B160" s="70"/>
      <c r="C160" s="70"/>
      <c r="D160" s="87"/>
      <c r="E160" s="87"/>
      <c r="F160" s="87"/>
      <c r="G160" s="88"/>
      <c r="H160" s="89"/>
      <c r="I160" s="89"/>
      <c r="J160" s="89"/>
      <c r="K160" s="89"/>
      <c r="L160" s="89"/>
      <c r="M160" s="89"/>
      <c r="N160" s="89"/>
      <c r="O160" s="89"/>
      <c r="P160" s="187"/>
      <c r="Q160" s="188"/>
      <c r="R160" s="89"/>
      <c r="S160" s="89"/>
      <c r="T160" s="89"/>
      <c r="U160" s="105"/>
      <c r="V160" s="89"/>
      <c r="W160" s="89"/>
      <c r="X160" s="89"/>
      <c r="Y160" s="89"/>
      <c r="Z160" s="89"/>
      <c r="AA160" s="89"/>
      <c r="AB160" s="89"/>
      <c r="AC160" s="89"/>
      <c r="AD160" s="89"/>
      <c r="AE160" s="89"/>
      <c r="AF160" s="108"/>
      <c r="AG160" s="70"/>
      <c r="AH160" s="71"/>
      <c r="AI160" s="71"/>
      <c r="AJ160" s="107"/>
      <c r="AK160" s="70"/>
      <c r="AL160" s="70"/>
    </row>
    <row r="161" spans="1:38" x14ac:dyDescent="0.25">
      <c r="A161" s="70"/>
      <c r="B161" s="70"/>
      <c r="C161" s="70"/>
      <c r="D161" s="87"/>
      <c r="E161" s="87"/>
      <c r="F161" s="87"/>
      <c r="G161" s="88"/>
      <c r="H161" s="89"/>
      <c r="I161" s="89"/>
      <c r="J161" s="89"/>
      <c r="K161" s="89"/>
      <c r="L161" s="89"/>
      <c r="M161" s="89"/>
      <c r="N161" s="89"/>
      <c r="O161" s="89"/>
      <c r="P161" s="187"/>
      <c r="Q161" s="188"/>
      <c r="R161" s="89"/>
      <c r="S161" s="89"/>
      <c r="T161" s="89"/>
      <c r="U161" s="105"/>
      <c r="V161" s="89"/>
      <c r="W161" s="89"/>
      <c r="X161" s="89"/>
      <c r="Y161" s="89"/>
      <c r="Z161" s="89"/>
      <c r="AA161" s="89"/>
      <c r="AB161" s="89"/>
      <c r="AC161" s="89"/>
      <c r="AD161" s="89"/>
      <c r="AE161" s="89"/>
      <c r="AF161" s="73"/>
      <c r="AG161" s="70"/>
      <c r="AH161" s="71"/>
      <c r="AI161" s="71"/>
      <c r="AJ161" s="70"/>
      <c r="AK161" s="70"/>
      <c r="AL161" s="70"/>
    </row>
    <row r="162" spans="1:38" x14ac:dyDescent="0.25">
      <c r="A162" s="70"/>
      <c r="B162" s="70"/>
      <c r="C162" s="70"/>
      <c r="D162" s="87"/>
      <c r="E162" s="87"/>
      <c r="F162" s="87"/>
      <c r="G162" s="88"/>
      <c r="H162" s="89"/>
      <c r="I162" s="89"/>
      <c r="J162" s="89"/>
      <c r="K162" s="89"/>
      <c r="L162" s="89"/>
      <c r="M162" s="89"/>
      <c r="N162" s="89"/>
      <c r="O162" s="89"/>
      <c r="P162" s="89"/>
      <c r="Q162" s="89"/>
      <c r="R162" s="89"/>
      <c r="S162" s="89"/>
      <c r="T162" s="89"/>
      <c r="U162" s="89"/>
      <c r="V162" s="89"/>
      <c r="W162" s="89"/>
      <c r="X162" s="89"/>
      <c r="Y162" s="89"/>
      <c r="Z162" s="89"/>
      <c r="AA162" s="89"/>
      <c r="AB162" s="89"/>
      <c r="AC162" s="89"/>
      <c r="AD162" s="89"/>
      <c r="AE162" s="89"/>
      <c r="AF162" s="70"/>
      <c r="AG162" s="70"/>
      <c r="AH162" s="71"/>
      <c r="AI162" s="71"/>
      <c r="AJ162" s="70"/>
      <c r="AK162" s="70"/>
      <c r="AL162" s="70"/>
    </row>
    <row r="163" spans="1:38" x14ac:dyDescent="0.25">
      <c r="A163" s="70"/>
      <c r="B163" s="70"/>
      <c r="C163" s="70"/>
      <c r="D163" s="87"/>
      <c r="E163" s="87"/>
      <c r="F163" s="87"/>
      <c r="G163" s="88"/>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70"/>
      <c r="AG163" s="70"/>
      <c r="AH163" s="71"/>
      <c r="AI163" s="71"/>
      <c r="AJ163" s="70"/>
      <c r="AK163" s="70"/>
      <c r="AL163" s="70"/>
    </row>
    <row r="164" spans="1:38" x14ac:dyDescent="0.25">
      <c r="A164" s="70"/>
      <c r="B164" s="70"/>
      <c r="C164" s="70"/>
      <c r="D164" s="87"/>
      <c r="E164" s="87"/>
      <c r="F164" s="87"/>
      <c r="G164" s="88"/>
      <c r="H164" s="103"/>
      <c r="I164" s="104"/>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70"/>
      <c r="AG164" s="70"/>
      <c r="AH164" s="71"/>
      <c r="AI164" s="71"/>
      <c r="AJ164" s="70"/>
      <c r="AK164" s="70"/>
      <c r="AL164" s="70"/>
    </row>
    <row r="165" spans="1:38" x14ac:dyDescent="0.25">
      <c r="A165" s="70"/>
      <c r="B165" s="70"/>
      <c r="C165" s="70"/>
      <c r="D165" s="87"/>
      <c r="E165" s="87"/>
      <c r="F165" s="87"/>
      <c r="G165" s="88"/>
      <c r="H165" s="103"/>
      <c r="I165" s="104"/>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70"/>
      <c r="AG165" s="70"/>
      <c r="AH165" s="71"/>
      <c r="AI165" s="71"/>
      <c r="AJ165" s="70"/>
      <c r="AK165" s="70"/>
      <c r="AL165" s="70"/>
    </row>
    <row r="166" spans="1:38" x14ac:dyDescent="0.25">
      <c r="A166" s="70"/>
      <c r="B166" s="70"/>
      <c r="C166" s="70"/>
      <c r="D166" s="87"/>
      <c r="E166" s="87"/>
      <c r="F166" s="87"/>
      <c r="G166" s="88"/>
      <c r="H166" s="103"/>
      <c r="I166" s="104"/>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70"/>
      <c r="AG166" s="70"/>
      <c r="AH166" s="71"/>
      <c r="AI166" s="71"/>
      <c r="AJ166" s="70"/>
      <c r="AK166" s="70"/>
      <c r="AL166" s="70"/>
    </row>
    <row r="167" spans="1:38" x14ac:dyDescent="0.25">
      <c r="A167" s="70"/>
      <c r="B167" s="70"/>
      <c r="C167" s="70"/>
      <c r="D167" s="87"/>
      <c r="E167" s="87"/>
      <c r="F167" s="87"/>
      <c r="G167" s="88"/>
      <c r="H167" s="103"/>
      <c r="I167" s="104"/>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70"/>
      <c r="AG167" s="70"/>
      <c r="AH167" s="71"/>
      <c r="AI167" s="71"/>
      <c r="AJ167" s="70"/>
      <c r="AK167" s="70"/>
      <c r="AL167" s="70"/>
    </row>
    <row r="168" spans="1:38" x14ac:dyDescent="0.25">
      <c r="A168" s="70"/>
      <c r="B168" s="70"/>
      <c r="C168" s="70"/>
      <c r="D168" s="87"/>
      <c r="E168" s="87"/>
      <c r="F168" s="87"/>
      <c r="G168" s="88"/>
      <c r="H168" s="103"/>
      <c r="I168" s="104"/>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70"/>
      <c r="AG168" s="70"/>
      <c r="AH168" s="71"/>
      <c r="AI168" s="71"/>
      <c r="AJ168" s="70"/>
      <c r="AK168" s="70"/>
      <c r="AL168" s="70"/>
    </row>
    <row r="169" spans="1:38" x14ac:dyDescent="0.25">
      <c r="A169" s="70"/>
      <c r="B169" s="70"/>
      <c r="C169" s="70"/>
      <c r="D169" s="87"/>
      <c r="E169" s="87"/>
      <c r="F169" s="87"/>
      <c r="G169" s="88"/>
      <c r="H169" s="89"/>
      <c r="I169" s="89"/>
      <c r="J169" s="89"/>
      <c r="K169" s="89"/>
      <c r="L169" s="89"/>
      <c r="M169" s="89"/>
      <c r="N169" s="89"/>
      <c r="O169" s="89"/>
      <c r="P169" s="89"/>
      <c r="Q169" s="89"/>
      <c r="R169" s="89"/>
      <c r="S169" s="89"/>
      <c r="T169" s="89"/>
      <c r="U169" s="89"/>
      <c r="V169" s="89"/>
      <c r="W169" s="89"/>
      <c r="X169" s="89"/>
      <c r="Y169" s="89"/>
      <c r="Z169" s="89"/>
      <c r="AA169" s="89"/>
      <c r="AB169" s="89"/>
      <c r="AC169" s="89"/>
      <c r="AD169" s="89"/>
      <c r="AE169" s="89"/>
      <c r="AF169" s="70"/>
      <c r="AG169" s="70"/>
      <c r="AH169" s="71"/>
      <c r="AI169" s="71"/>
      <c r="AJ169" s="70"/>
      <c r="AK169" s="70"/>
      <c r="AL169" s="70"/>
    </row>
    <row r="170" spans="1:38" x14ac:dyDescent="0.25">
      <c r="A170" s="70"/>
      <c r="B170" s="70"/>
      <c r="C170" s="70"/>
      <c r="D170" s="87"/>
      <c r="E170" s="87"/>
      <c r="F170" s="87"/>
      <c r="G170" s="88"/>
      <c r="H170" s="89"/>
      <c r="I170" s="89"/>
      <c r="J170" s="89"/>
      <c r="K170" s="89"/>
      <c r="L170" s="89"/>
      <c r="M170" s="89"/>
      <c r="N170" s="89"/>
      <c r="O170" s="89"/>
      <c r="P170" s="89"/>
      <c r="Q170" s="89"/>
      <c r="R170" s="89"/>
      <c r="S170" s="89"/>
      <c r="T170" s="89"/>
      <c r="U170" s="89"/>
      <c r="V170" s="89"/>
      <c r="W170" s="89"/>
      <c r="X170" s="89"/>
      <c r="Y170" s="89"/>
      <c r="Z170" s="89"/>
      <c r="AA170" s="89"/>
      <c r="AB170" s="89"/>
      <c r="AC170" s="89"/>
      <c r="AD170" s="89"/>
      <c r="AE170" s="89"/>
      <c r="AF170" s="70"/>
      <c r="AG170" s="70"/>
      <c r="AH170" s="71"/>
      <c r="AI170" s="71"/>
      <c r="AJ170" s="70"/>
      <c r="AK170" s="70"/>
      <c r="AL170" s="70"/>
    </row>
  </sheetData>
  <mergeCells count="254">
    <mergeCell ref="H6:H8"/>
    <mergeCell ref="AK6:AK8"/>
    <mergeCell ref="B6:D7"/>
    <mergeCell ref="I6:AE6"/>
    <mergeCell ref="V7:Z7"/>
    <mergeCell ref="AA7:AE7"/>
    <mergeCell ref="A1:E4"/>
    <mergeCell ref="AF7:AI7"/>
    <mergeCell ref="I7:K7"/>
    <mergeCell ref="L7:P7"/>
    <mergeCell ref="Q7:U7"/>
    <mergeCell ref="F3:N3"/>
    <mergeCell ref="F4:N4"/>
    <mergeCell ref="O3:AP3"/>
    <mergeCell ref="O4:AP4"/>
    <mergeCell ref="F1:AP1"/>
    <mergeCell ref="F2:AP2"/>
    <mergeCell ref="F6:F8"/>
    <mergeCell ref="AF6:AI6"/>
    <mergeCell ref="AJ6:AJ8"/>
    <mergeCell ref="AM6:AM8"/>
    <mergeCell ref="E6:E8"/>
    <mergeCell ref="AP9:AP14"/>
    <mergeCell ref="AM9:AM14"/>
    <mergeCell ref="A144:AP144"/>
    <mergeCell ref="AO135:AO140"/>
    <mergeCell ref="AP135:AP140"/>
    <mergeCell ref="AN9:AN14"/>
    <mergeCell ref="AO9:AO14"/>
    <mergeCell ref="A141:F143"/>
    <mergeCell ref="A6:A8"/>
    <mergeCell ref="AN6:AN8"/>
    <mergeCell ref="AO6:AO8"/>
    <mergeCell ref="AP6:AP8"/>
    <mergeCell ref="B9:B14"/>
    <mergeCell ref="C9:C14"/>
    <mergeCell ref="D9:D14"/>
    <mergeCell ref="B135:B140"/>
    <mergeCell ref="C135:C140"/>
    <mergeCell ref="E9:E14"/>
    <mergeCell ref="AL9:AL14"/>
    <mergeCell ref="AL6:AL8"/>
    <mergeCell ref="E135:E140"/>
    <mergeCell ref="AL135:AL140"/>
    <mergeCell ref="AM135:AM140"/>
    <mergeCell ref="G6:G8"/>
    <mergeCell ref="F9:F14"/>
    <mergeCell ref="AN135:AN140"/>
    <mergeCell ref="D135:D140"/>
    <mergeCell ref="F135:F140"/>
    <mergeCell ref="AL99:AL104"/>
    <mergeCell ref="AM99:AM104"/>
    <mergeCell ref="AN99:AN104"/>
    <mergeCell ref="AL39:AL44"/>
    <mergeCell ref="AM39:AM44"/>
    <mergeCell ref="AN39:AN44"/>
    <mergeCell ref="AL27:AL32"/>
    <mergeCell ref="AM27:AM32"/>
    <mergeCell ref="AN27:AN32"/>
    <mergeCell ref="AL15:AL20"/>
    <mergeCell ref="AM15:AM20"/>
    <mergeCell ref="AN15:AN20"/>
    <mergeCell ref="AL51:AL56"/>
    <mergeCell ref="AM51:AM56"/>
    <mergeCell ref="AN51:AN56"/>
    <mergeCell ref="AL63:AL68"/>
    <mergeCell ref="AM63:AM68"/>
    <mergeCell ref="AN63:AN68"/>
    <mergeCell ref="D81:D86"/>
    <mergeCell ref="E81:E86"/>
    <mergeCell ref="AO99:AO104"/>
    <mergeCell ref="AP99:AP104"/>
    <mergeCell ref="B105:B110"/>
    <mergeCell ref="C105:C110"/>
    <mergeCell ref="D105:D110"/>
    <mergeCell ref="E105:E110"/>
    <mergeCell ref="F105:F110"/>
    <mergeCell ref="AL105:AL110"/>
    <mergeCell ref="AM105:AM110"/>
    <mergeCell ref="AN105:AN110"/>
    <mergeCell ref="AO105:AO110"/>
    <mergeCell ref="AP105:AP110"/>
    <mergeCell ref="B99:B104"/>
    <mergeCell ref="C99:C104"/>
    <mergeCell ref="D99:D104"/>
    <mergeCell ref="E99:E104"/>
    <mergeCell ref="F99:F104"/>
    <mergeCell ref="AO39:AO44"/>
    <mergeCell ref="AP39:AP44"/>
    <mergeCell ref="B45:B50"/>
    <mergeCell ref="C45:C50"/>
    <mergeCell ref="D45:D50"/>
    <mergeCell ref="E45:E50"/>
    <mergeCell ref="F45:F50"/>
    <mergeCell ref="AL45:AL50"/>
    <mergeCell ref="AM45:AM50"/>
    <mergeCell ref="AN45:AN50"/>
    <mergeCell ref="AO45:AO50"/>
    <mergeCell ref="AP45:AP50"/>
    <mergeCell ref="B39:B44"/>
    <mergeCell ref="C39:C44"/>
    <mergeCell ref="D39:D44"/>
    <mergeCell ref="E39:E44"/>
    <mergeCell ref="F39:F44"/>
    <mergeCell ref="AO27:AO32"/>
    <mergeCell ref="AP27:AP32"/>
    <mergeCell ref="B33:B38"/>
    <mergeCell ref="C33:C38"/>
    <mergeCell ref="D33:D38"/>
    <mergeCell ref="E33:E38"/>
    <mergeCell ref="F33:F38"/>
    <mergeCell ref="AL33:AL38"/>
    <mergeCell ref="AM33:AM38"/>
    <mergeCell ref="AN33:AN38"/>
    <mergeCell ref="AO33:AO38"/>
    <mergeCell ref="AP33:AP38"/>
    <mergeCell ref="B27:B32"/>
    <mergeCell ref="C27:C32"/>
    <mergeCell ref="D27:D32"/>
    <mergeCell ref="E27:E32"/>
    <mergeCell ref="F27:F32"/>
    <mergeCell ref="AO15:AO20"/>
    <mergeCell ref="AP15:AP20"/>
    <mergeCell ref="B15:B20"/>
    <mergeCell ref="C15:C20"/>
    <mergeCell ref="D15:D20"/>
    <mergeCell ref="E15:E20"/>
    <mergeCell ref="F15:F20"/>
    <mergeCell ref="AL21:AL26"/>
    <mergeCell ref="AM21:AM26"/>
    <mergeCell ref="AN21:AN26"/>
    <mergeCell ref="AO21:AO26"/>
    <mergeCell ref="AP21:AP26"/>
    <mergeCell ref="B21:B26"/>
    <mergeCell ref="C21:C26"/>
    <mergeCell ref="D21:D26"/>
    <mergeCell ref="E21:E26"/>
    <mergeCell ref="F21:F26"/>
    <mergeCell ref="AO51:AO56"/>
    <mergeCell ref="AP51:AP56"/>
    <mergeCell ref="B51:B56"/>
    <mergeCell ref="C51:C56"/>
    <mergeCell ref="D51:D56"/>
    <mergeCell ref="E51:E56"/>
    <mergeCell ref="F51:F56"/>
    <mergeCell ref="AL57:AL62"/>
    <mergeCell ref="AM57:AM62"/>
    <mergeCell ref="AN57:AN62"/>
    <mergeCell ref="AO57:AO62"/>
    <mergeCell ref="AP57:AP62"/>
    <mergeCell ref="B57:B62"/>
    <mergeCell ref="C57:C62"/>
    <mergeCell ref="D57:D62"/>
    <mergeCell ref="E57:E62"/>
    <mergeCell ref="F57:F62"/>
    <mergeCell ref="AO63:AO68"/>
    <mergeCell ref="AP63:AP68"/>
    <mergeCell ref="B63:B68"/>
    <mergeCell ref="C63:C68"/>
    <mergeCell ref="D63:D68"/>
    <mergeCell ref="E63:E68"/>
    <mergeCell ref="F63:F68"/>
    <mergeCell ref="AL93:AL98"/>
    <mergeCell ref="AM93:AM98"/>
    <mergeCell ref="AN93:AN98"/>
    <mergeCell ref="AO93:AO98"/>
    <mergeCell ref="AP93:AP98"/>
    <mergeCell ref="B93:B98"/>
    <mergeCell ref="C93:C98"/>
    <mergeCell ref="D93:D98"/>
    <mergeCell ref="E93:E98"/>
    <mergeCell ref="F93:F98"/>
    <mergeCell ref="AL81:AL86"/>
    <mergeCell ref="AM81:AM86"/>
    <mergeCell ref="AN81:AN86"/>
    <mergeCell ref="AO81:AO86"/>
    <mergeCell ref="AP81:AP86"/>
    <mergeCell ref="B81:B86"/>
    <mergeCell ref="C81:C86"/>
    <mergeCell ref="F81:F86"/>
    <mergeCell ref="AL87:AL92"/>
    <mergeCell ref="AM87:AM92"/>
    <mergeCell ref="AN87:AN92"/>
    <mergeCell ref="AO87:AO92"/>
    <mergeCell ref="AP87:AP92"/>
    <mergeCell ref="B87:B92"/>
    <mergeCell ref="C87:C92"/>
    <mergeCell ref="D87:D92"/>
    <mergeCell ref="E87:E92"/>
    <mergeCell ref="F87:F92"/>
    <mergeCell ref="AL69:AL74"/>
    <mergeCell ref="AM69:AM74"/>
    <mergeCell ref="AN69:AN74"/>
    <mergeCell ref="AO69:AO74"/>
    <mergeCell ref="AP69:AP74"/>
    <mergeCell ref="B69:B74"/>
    <mergeCell ref="C69:C74"/>
    <mergeCell ref="D69:D74"/>
    <mergeCell ref="E69:E74"/>
    <mergeCell ref="F69:F74"/>
    <mergeCell ref="AL75:AL80"/>
    <mergeCell ref="AM75:AM80"/>
    <mergeCell ref="AN75:AN80"/>
    <mergeCell ref="AO75:AO80"/>
    <mergeCell ref="AP75:AP80"/>
    <mergeCell ref="B75:B80"/>
    <mergeCell ref="C75:C80"/>
    <mergeCell ref="D75:D80"/>
    <mergeCell ref="E75:E80"/>
    <mergeCell ref="F75:F80"/>
    <mergeCell ref="AL111:AL116"/>
    <mergeCell ref="AM111:AM116"/>
    <mergeCell ref="AN111:AN116"/>
    <mergeCell ref="AO111:AO116"/>
    <mergeCell ref="AP111:AP116"/>
    <mergeCell ref="B111:B116"/>
    <mergeCell ref="C111:C116"/>
    <mergeCell ref="D111:D116"/>
    <mergeCell ref="E111:E116"/>
    <mergeCell ref="F111:F116"/>
    <mergeCell ref="AL123:AL128"/>
    <mergeCell ref="AM123:AM128"/>
    <mergeCell ref="AN123:AN128"/>
    <mergeCell ref="AO123:AO128"/>
    <mergeCell ref="AP123:AP128"/>
    <mergeCell ref="B123:B128"/>
    <mergeCell ref="C123:C128"/>
    <mergeCell ref="D123:D128"/>
    <mergeCell ref="E123:E128"/>
    <mergeCell ref="F123:F128"/>
    <mergeCell ref="A51:A98"/>
    <mergeCell ref="A9:A50"/>
    <mergeCell ref="A99:A116"/>
    <mergeCell ref="A117:A140"/>
    <mergeCell ref="AP129:AP134"/>
    <mergeCell ref="F129:F134"/>
    <mergeCell ref="AL129:AL134"/>
    <mergeCell ref="AM129:AM134"/>
    <mergeCell ref="AN129:AN134"/>
    <mergeCell ref="AO129:AO134"/>
    <mergeCell ref="B129:B134"/>
    <mergeCell ref="C129:C134"/>
    <mergeCell ref="D129:D134"/>
    <mergeCell ref="E129:E134"/>
    <mergeCell ref="AL117:AL122"/>
    <mergeCell ref="AM117:AM122"/>
    <mergeCell ref="AN117:AN122"/>
    <mergeCell ref="AO117:AO122"/>
    <mergeCell ref="AP117:AP122"/>
    <mergeCell ref="B117:B122"/>
    <mergeCell ref="C117:C122"/>
    <mergeCell ref="D117:D122"/>
    <mergeCell ref="E117:E122"/>
    <mergeCell ref="F117:F122"/>
  </mergeCells>
  <dataValidations count="1">
    <dataValidation type="list" allowBlank="1" showInputMessage="1" showErrorMessage="1" sqref="D9:D140" xr:uid="{00000000-0002-0000-0100-000000000000}">
      <formula1>$AS$2:$AS$5</formula1>
    </dataValidation>
  </dataValidations>
  <printOptions horizontalCentered="1"/>
  <pageMargins left="0.19685039370078741" right="0.19685039370078741" top="0.15748031496062992" bottom="0" header="0.27559055118110237" footer="0"/>
  <pageSetup scale="30" fitToHeight="0" pageOrder="overThenDown" orientation="landscape" r:id="rId1"/>
  <headerFooter>
    <oddFooter>&amp;R&amp;N</oddFooter>
  </headerFooter>
  <colBreaks count="1" manualBreakCount="1">
    <brk id="22" max="29"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44"/>
  <sheetViews>
    <sheetView view="pageBreakPreview" topLeftCell="B1" zoomScale="80" zoomScaleNormal="50" zoomScaleSheetLayoutView="80" workbookViewId="0">
      <selection activeCell="N10" sqref="N10"/>
    </sheetView>
  </sheetViews>
  <sheetFormatPr baseColWidth="10" defaultColWidth="11.42578125" defaultRowHeight="15" x14ac:dyDescent="0.25"/>
  <cols>
    <col min="1" max="1" width="12.28515625" style="9" hidden="1" customWidth="1"/>
    <col min="2" max="2" width="18.42578125" style="9" customWidth="1"/>
    <col min="3" max="3" width="34.5703125" style="23" customWidth="1"/>
    <col min="4" max="4" width="6.7109375" style="9" customWidth="1"/>
    <col min="5" max="5" width="7.140625" style="9" customWidth="1"/>
    <col min="6" max="6" width="9.42578125" style="9" customWidth="1"/>
    <col min="7" max="7" width="9.140625" style="9" customWidth="1"/>
    <col min="8" max="8" width="7.7109375" style="9" customWidth="1"/>
    <col min="9" max="9" width="9" style="9" customWidth="1"/>
    <col min="10" max="10" width="7" style="9" customWidth="1"/>
    <col min="11" max="13" width="9.85546875" style="9" customWidth="1"/>
    <col min="14" max="14" width="9.85546875" style="10" customWidth="1"/>
    <col min="15" max="18" width="9.5703125" style="10" customWidth="1"/>
    <col min="19" max="19" width="9.7109375" style="10" customWidth="1"/>
    <col min="20" max="20" width="20.140625" style="10" customWidth="1"/>
    <col min="21" max="21" width="31.5703125" style="10" customWidth="1"/>
    <col min="22" max="22" width="88.28515625" style="14" customWidth="1"/>
    <col min="24" max="30" width="11.42578125" style="14"/>
    <col min="31" max="16384" width="11.42578125" style="9"/>
  </cols>
  <sheetData>
    <row r="1" spans="1:23" s="11" customFormat="1" ht="33" customHeight="1" x14ac:dyDescent="0.25">
      <c r="A1" s="865"/>
      <c r="B1" s="866"/>
      <c r="C1" s="871" t="s">
        <v>0</v>
      </c>
      <c r="D1" s="871"/>
      <c r="E1" s="871"/>
      <c r="F1" s="871"/>
      <c r="G1" s="871"/>
      <c r="H1" s="871"/>
      <c r="I1" s="871"/>
      <c r="J1" s="871"/>
      <c r="K1" s="871"/>
      <c r="L1" s="871"/>
      <c r="M1" s="871"/>
      <c r="N1" s="871"/>
      <c r="O1" s="871"/>
      <c r="P1" s="871"/>
      <c r="Q1" s="871"/>
      <c r="R1" s="871"/>
      <c r="S1" s="871"/>
      <c r="T1" s="871"/>
      <c r="U1" s="871"/>
      <c r="V1" s="872"/>
      <c r="W1"/>
    </row>
    <row r="2" spans="1:23" s="11" customFormat="1" ht="30" customHeight="1" x14ac:dyDescent="0.25">
      <c r="A2" s="867"/>
      <c r="B2" s="868"/>
      <c r="C2" s="873" t="s">
        <v>113</v>
      </c>
      <c r="D2" s="873"/>
      <c r="E2" s="873"/>
      <c r="F2" s="873"/>
      <c r="G2" s="873"/>
      <c r="H2" s="873"/>
      <c r="I2" s="873"/>
      <c r="J2" s="873"/>
      <c r="K2" s="873"/>
      <c r="L2" s="873"/>
      <c r="M2" s="873"/>
      <c r="N2" s="873"/>
      <c r="O2" s="873"/>
      <c r="P2" s="873"/>
      <c r="Q2" s="873"/>
      <c r="R2" s="873"/>
      <c r="S2" s="873"/>
      <c r="T2" s="873"/>
      <c r="U2" s="873"/>
      <c r="V2" s="874"/>
      <c r="W2"/>
    </row>
    <row r="3" spans="1:23" s="11" customFormat="1" ht="27.75" customHeight="1" x14ac:dyDescent="0.25">
      <c r="A3" s="867"/>
      <c r="B3" s="868"/>
      <c r="C3" s="30" t="s">
        <v>1</v>
      </c>
      <c r="D3" s="875" t="s">
        <v>115</v>
      </c>
      <c r="E3" s="875"/>
      <c r="F3" s="875"/>
      <c r="G3" s="875"/>
      <c r="H3" s="875"/>
      <c r="I3" s="875"/>
      <c r="J3" s="875"/>
      <c r="K3" s="875"/>
      <c r="L3" s="875"/>
      <c r="M3" s="875"/>
      <c r="N3" s="875"/>
      <c r="O3" s="875"/>
      <c r="P3" s="875"/>
      <c r="Q3" s="875"/>
      <c r="R3" s="875"/>
      <c r="S3" s="875"/>
      <c r="T3" s="875"/>
      <c r="U3" s="875"/>
      <c r="V3" s="876"/>
      <c r="W3"/>
    </row>
    <row r="4" spans="1:23" s="11" customFormat="1" ht="33" customHeight="1" thickBot="1" x14ac:dyDescent="0.3">
      <c r="A4" s="869"/>
      <c r="B4" s="870"/>
      <c r="C4" s="44" t="s">
        <v>16</v>
      </c>
      <c r="D4" s="877" t="s">
        <v>116</v>
      </c>
      <c r="E4" s="877"/>
      <c r="F4" s="877"/>
      <c r="G4" s="877"/>
      <c r="H4" s="877"/>
      <c r="I4" s="877"/>
      <c r="J4" s="877"/>
      <c r="K4" s="877"/>
      <c r="L4" s="877"/>
      <c r="M4" s="877"/>
      <c r="N4" s="877"/>
      <c r="O4" s="877"/>
      <c r="P4" s="877"/>
      <c r="Q4" s="877"/>
      <c r="R4" s="877"/>
      <c r="S4" s="877"/>
      <c r="T4" s="877"/>
      <c r="U4" s="877"/>
      <c r="V4" s="878"/>
      <c r="W4"/>
    </row>
    <row r="5" spans="1:23" s="11" customFormat="1" ht="15.75" thickBot="1" x14ac:dyDescent="0.3">
      <c r="A5" s="12"/>
      <c r="B5" s="9"/>
      <c r="C5" s="21"/>
      <c r="D5" s="9"/>
      <c r="E5" s="9"/>
      <c r="F5" s="9"/>
      <c r="G5" s="9"/>
      <c r="H5" s="9"/>
      <c r="I5" s="9"/>
      <c r="J5" s="9"/>
      <c r="K5" s="9"/>
      <c r="L5" s="9"/>
      <c r="M5" s="9"/>
      <c r="N5" s="10"/>
      <c r="O5" s="10"/>
      <c r="P5" s="10"/>
      <c r="Q5" s="10"/>
      <c r="R5" s="10"/>
      <c r="S5" s="10"/>
      <c r="T5" s="10"/>
      <c r="U5" s="10"/>
      <c r="W5"/>
    </row>
    <row r="6" spans="1:23" s="13" customFormat="1" ht="41.25" customHeight="1" x14ac:dyDescent="0.25">
      <c r="A6" s="884" t="s">
        <v>62</v>
      </c>
      <c r="B6" s="862" t="s">
        <v>63</v>
      </c>
      <c r="C6" s="881" t="s">
        <v>64</v>
      </c>
      <c r="D6" s="882" t="s">
        <v>65</v>
      </c>
      <c r="E6" s="883"/>
      <c r="F6" s="862" t="s">
        <v>414</v>
      </c>
      <c r="G6" s="862"/>
      <c r="H6" s="862"/>
      <c r="I6" s="862"/>
      <c r="J6" s="862"/>
      <c r="K6" s="862"/>
      <c r="L6" s="862"/>
      <c r="M6" s="862"/>
      <c r="N6" s="862"/>
      <c r="O6" s="862"/>
      <c r="P6" s="862"/>
      <c r="Q6" s="862"/>
      <c r="R6" s="862"/>
      <c r="S6" s="862"/>
      <c r="T6" s="862" t="s">
        <v>69</v>
      </c>
      <c r="U6" s="862"/>
      <c r="V6" s="879" t="s">
        <v>533</v>
      </c>
      <c r="W6"/>
    </row>
    <row r="7" spans="1:23" s="13" customFormat="1" ht="44.25" customHeight="1" thickBot="1" x14ac:dyDescent="0.3">
      <c r="A7" s="885"/>
      <c r="B7" s="886"/>
      <c r="C7" s="816"/>
      <c r="D7" s="346" t="s">
        <v>66</v>
      </c>
      <c r="E7" s="346" t="s">
        <v>67</v>
      </c>
      <c r="F7" s="346" t="s">
        <v>68</v>
      </c>
      <c r="G7" s="347" t="s">
        <v>17</v>
      </c>
      <c r="H7" s="347" t="s">
        <v>18</v>
      </c>
      <c r="I7" s="347" t="s">
        <v>19</v>
      </c>
      <c r="J7" s="347" t="s">
        <v>20</v>
      </c>
      <c r="K7" s="347" t="s">
        <v>21</v>
      </c>
      <c r="L7" s="347" t="s">
        <v>22</v>
      </c>
      <c r="M7" s="347" t="s">
        <v>23</v>
      </c>
      <c r="N7" s="347" t="s">
        <v>24</v>
      </c>
      <c r="O7" s="347" t="s">
        <v>25</v>
      </c>
      <c r="P7" s="347" t="s">
        <v>26</v>
      </c>
      <c r="Q7" s="347" t="s">
        <v>27</v>
      </c>
      <c r="R7" s="347" t="s">
        <v>28</v>
      </c>
      <c r="S7" s="348" t="s">
        <v>29</v>
      </c>
      <c r="T7" s="348" t="s">
        <v>70</v>
      </c>
      <c r="U7" s="348" t="s">
        <v>71</v>
      </c>
      <c r="V7" s="880"/>
      <c r="W7"/>
    </row>
    <row r="8" spans="1:23" s="5" customFormat="1" ht="56.25" customHeight="1" x14ac:dyDescent="0.25">
      <c r="A8" s="848" t="s">
        <v>161</v>
      </c>
      <c r="B8" s="805" t="s">
        <v>197</v>
      </c>
      <c r="C8" s="807" t="s">
        <v>415</v>
      </c>
      <c r="D8" s="808" t="s">
        <v>196</v>
      </c>
      <c r="E8" s="842"/>
      <c r="F8" s="363" t="s">
        <v>416</v>
      </c>
      <c r="G8" s="359"/>
      <c r="H8" s="198">
        <v>9.0899999999999995E-2</v>
      </c>
      <c r="I8" s="198">
        <v>9.0899999999999995E-2</v>
      </c>
      <c r="J8" s="198">
        <v>9.0899999999999995E-2</v>
      </c>
      <c r="K8" s="198">
        <v>9.0899999999999995E-2</v>
      </c>
      <c r="L8" s="198">
        <v>9.0899999999999995E-2</v>
      </c>
      <c r="M8" s="198">
        <v>9.0899999999999995E-2</v>
      </c>
      <c r="N8" s="198">
        <v>9.0899999999999995E-2</v>
      </c>
      <c r="O8" s="198">
        <v>9.0899999999999995E-2</v>
      </c>
      <c r="P8" s="198">
        <v>9.0899999999999995E-2</v>
      </c>
      <c r="Q8" s="198">
        <v>9.0899999999999995E-2</v>
      </c>
      <c r="R8" s="198">
        <v>9.0999999999999998E-2</v>
      </c>
      <c r="S8" s="360">
        <f>SUM(G8:R8)</f>
        <v>0.99999999999999989</v>
      </c>
      <c r="T8" s="843">
        <v>0.04</v>
      </c>
      <c r="U8" s="810">
        <v>0.04</v>
      </c>
      <c r="V8" s="888" t="s">
        <v>565</v>
      </c>
      <c r="W8"/>
    </row>
    <row r="9" spans="1:23" s="5" customFormat="1" ht="33" customHeight="1" x14ac:dyDescent="0.25">
      <c r="A9" s="849"/>
      <c r="B9" s="805"/>
      <c r="C9" s="807"/>
      <c r="D9" s="808"/>
      <c r="E9" s="842"/>
      <c r="F9" s="363" t="s">
        <v>31</v>
      </c>
      <c r="G9" s="359"/>
      <c r="H9" s="198">
        <v>9.0899999999999995E-2</v>
      </c>
      <c r="I9" s="198">
        <v>9.0899999999999995E-2</v>
      </c>
      <c r="J9" s="198"/>
      <c r="K9" s="198"/>
      <c r="L9" s="198"/>
      <c r="M9" s="198"/>
      <c r="N9" s="198"/>
      <c r="O9" s="198"/>
      <c r="P9" s="198"/>
      <c r="Q9" s="198"/>
      <c r="R9" s="198"/>
      <c r="S9" s="360">
        <f>SUM(G9:R9)</f>
        <v>0.18179999999999999</v>
      </c>
      <c r="T9" s="845"/>
      <c r="U9" s="810"/>
      <c r="V9" s="889"/>
      <c r="W9"/>
    </row>
    <row r="10" spans="1:23" s="1" customFormat="1" ht="45" customHeight="1" x14ac:dyDescent="0.25">
      <c r="A10" s="849"/>
      <c r="B10" s="851" t="s">
        <v>198</v>
      </c>
      <c r="C10" s="807" t="s">
        <v>417</v>
      </c>
      <c r="D10" s="808" t="s">
        <v>196</v>
      </c>
      <c r="E10" s="842"/>
      <c r="F10" s="364" t="s">
        <v>416</v>
      </c>
      <c r="G10" s="359">
        <v>0.05</v>
      </c>
      <c r="H10" s="359">
        <v>7.0000000000000007E-2</v>
      </c>
      <c r="I10" s="359">
        <v>7.0000000000000007E-2</v>
      </c>
      <c r="J10" s="359">
        <v>0.1</v>
      </c>
      <c r="K10" s="359">
        <v>0.1</v>
      </c>
      <c r="L10" s="359">
        <v>0.1</v>
      </c>
      <c r="M10" s="359">
        <v>0.1</v>
      </c>
      <c r="N10" s="359">
        <v>0.1</v>
      </c>
      <c r="O10" s="359">
        <v>0.08</v>
      </c>
      <c r="P10" s="359">
        <v>0.08</v>
      </c>
      <c r="Q10" s="359">
        <v>0.08</v>
      </c>
      <c r="R10" s="359">
        <v>7.0000000000000007E-2</v>
      </c>
      <c r="S10" s="360">
        <f>SUM(G10:R10)</f>
        <v>0.99999999999999978</v>
      </c>
      <c r="T10" s="809">
        <v>0.17499999999999999</v>
      </c>
      <c r="U10" s="810">
        <v>7.0000000000000007E-2</v>
      </c>
      <c r="V10" s="857" t="s">
        <v>490</v>
      </c>
      <c r="W10"/>
    </row>
    <row r="11" spans="1:23" s="1" customFormat="1" ht="23.25" thickBot="1" x14ac:dyDescent="0.3">
      <c r="A11" s="849"/>
      <c r="B11" s="852"/>
      <c r="C11" s="807"/>
      <c r="D11" s="808"/>
      <c r="E11" s="842"/>
      <c r="F11" s="364" t="s">
        <v>31</v>
      </c>
      <c r="G11" s="359">
        <v>0.05</v>
      </c>
      <c r="H11" s="359">
        <v>7.0000000000000007E-2</v>
      </c>
      <c r="I11" s="359">
        <v>7.0000000000000007E-2</v>
      </c>
      <c r="J11" s="197"/>
      <c r="K11" s="197"/>
      <c r="L11" s="197"/>
      <c r="M11" s="197"/>
      <c r="N11" s="197"/>
      <c r="O11" s="197"/>
      <c r="P11" s="197"/>
      <c r="Q11" s="197"/>
      <c r="R11" s="197"/>
      <c r="S11" s="360">
        <f t="shared" ref="S11" si="0">SUM(G11:R11)</f>
        <v>0.19</v>
      </c>
      <c r="T11" s="809"/>
      <c r="U11" s="810"/>
      <c r="V11" s="857"/>
      <c r="W11"/>
    </row>
    <row r="12" spans="1:23" s="1" customFormat="1" ht="39" customHeight="1" x14ac:dyDescent="0.25">
      <c r="A12" s="849"/>
      <c r="B12" s="852"/>
      <c r="C12" s="807" t="s">
        <v>418</v>
      </c>
      <c r="D12" s="808" t="s">
        <v>196</v>
      </c>
      <c r="E12" s="842"/>
      <c r="F12" s="365" t="s">
        <v>416</v>
      </c>
      <c r="G12" s="359"/>
      <c r="H12" s="359"/>
      <c r="I12" s="359">
        <v>0.1</v>
      </c>
      <c r="J12" s="359">
        <v>0.1</v>
      </c>
      <c r="K12" s="359">
        <v>0.1</v>
      </c>
      <c r="L12" s="359">
        <v>0.1</v>
      </c>
      <c r="M12" s="359">
        <v>0.1</v>
      </c>
      <c r="N12" s="359">
        <v>0.1</v>
      </c>
      <c r="O12" s="359">
        <v>0.1</v>
      </c>
      <c r="P12" s="359">
        <v>0.1</v>
      </c>
      <c r="Q12" s="359">
        <v>0.1</v>
      </c>
      <c r="R12" s="359">
        <v>0.1</v>
      </c>
      <c r="S12" s="360">
        <f t="shared" ref="S12:S45" si="1">SUM(G12:R12)</f>
        <v>0.99999999999999989</v>
      </c>
      <c r="T12" s="809"/>
      <c r="U12" s="810">
        <v>0.03</v>
      </c>
      <c r="V12" s="857" t="s">
        <v>491</v>
      </c>
      <c r="W12"/>
    </row>
    <row r="13" spans="1:23" s="1" customFormat="1" ht="23.25" thickBot="1" x14ac:dyDescent="0.3">
      <c r="A13" s="849"/>
      <c r="B13" s="852"/>
      <c r="C13" s="807"/>
      <c r="D13" s="808"/>
      <c r="E13" s="842"/>
      <c r="F13" s="363" t="s">
        <v>31</v>
      </c>
      <c r="G13" s="359">
        <v>0.02</v>
      </c>
      <c r="H13" s="359">
        <v>0.03</v>
      </c>
      <c r="I13" s="359">
        <v>0.05</v>
      </c>
      <c r="J13" s="359"/>
      <c r="K13" s="359"/>
      <c r="L13" s="359"/>
      <c r="M13" s="359"/>
      <c r="N13" s="359"/>
      <c r="O13" s="359"/>
      <c r="P13" s="359"/>
      <c r="Q13" s="359"/>
      <c r="R13" s="359"/>
      <c r="S13" s="360">
        <f t="shared" si="1"/>
        <v>0.1</v>
      </c>
      <c r="T13" s="809"/>
      <c r="U13" s="810"/>
      <c r="V13" s="857"/>
      <c r="W13"/>
    </row>
    <row r="14" spans="1:23" s="1" customFormat="1" ht="48.75" customHeight="1" x14ac:dyDescent="0.25">
      <c r="A14" s="849"/>
      <c r="B14" s="852"/>
      <c r="C14" s="854" t="s">
        <v>419</v>
      </c>
      <c r="D14" s="349" t="s">
        <v>196</v>
      </c>
      <c r="E14" s="350"/>
      <c r="F14" s="365" t="s">
        <v>416</v>
      </c>
      <c r="G14" s="359"/>
      <c r="H14" s="359"/>
      <c r="I14" s="359">
        <v>0.1</v>
      </c>
      <c r="J14" s="359">
        <v>0.1</v>
      </c>
      <c r="K14" s="359">
        <v>0.1</v>
      </c>
      <c r="L14" s="359">
        <v>0.1</v>
      </c>
      <c r="M14" s="359">
        <v>0.1</v>
      </c>
      <c r="N14" s="359">
        <v>0.1</v>
      </c>
      <c r="O14" s="359">
        <v>0.1</v>
      </c>
      <c r="P14" s="359">
        <v>0.1</v>
      </c>
      <c r="Q14" s="359">
        <v>0.1</v>
      </c>
      <c r="R14" s="359">
        <v>0.1</v>
      </c>
      <c r="S14" s="360">
        <f t="shared" si="1"/>
        <v>0.99999999999999989</v>
      </c>
      <c r="T14" s="809"/>
      <c r="U14" s="810">
        <v>0.03</v>
      </c>
      <c r="V14" s="859" t="s">
        <v>492</v>
      </c>
      <c r="W14"/>
    </row>
    <row r="15" spans="1:23" s="1" customFormat="1" ht="23.25" thickBot="1" x14ac:dyDescent="0.3">
      <c r="A15" s="849"/>
      <c r="B15" s="852"/>
      <c r="C15" s="854"/>
      <c r="D15" s="349"/>
      <c r="E15" s="350"/>
      <c r="F15" s="363" t="s">
        <v>31</v>
      </c>
      <c r="G15" s="359"/>
      <c r="H15" s="359"/>
      <c r="I15" s="359">
        <v>0</v>
      </c>
      <c r="J15" s="197"/>
      <c r="K15" s="197"/>
      <c r="L15" s="197"/>
      <c r="M15" s="197"/>
      <c r="N15" s="197"/>
      <c r="O15" s="197"/>
      <c r="P15" s="197"/>
      <c r="Q15" s="197"/>
      <c r="R15" s="197"/>
      <c r="S15" s="360">
        <f t="shared" si="1"/>
        <v>0</v>
      </c>
      <c r="T15" s="809"/>
      <c r="U15" s="810"/>
      <c r="V15" s="860"/>
      <c r="W15"/>
    </row>
    <row r="16" spans="1:23" s="1" customFormat="1" ht="45" customHeight="1" x14ac:dyDescent="0.25">
      <c r="A16" s="849"/>
      <c r="B16" s="852"/>
      <c r="C16" s="807" t="s">
        <v>420</v>
      </c>
      <c r="D16" s="808" t="s">
        <v>196</v>
      </c>
      <c r="E16" s="842"/>
      <c r="F16" s="365" t="s">
        <v>416</v>
      </c>
      <c r="G16" s="198"/>
      <c r="H16" s="198">
        <v>0.03</v>
      </c>
      <c r="I16" s="198">
        <v>0.05</v>
      </c>
      <c r="J16" s="198">
        <v>0.05</v>
      </c>
      <c r="K16" s="198">
        <v>0.15</v>
      </c>
      <c r="L16" s="198">
        <v>0.15</v>
      </c>
      <c r="M16" s="198">
        <v>0.15</v>
      </c>
      <c r="N16" s="198">
        <v>0.12</v>
      </c>
      <c r="O16" s="198">
        <v>0.12</v>
      </c>
      <c r="P16" s="198">
        <v>0.08</v>
      </c>
      <c r="Q16" s="198">
        <v>0.05</v>
      </c>
      <c r="R16" s="198">
        <v>0.05</v>
      </c>
      <c r="S16" s="360">
        <f t="shared" si="1"/>
        <v>1</v>
      </c>
      <c r="T16" s="809"/>
      <c r="U16" s="810">
        <v>4.4999999999999998E-2</v>
      </c>
      <c r="V16" s="861" t="s">
        <v>493</v>
      </c>
      <c r="W16"/>
    </row>
    <row r="17" spans="1:23" s="1" customFormat="1" ht="23.25" thickBot="1" x14ac:dyDescent="0.3">
      <c r="A17" s="849"/>
      <c r="B17" s="853"/>
      <c r="C17" s="807"/>
      <c r="D17" s="808"/>
      <c r="E17" s="842"/>
      <c r="F17" s="363" t="s">
        <v>31</v>
      </c>
      <c r="G17" s="198"/>
      <c r="H17" s="198">
        <v>0.03</v>
      </c>
      <c r="I17" s="198">
        <v>0.05</v>
      </c>
      <c r="J17" s="198"/>
      <c r="K17" s="198"/>
      <c r="L17" s="198"/>
      <c r="M17" s="198"/>
      <c r="N17" s="198"/>
      <c r="O17" s="198"/>
      <c r="P17" s="198"/>
      <c r="Q17" s="198"/>
      <c r="R17" s="198"/>
      <c r="S17" s="360">
        <f t="shared" si="1"/>
        <v>0.08</v>
      </c>
      <c r="T17" s="809"/>
      <c r="U17" s="810"/>
      <c r="V17" s="861"/>
      <c r="W17"/>
    </row>
    <row r="18" spans="1:23" s="1" customFormat="1" ht="45" customHeight="1" thickBot="1" x14ac:dyDescent="0.3">
      <c r="A18" s="849"/>
      <c r="B18" s="805" t="s">
        <v>199</v>
      </c>
      <c r="C18" s="807" t="s">
        <v>421</v>
      </c>
      <c r="D18" s="808" t="s">
        <v>196</v>
      </c>
      <c r="E18" s="842"/>
      <c r="F18" s="365" t="s">
        <v>416</v>
      </c>
      <c r="G18" s="198">
        <v>8.3299999999999999E-2</v>
      </c>
      <c r="H18" s="198">
        <v>8.3299999999999999E-2</v>
      </c>
      <c r="I18" s="198">
        <v>8.3299999999999999E-2</v>
      </c>
      <c r="J18" s="198">
        <v>8.3299999999999999E-2</v>
      </c>
      <c r="K18" s="198">
        <v>8.3299999999999999E-2</v>
      </c>
      <c r="L18" s="198">
        <v>8.3299999999999999E-2</v>
      </c>
      <c r="M18" s="198">
        <v>8.3299999999999999E-2</v>
      </c>
      <c r="N18" s="198">
        <v>8.3299999999999999E-2</v>
      </c>
      <c r="O18" s="198">
        <v>8.3299999999999999E-2</v>
      </c>
      <c r="P18" s="198">
        <v>8.3299999999999999E-2</v>
      </c>
      <c r="Q18" s="198">
        <v>8.3299999999999999E-2</v>
      </c>
      <c r="R18" s="198">
        <v>8.3699999999999997E-2</v>
      </c>
      <c r="S18" s="360">
        <f t="shared" si="1"/>
        <v>1</v>
      </c>
      <c r="T18" s="809">
        <v>0.08</v>
      </c>
      <c r="U18" s="810">
        <v>0.04</v>
      </c>
      <c r="V18" s="890" t="s">
        <v>566</v>
      </c>
      <c r="W18"/>
    </row>
    <row r="19" spans="1:23" s="1" customFormat="1" ht="23.25" thickBot="1" x14ac:dyDescent="0.3">
      <c r="A19" s="849"/>
      <c r="B19" s="805"/>
      <c r="C19" s="807"/>
      <c r="D19" s="808"/>
      <c r="E19" s="842"/>
      <c r="F19" s="365" t="s">
        <v>416</v>
      </c>
      <c r="G19" s="198">
        <v>8.3299999999999999E-2</v>
      </c>
      <c r="H19" s="198">
        <v>8.3299999999999999E-2</v>
      </c>
      <c r="I19" s="198">
        <v>8.3299999999999999E-2</v>
      </c>
      <c r="J19" s="660">
        <v>8.3299999999999999E-2</v>
      </c>
      <c r="K19" s="660">
        <v>8.3299999999999999E-2</v>
      </c>
      <c r="L19" s="660">
        <v>8.3299999999999999E-2</v>
      </c>
      <c r="M19" s="198"/>
      <c r="N19" s="198"/>
      <c r="O19" s="198"/>
      <c r="P19" s="198"/>
      <c r="Q19" s="198"/>
      <c r="R19" s="198"/>
      <c r="S19" s="360">
        <f t="shared" si="1"/>
        <v>0.49979999999999997</v>
      </c>
      <c r="T19" s="809"/>
      <c r="U19" s="810"/>
      <c r="V19" s="890"/>
      <c r="W19"/>
    </row>
    <row r="20" spans="1:23" s="1" customFormat="1" ht="52.5" customHeight="1" x14ac:dyDescent="0.25">
      <c r="A20" s="849"/>
      <c r="B20" s="805"/>
      <c r="C20" s="817" t="s">
        <v>422</v>
      </c>
      <c r="D20" s="349" t="s">
        <v>196</v>
      </c>
      <c r="E20" s="350"/>
      <c r="F20" s="365" t="s">
        <v>416</v>
      </c>
      <c r="G20" s="198">
        <v>8.3299999999999999E-2</v>
      </c>
      <c r="H20" s="198">
        <v>8.3299999999999999E-2</v>
      </c>
      <c r="I20" s="198">
        <v>8.3299999999999999E-2</v>
      </c>
      <c r="J20" s="198">
        <v>8.3299999999999999E-2</v>
      </c>
      <c r="K20" s="198">
        <v>8.3299999999999999E-2</v>
      </c>
      <c r="L20" s="198">
        <v>8.3299999999999999E-2</v>
      </c>
      <c r="M20" s="198">
        <v>8.3299999999999999E-2</v>
      </c>
      <c r="N20" s="198">
        <v>8.3299999999999999E-2</v>
      </c>
      <c r="O20" s="198">
        <v>8.3299999999999999E-2</v>
      </c>
      <c r="P20" s="198">
        <v>8.3299999999999999E-2</v>
      </c>
      <c r="Q20" s="198">
        <v>8.3299999999999999E-2</v>
      </c>
      <c r="R20" s="198">
        <v>8.3699999999999997E-2</v>
      </c>
      <c r="S20" s="360">
        <f t="shared" si="1"/>
        <v>1</v>
      </c>
      <c r="T20" s="809"/>
      <c r="U20" s="821">
        <v>0.04</v>
      </c>
      <c r="V20" s="834" t="s">
        <v>567</v>
      </c>
      <c r="W20"/>
    </row>
    <row r="21" spans="1:23" s="1" customFormat="1" ht="23.25" thickBot="1" x14ac:dyDescent="0.3">
      <c r="A21" s="849"/>
      <c r="B21" s="805"/>
      <c r="C21" s="818"/>
      <c r="D21" s="349"/>
      <c r="E21" s="351"/>
      <c r="F21" s="363" t="s">
        <v>31</v>
      </c>
      <c r="G21" s="198">
        <v>8.3299999999999999E-2</v>
      </c>
      <c r="H21" s="198">
        <v>8.3299999999999999E-2</v>
      </c>
      <c r="I21" s="198">
        <v>8.3299999999999999E-2</v>
      </c>
      <c r="J21" s="660">
        <v>8.3299999999999999E-2</v>
      </c>
      <c r="K21" s="660">
        <v>8.3299999999999999E-2</v>
      </c>
      <c r="L21" s="660">
        <v>8.3299999999999999E-2</v>
      </c>
      <c r="M21" s="198"/>
      <c r="N21" s="198"/>
      <c r="O21" s="198"/>
      <c r="P21" s="198"/>
      <c r="Q21" s="198"/>
      <c r="R21" s="198"/>
      <c r="S21" s="360">
        <f t="shared" si="1"/>
        <v>0.49979999999999997</v>
      </c>
      <c r="T21" s="809"/>
      <c r="U21" s="822"/>
      <c r="V21" s="834"/>
      <c r="W21"/>
    </row>
    <row r="22" spans="1:23" s="1" customFormat="1" ht="65.25" customHeight="1" x14ac:dyDescent="0.25">
      <c r="A22" s="849"/>
      <c r="B22" s="805" t="s">
        <v>200</v>
      </c>
      <c r="C22" s="807" t="s">
        <v>423</v>
      </c>
      <c r="D22" s="808" t="s">
        <v>196</v>
      </c>
      <c r="E22" s="352"/>
      <c r="F22" s="365" t="s">
        <v>416</v>
      </c>
      <c r="G22" s="359" t="s">
        <v>219</v>
      </c>
      <c r="H22" s="359">
        <v>8.3000000000000004E-2</v>
      </c>
      <c r="I22" s="198">
        <v>9.1700000000000004E-2</v>
      </c>
      <c r="J22" s="198">
        <v>9.1700000000000004E-2</v>
      </c>
      <c r="K22" s="198">
        <v>9.1700000000000004E-2</v>
      </c>
      <c r="L22" s="198">
        <v>9.1700000000000004E-2</v>
      </c>
      <c r="M22" s="198">
        <v>9.1700000000000004E-2</v>
      </c>
      <c r="N22" s="198">
        <v>9.1700000000000004E-2</v>
      </c>
      <c r="O22" s="198">
        <v>9.1700000000000004E-2</v>
      </c>
      <c r="P22" s="198">
        <v>9.1700000000000004E-2</v>
      </c>
      <c r="Q22" s="198">
        <v>9.1700000000000004E-2</v>
      </c>
      <c r="R22" s="198">
        <v>9.1700000000000004E-2</v>
      </c>
      <c r="S22" s="360">
        <f t="shared" si="1"/>
        <v>1</v>
      </c>
      <c r="T22" s="843">
        <v>0.08</v>
      </c>
      <c r="U22" s="810">
        <v>0.04</v>
      </c>
      <c r="V22" s="857" t="s">
        <v>494</v>
      </c>
      <c r="W22"/>
    </row>
    <row r="23" spans="1:23" s="1" customFormat="1" ht="23.25" thickBot="1" x14ac:dyDescent="0.3">
      <c r="A23" s="849"/>
      <c r="B23" s="805"/>
      <c r="C23" s="807"/>
      <c r="D23" s="808"/>
      <c r="E23" s="352"/>
      <c r="F23" s="363" t="s">
        <v>31</v>
      </c>
      <c r="G23" s="359" t="s">
        <v>219</v>
      </c>
      <c r="H23" s="359">
        <v>8.3000000000000004E-2</v>
      </c>
      <c r="I23" s="198">
        <v>9.1700000000000004E-2</v>
      </c>
      <c r="J23" s="198"/>
      <c r="K23" s="198"/>
      <c r="L23" s="198"/>
      <c r="M23" s="198"/>
      <c r="N23" s="198"/>
      <c r="O23" s="198"/>
      <c r="P23" s="198"/>
      <c r="Q23" s="198"/>
      <c r="R23" s="198"/>
      <c r="S23" s="360">
        <f t="shared" si="1"/>
        <v>0.17470000000000002</v>
      </c>
      <c r="T23" s="844"/>
      <c r="U23" s="810"/>
      <c r="V23" s="857"/>
      <c r="W23"/>
    </row>
    <row r="24" spans="1:23" s="1" customFormat="1" ht="44.25" customHeight="1" x14ac:dyDescent="0.25">
      <c r="A24" s="849"/>
      <c r="B24" s="805"/>
      <c r="C24" s="807" t="s">
        <v>424</v>
      </c>
      <c r="D24" s="808" t="s">
        <v>196</v>
      </c>
      <c r="E24" s="802"/>
      <c r="F24" s="365" t="s">
        <v>416</v>
      </c>
      <c r="G24" s="198">
        <v>0</v>
      </c>
      <c r="H24" s="198">
        <v>0.05</v>
      </c>
      <c r="I24" s="198">
        <v>0.1</v>
      </c>
      <c r="J24" s="198">
        <v>0.1</v>
      </c>
      <c r="K24" s="198">
        <v>0.1</v>
      </c>
      <c r="L24" s="198">
        <v>0.1</v>
      </c>
      <c r="M24" s="198">
        <v>0.1</v>
      </c>
      <c r="N24" s="198">
        <v>0.09</v>
      </c>
      <c r="O24" s="198">
        <v>0.09</v>
      </c>
      <c r="P24" s="198">
        <v>0.09</v>
      </c>
      <c r="Q24" s="198">
        <v>0.09</v>
      </c>
      <c r="R24" s="198">
        <v>0.09</v>
      </c>
      <c r="S24" s="360">
        <f t="shared" si="1"/>
        <v>0.99999999999999978</v>
      </c>
      <c r="T24" s="844"/>
      <c r="U24" s="810">
        <v>0.04</v>
      </c>
      <c r="V24" s="857" t="s">
        <v>495</v>
      </c>
      <c r="W24"/>
    </row>
    <row r="25" spans="1:23" s="1" customFormat="1" ht="23.25" thickBot="1" x14ac:dyDescent="0.3">
      <c r="A25" s="849"/>
      <c r="B25" s="805"/>
      <c r="C25" s="807"/>
      <c r="D25" s="808"/>
      <c r="E25" s="802"/>
      <c r="F25" s="363" t="s">
        <v>31</v>
      </c>
      <c r="G25" s="198">
        <v>0</v>
      </c>
      <c r="H25" s="198">
        <v>0.05</v>
      </c>
      <c r="I25" s="198">
        <v>0.1</v>
      </c>
      <c r="J25" s="198"/>
      <c r="K25" s="198"/>
      <c r="L25" s="198"/>
      <c r="M25" s="198"/>
      <c r="N25" s="198"/>
      <c r="O25" s="198"/>
      <c r="P25" s="198"/>
      <c r="Q25" s="198"/>
      <c r="R25" s="198"/>
      <c r="S25" s="360">
        <f t="shared" si="1"/>
        <v>0.15000000000000002</v>
      </c>
      <c r="T25" s="845"/>
      <c r="U25" s="810"/>
      <c r="V25" s="857"/>
      <c r="W25"/>
    </row>
    <row r="26" spans="1:23" s="1" customFormat="1" ht="52.5" customHeight="1" x14ac:dyDescent="0.25">
      <c r="A26" s="849"/>
      <c r="B26" s="846" t="s">
        <v>201</v>
      </c>
      <c r="C26" s="854" t="s">
        <v>425</v>
      </c>
      <c r="D26" s="819" t="s">
        <v>426</v>
      </c>
      <c r="E26" s="353"/>
      <c r="F26" s="365" t="s">
        <v>416</v>
      </c>
      <c r="G26" s="198">
        <v>0.2</v>
      </c>
      <c r="H26" s="198">
        <v>0.3</v>
      </c>
      <c r="I26" s="198">
        <v>0.5</v>
      </c>
      <c r="J26" s="198"/>
      <c r="K26" s="198"/>
      <c r="L26" s="198"/>
      <c r="M26" s="198"/>
      <c r="N26" s="198"/>
      <c r="O26" s="198"/>
      <c r="P26" s="198"/>
      <c r="Q26" s="198"/>
      <c r="R26" s="198"/>
      <c r="S26" s="360">
        <f t="shared" si="1"/>
        <v>1</v>
      </c>
      <c r="T26" s="810">
        <v>5.0000000000000001E-3</v>
      </c>
      <c r="U26" s="810">
        <v>5.0000000000000001E-3</v>
      </c>
      <c r="V26" s="863" t="s">
        <v>496</v>
      </c>
      <c r="W26"/>
    </row>
    <row r="27" spans="1:23" s="1" customFormat="1" ht="23.25" thickBot="1" x14ac:dyDescent="0.3">
      <c r="A27" s="849"/>
      <c r="B27" s="847"/>
      <c r="C27" s="854"/>
      <c r="D27" s="820"/>
      <c r="E27" s="353"/>
      <c r="F27" s="363" t="s">
        <v>31</v>
      </c>
      <c r="G27" s="198">
        <v>0.2</v>
      </c>
      <c r="H27" s="198">
        <v>0.3</v>
      </c>
      <c r="I27" s="198">
        <v>0.5</v>
      </c>
      <c r="J27" s="198"/>
      <c r="K27" s="198"/>
      <c r="L27" s="198"/>
      <c r="M27" s="198"/>
      <c r="N27" s="198"/>
      <c r="O27" s="198"/>
      <c r="P27" s="198"/>
      <c r="Q27" s="198"/>
      <c r="R27" s="198"/>
      <c r="S27" s="360">
        <f t="shared" si="1"/>
        <v>1</v>
      </c>
      <c r="T27" s="810"/>
      <c r="U27" s="810"/>
      <c r="V27" s="864"/>
      <c r="W27"/>
    </row>
    <row r="28" spans="1:23" s="1" customFormat="1" ht="48" customHeight="1" x14ac:dyDescent="0.25">
      <c r="A28" s="850"/>
      <c r="B28" s="846" t="s">
        <v>427</v>
      </c>
      <c r="C28" s="817" t="s">
        <v>428</v>
      </c>
      <c r="D28" s="819" t="s">
        <v>196</v>
      </c>
      <c r="E28" s="353"/>
      <c r="F28" s="365" t="s">
        <v>416</v>
      </c>
      <c r="G28" s="198"/>
      <c r="H28" s="198"/>
      <c r="I28" s="198"/>
      <c r="J28" s="198">
        <v>0.16500000000000001</v>
      </c>
      <c r="K28" s="198">
        <v>0.16500000000000001</v>
      </c>
      <c r="L28" s="198">
        <v>0.17</v>
      </c>
      <c r="M28" s="198"/>
      <c r="N28" s="198"/>
      <c r="O28" s="198"/>
      <c r="P28" s="198">
        <v>0.17</v>
      </c>
      <c r="Q28" s="198">
        <v>0.16500000000000001</v>
      </c>
      <c r="R28" s="198">
        <v>0.16500000000000001</v>
      </c>
      <c r="S28" s="360">
        <f t="shared" si="1"/>
        <v>1</v>
      </c>
      <c r="T28" s="821">
        <v>0.01</v>
      </c>
      <c r="U28" s="821">
        <v>0.01</v>
      </c>
      <c r="V28" s="823" t="s">
        <v>497</v>
      </c>
      <c r="W28"/>
    </row>
    <row r="29" spans="1:23" s="1" customFormat="1" ht="31.5" customHeight="1" thickBot="1" x14ac:dyDescent="0.3">
      <c r="A29" s="358"/>
      <c r="B29" s="847"/>
      <c r="C29" s="818"/>
      <c r="D29" s="820"/>
      <c r="E29" s="353"/>
      <c r="F29" s="363" t="s">
        <v>31</v>
      </c>
      <c r="G29" s="198">
        <v>0.25</v>
      </c>
      <c r="H29" s="198">
        <v>0.3</v>
      </c>
      <c r="I29" s="198">
        <v>0.3</v>
      </c>
      <c r="J29" s="198"/>
      <c r="K29" s="198"/>
      <c r="L29" s="198"/>
      <c r="M29" s="198"/>
      <c r="N29" s="198"/>
      <c r="O29" s="198"/>
      <c r="P29" s="198"/>
      <c r="Q29" s="198"/>
      <c r="R29" s="198"/>
      <c r="S29" s="360">
        <f t="shared" si="1"/>
        <v>0.85000000000000009</v>
      </c>
      <c r="T29" s="822"/>
      <c r="U29" s="822"/>
      <c r="V29" s="824"/>
      <c r="W29"/>
    </row>
    <row r="30" spans="1:23" s="1" customFormat="1" ht="45" customHeight="1" x14ac:dyDescent="0.25">
      <c r="A30" s="831" t="s">
        <v>202</v>
      </c>
      <c r="B30" s="805" t="s">
        <v>203</v>
      </c>
      <c r="C30" s="807" t="s">
        <v>429</v>
      </c>
      <c r="D30" s="808" t="s">
        <v>196</v>
      </c>
      <c r="E30" s="802"/>
      <c r="F30" s="365" t="s">
        <v>416</v>
      </c>
      <c r="G30" s="361">
        <v>8.3299999999999999E-2</v>
      </c>
      <c r="H30" s="361">
        <v>8.3299999999999999E-2</v>
      </c>
      <c r="I30" s="361">
        <v>8.3299999999999999E-2</v>
      </c>
      <c r="J30" s="361">
        <v>8.3299999999999999E-2</v>
      </c>
      <c r="K30" s="361">
        <v>8.3299999999999999E-2</v>
      </c>
      <c r="L30" s="361">
        <v>8.3299999999999999E-2</v>
      </c>
      <c r="M30" s="361">
        <v>8.3299999999999999E-2</v>
      </c>
      <c r="N30" s="361">
        <v>8.3299999999999999E-2</v>
      </c>
      <c r="O30" s="361">
        <v>8.3299999999999999E-2</v>
      </c>
      <c r="P30" s="361">
        <v>8.3299999999999999E-2</v>
      </c>
      <c r="Q30" s="361">
        <v>8.3299999999999999E-2</v>
      </c>
      <c r="R30" s="361">
        <v>8.3699999999999997E-2</v>
      </c>
      <c r="S30" s="360">
        <f t="shared" si="1"/>
        <v>1</v>
      </c>
      <c r="T30" s="809">
        <v>0.03</v>
      </c>
      <c r="U30" s="810">
        <v>0.02</v>
      </c>
      <c r="V30" s="834" t="s">
        <v>568</v>
      </c>
      <c r="W30"/>
    </row>
    <row r="31" spans="1:23" s="1" customFormat="1" ht="23.25" thickBot="1" x14ac:dyDescent="0.3">
      <c r="A31" s="831"/>
      <c r="B31" s="805"/>
      <c r="C31" s="807"/>
      <c r="D31" s="808"/>
      <c r="E31" s="802"/>
      <c r="F31" s="363" t="s">
        <v>31</v>
      </c>
      <c r="G31" s="361">
        <v>8.3299999999999999E-2</v>
      </c>
      <c r="H31" s="361">
        <v>8.3299999999999999E-2</v>
      </c>
      <c r="I31" s="361">
        <v>8.3299999999999999E-2</v>
      </c>
      <c r="J31" s="661">
        <v>8.3299999999999999E-2</v>
      </c>
      <c r="K31" s="661">
        <v>8.3299999999999999E-2</v>
      </c>
      <c r="L31" s="661">
        <v>8.3299999999999999E-2</v>
      </c>
      <c r="M31" s="198"/>
      <c r="N31" s="198"/>
      <c r="O31" s="198"/>
      <c r="P31" s="198"/>
      <c r="Q31" s="198"/>
      <c r="R31" s="361"/>
      <c r="S31" s="360">
        <f t="shared" si="1"/>
        <v>0.49979999999999997</v>
      </c>
      <c r="T31" s="809"/>
      <c r="U31" s="810"/>
      <c r="V31" s="834"/>
      <c r="W31"/>
    </row>
    <row r="32" spans="1:23" s="1" customFormat="1" ht="45" customHeight="1" x14ac:dyDescent="0.25">
      <c r="A32" s="831"/>
      <c r="B32" s="805"/>
      <c r="C32" s="807" t="s">
        <v>430</v>
      </c>
      <c r="D32" s="808" t="s">
        <v>196</v>
      </c>
      <c r="E32" s="802"/>
      <c r="F32" s="365" t="s">
        <v>416</v>
      </c>
      <c r="G32" s="361">
        <v>8.3299999999999999E-2</v>
      </c>
      <c r="H32" s="361">
        <v>8.3299999999999999E-2</v>
      </c>
      <c r="I32" s="361">
        <v>8.3299999999999999E-2</v>
      </c>
      <c r="J32" s="361">
        <v>8.3299999999999999E-2</v>
      </c>
      <c r="K32" s="361">
        <v>8.3299999999999999E-2</v>
      </c>
      <c r="L32" s="361">
        <v>8.3299999999999999E-2</v>
      </c>
      <c r="M32" s="361">
        <v>8.3299999999999999E-2</v>
      </c>
      <c r="N32" s="361">
        <v>8.3299999999999999E-2</v>
      </c>
      <c r="O32" s="361">
        <v>8.3299999999999999E-2</v>
      </c>
      <c r="P32" s="361">
        <v>8.3299999999999999E-2</v>
      </c>
      <c r="Q32" s="361">
        <v>8.3299999999999999E-2</v>
      </c>
      <c r="R32" s="361">
        <v>8.3699999999999997E-2</v>
      </c>
      <c r="S32" s="360">
        <f t="shared" si="1"/>
        <v>1</v>
      </c>
      <c r="T32" s="809"/>
      <c r="U32" s="810">
        <v>0.01</v>
      </c>
      <c r="V32" s="834" t="s">
        <v>569</v>
      </c>
      <c r="W32"/>
    </row>
    <row r="33" spans="1:23" s="1" customFormat="1" ht="23.25" thickBot="1" x14ac:dyDescent="0.3">
      <c r="A33" s="831"/>
      <c r="B33" s="805"/>
      <c r="C33" s="807"/>
      <c r="D33" s="808"/>
      <c r="E33" s="802"/>
      <c r="F33" s="363" t="s">
        <v>31</v>
      </c>
      <c r="G33" s="361">
        <v>8.3299999999999999E-2</v>
      </c>
      <c r="H33" s="361">
        <v>8.3299999999999999E-2</v>
      </c>
      <c r="I33" s="361">
        <v>8.3299999999999999E-2</v>
      </c>
      <c r="J33" s="661">
        <v>8.3299999999999999E-2</v>
      </c>
      <c r="K33" s="661">
        <v>8.3299999999999999E-2</v>
      </c>
      <c r="L33" s="661">
        <v>8.3299999999999999E-2</v>
      </c>
      <c r="M33" s="198"/>
      <c r="N33" s="198"/>
      <c r="O33" s="198"/>
      <c r="P33" s="198"/>
      <c r="Q33" s="198"/>
      <c r="R33" s="198"/>
      <c r="S33" s="360">
        <f t="shared" si="1"/>
        <v>0.49979999999999997</v>
      </c>
      <c r="T33" s="809"/>
      <c r="U33" s="810"/>
      <c r="V33" s="834"/>
      <c r="W33"/>
    </row>
    <row r="34" spans="1:23" s="1" customFormat="1" ht="59.25" customHeight="1" x14ac:dyDescent="0.25">
      <c r="A34" s="831"/>
      <c r="B34" s="805" t="s">
        <v>204</v>
      </c>
      <c r="C34" s="807" t="s">
        <v>431</v>
      </c>
      <c r="D34" s="808" t="s">
        <v>196</v>
      </c>
      <c r="E34" s="802"/>
      <c r="F34" s="365" t="s">
        <v>416</v>
      </c>
      <c r="G34" s="198"/>
      <c r="H34" s="198">
        <v>9.0899999999999995E-2</v>
      </c>
      <c r="I34" s="198">
        <v>9.0899999999999995E-2</v>
      </c>
      <c r="J34" s="198">
        <v>9.0899999999999995E-2</v>
      </c>
      <c r="K34" s="198">
        <v>9.0899999999999995E-2</v>
      </c>
      <c r="L34" s="198">
        <v>9.0899999999999995E-2</v>
      </c>
      <c r="M34" s="198">
        <v>9.0899999999999995E-2</v>
      </c>
      <c r="N34" s="198">
        <v>9.0899999999999995E-2</v>
      </c>
      <c r="O34" s="198">
        <v>9.0899999999999995E-2</v>
      </c>
      <c r="P34" s="198">
        <v>9.0899999999999995E-2</v>
      </c>
      <c r="Q34" s="198">
        <v>9.0899999999999995E-2</v>
      </c>
      <c r="R34" s="198">
        <v>9.0999999999999998E-2</v>
      </c>
      <c r="S34" s="360">
        <f t="shared" si="1"/>
        <v>0.99999999999999989</v>
      </c>
      <c r="T34" s="813">
        <v>7.0000000000000007E-2</v>
      </c>
      <c r="U34" s="803">
        <v>7.0000000000000007E-2</v>
      </c>
      <c r="V34" s="834" t="s">
        <v>556</v>
      </c>
      <c r="W34"/>
    </row>
    <row r="35" spans="1:23" s="1" customFormat="1" ht="23.25" thickBot="1" x14ac:dyDescent="0.3">
      <c r="A35" s="831"/>
      <c r="B35" s="805"/>
      <c r="C35" s="807"/>
      <c r="D35" s="808"/>
      <c r="E35" s="802"/>
      <c r="F35" s="363" t="s">
        <v>31</v>
      </c>
      <c r="G35" s="198"/>
      <c r="H35" s="198">
        <v>9.0899999999999995E-2</v>
      </c>
      <c r="I35" s="198">
        <v>9.0899999999999995E-2</v>
      </c>
      <c r="J35" s="359">
        <v>9.0899999999999995E-2</v>
      </c>
      <c r="K35" s="359">
        <v>9.0899999999999995E-2</v>
      </c>
      <c r="L35" s="359">
        <v>9.0899999999999995E-2</v>
      </c>
      <c r="M35" s="198"/>
      <c r="N35" s="198"/>
      <c r="O35" s="198"/>
      <c r="P35" s="198"/>
      <c r="Q35" s="198"/>
      <c r="R35" s="198"/>
      <c r="S35" s="360">
        <f t="shared" si="1"/>
        <v>0.45449999999999996</v>
      </c>
      <c r="T35" s="813"/>
      <c r="U35" s="803"/>
      <c r="V35" s="834"/>
      <c r="W35"/>
    </row>
    <row r="36" spans="1:23" s="1" customFormat="1" ht="76.5" customHeight="1" x14ac:dyDescent="0.25">
      <c r="A36" s="831"/>
      <c r="B36" s="805" t="s">
        <v>205</v>
      </c>
      <c r="C36" s="807" t="s">
        <v>432</v>
      </c>
      <c r="D36" s="808" t="s">
        <v>196</v>
      </c>
      <c r="E36" s="802"/>
      <c r="F36" s="365" t="s">
        <v>416</v>
      </c>
      <c r="G36" s="198"/>
      <c r="H36" s="198"/>
      <c r="I36" s="198"/>
      <c r="J36" s="198">
        <v>0.11</v>
      </c>
      <c r="K36" s="198">
        <v>0.11</v>
      </c>
      <c r="L36" s="198">
        <v>0.11</v>
      </c>
      <c r="M36" s="198">
        <v>0.14499999999999999</v>
      </c>
      <c r="N36" s="198">
        <v>0.14499999999999999</v>
      </c>
      <c r="O36" s="198">
        <v>0.11</v>
      </c>
      <c r="P36" s="198">
        <v>0.11</v>
      </c>
      <c r="Q36" s="198">
        <v>0.11</v>
      </c>
      <c r="R36" s="198">
        <v>0.05</v>
      </c>
      <c r="S36" s="360">
        <f t="shared" si="1"/>
        <v>1</v>
      </c>
      <c r="T36" s="809">
        <v>0.05</v>
      </c>
      <c r="U36" s="810">
        <v>0.05</v>
      </c>
      <c r="V36" s="857" t="s">
        <v>498</v>
      </c>
      <c r="W36"/>
    </row>
    <row r="37" spans="1:23" s="1" customFormat="1" ht="17.25" customHeight="1" thickBot="1" x14ac:dyDescent="0.3">
      <c r="A37" s="831"/>
      <c r="B37" s="805"/>
      <c r="C37" s="807"/>
      <c r="D37" s="808"/>
      <c r="E37" s="802"/>
      <c r="F37" s="363" t="s">
        <v>31</v>
      </c>
      <c r="G37" s="198"/>
      <c r="H37" s="198"/>
      <c r="I37" s="198"/>
      <c r="J37" s="198"/>
      <c r="K37" s="198"/>
      <c r="L37" s="198"/>
      <c r="M37" s="198"/>
      <c r="N37" s="198"/>
      <c r="O37" s="198"/>
      <c r="P37" s="198"/>
      <c r="Q37" s="198"/>
      <c r="R37" s="198"/>
      <c r="S37" s="360">
        <f t="shared" si="1"/>
        <v>0</v>
      </c>
      <c r="T37" s="809"/>
      <c r="U37" s="810"/>
      <c r="V37" s="857"/>
      <c r="W37"/>
    </row>
    <row r="38" spans="1:23" s="1" customFormat="1" ht="57" customHeight="1" x14ac:dyDescent="0.25">
      <c r="A38" s="831"/>
      <c r="B38" s="805" t="s">
        <v>206</v>
      </c>
      <c r="C38" s="807" t="s">
        <v>433</v>
      </c>
      <c r="D38" s="808" t="s">
        <v>196</v>
      </c>
      <c r="E38" s="802"/>
      <c r="F38" s="365" t="s">
        <v>416</v>
      </c>
      <c r="G38" s="198">
        <v>8.3299999999999999E-2</v>
      </c>
      <c r="H38" s="198">
        <v>8.3299999999999999E-2</v>
      </c>
      <c r="I38" s="198">
        <v>8.3299999999999999E-2</v>
      </c>
      <c r="J38" s="198">
        <v>8.3299999999999999E-2</v>
      </c>
      <c r="K38" s="198">
        <v>8.3299999999999999E-2</v>
      </c>
      <c r="L38" s="198">
        <v>8.3299999999999999E-2</v>
      </c>
      <c r="M38" s="198">
        <v>8.3299999999999999E-2</v>
      </c>
      <c r="N38" s="198">
        <v>8.3299999999999999E-2</v>
      </c>
      <c r="O38" s="198">
        <v>8.3299999999999999E-2</v>
      </c>
      <c r="P38" s="198">
        <v>8.3299999999999999E-2</v>
      </c>
      <c r="Q38" s="198">
        <v>8.3299999999999999E-2</v>
      </c>
      <c r="R38" s="198">
        <v>8.3699999999999997E-2</v>
      </c>
      <c r="S38" s="360">
        <f t="shared" si="1"/>
        <v>1</v>
      </c>
      <c r="T38" s="809">
        <v>7.0000000000000007E-2</v>
      </c>
      <c r="U38" s="810">
        <v>0.05</v>
      </c>
      <c r="V38" s="858" t="s">
        <v>499</v>
      </c>
      <c r="W38"/>
    </row>
    <row r="39" spans="1:23" s="1" customFormat="1" ht="23.25" thickBot="1" x14ac:dyDescent="0.3">
      <c r="A39" s="831"/>
      <c r="B39" s="805"/>
      <c r="C39" s="807"/>
      <c r="D39" s="808"/>
      <c r="E39" s="802"/>
      <c r="F39" s="363" t="s">
        <v>31</v>
      </c>
      <c r="G39" s="198">
        <v>8.3299999999999999E-2</v>
      </c>
      <c r="H39" s="198">
        <v>8.3299999999999999E-2</v>
      </c>
      <c r="I39" s="198">
        <v>8.3299999999999999E-2</v>
      </c>
      <c r="J39" s="198"/>
      <c r="K39" s="198"/>
      <c r="L39" s="198"/>
      <c r="M39" s="198"/>
      <c r="N39" s="198"/>
      <c r="O39" s="198"/>
      <c r="P39" s="198"/>
      <c r="Q39" s="198"/>
      <c r="R39" s="198"/>
      <c r="S39" s="360">
        <f t="shared" si="1"/>
        <v>0.24990000000000001</v>
      </c>
      <c r="T39" s="809"/>
      <c r="U39" s="810"/>
      <c r="V39" s="858"/>
      <c r="W39"/>
    </row>
    <row r="40" spans="1:23" s="4" customFormat="1" ht="58.5" customHeight="1" x14ac:dyDescent="0.25">
      <c r="A40" s="831"/>
      <c r="B40" s="805"/>
      <c r="C40" s="807" t="s">
        <v>434</v>
      </c>
      <c r="D40" s="808" t="s">
        <v>196</v>
      </c>
      <c r="E40" s="802"/>
      <c r="F40" s="365" t="s">
        <v>416</v>
      </c>
      <c r="G40" s="198">
        <v>8.3299999999999999E-2</v>
      </c>
      <c r="H40" s="198">
        <v>8.3299999999999999E-2</v>
      </c>
      <c r="I40" s="198">
        <v>8.3299999999999999E-2</v>
      </c>
      <c r="J40" s="198">
        <v>8.3299999999999999E-2</v>
      </c>
      <c r="K40" s="198">
        <v>8.3299999999999999E-2</v>
      </c>
      <c r="L40" s="198">
        <v>8.3299999999999999E-2</v>
      </c>
      <c r="M40" s="198">
        <v>8.3299999999999999E-2</v>
      </c>
      <c r="N40" s="198">
        <v>8.3299999999999999E-2</v>
      </c>
      <c r="O40" s="198">
        <v>8.3299999999999999E-2</v>
      </c>
      <c r="P40" s="198">
        <v>8.3299999999999999E-2</v>
      </c>
      <c r="Q40" s="198">
        <v>8.3299999999999999E-2</v>
      </c>
      <c r="R40" s="198">
        <v>8.3699999999999997E-2</v>
      </c>
      <c r="S40" s="360">
        <f t="shared" si="1"/>
        <v>1</v>
      </c>
      <c r="T40" s="809"/>
      <c r="U40" s="810">
        <v>0.02</v>
      </c>
      <c r="V40" s="857" t="s">
        <v>500</v>
      </c>
      <c r="W40"/>
    </row>
    <row r="41" spans="1:23" s="4" customFormat="1" ht="23.25" thickBot="1" x14ac:dyDescent="0.3">
      <c r="A41" s="831"/>
      <c r="B41" s="805"/>
      <c r="C41" s="807"/>
      <c r="D41" s="808"/>
      <c r="E41" s="802"/>
      <c r="F41" s="363" t="s">
        <v>31</v>
      </c>
      <c r="G41" s="198">
        <v>8.3299999999999999E-2</v>
      </c>
      <c r="H41" s="198">
        <v>8.3299999999999999E-2</v>
      </c>
      <c r="I41" s="198">
        <v>8.3299999999999999E-2</v>
      </c>
      <c r="J41" s="198"/>
      <c r="K41" s="198"/>
      <c r="L41" s="198"/>
      <c r="M41" s="198"/>
      <c r="N41" s="198"/>
      <c r="O41" s="198"/>
      <c r="P41" s="198"/>
      <c r="Q41" s="198"/>
      <c r="R41" s="198"/>
      <c r="S41" s="360">
        <f t="shared" si="1"/>
        <v>0.24990000000000001</v>
      </c>
      <c r="T41" s="809"/>
      <c r="U41" s="810"/>
      <c r="V41" s="857"/>
      <c r="W41"/>
    </row>
    <row r="42" spans="1:23" s="354" customFormat="1" ht="108.75" customHeight="1" x14ac:dyDescent="0.25">
      <c r="A42" s="831"/>
      <c r="B42" s="805" t="s">
        <v>207</v>
      </c>
      <c r="C42" s="807" t="s">
        <v>435</v>
      </c>
      <c r="D42" s="808" t="s">
        <v>196</v>
      </c>
      <c r="E42" s="802"/>
      <c r="F42" s="365" t="s">
        <v>416</v>
      </c>
      <c r="G42" s="198">
        <v>8.3299999999999999E-2</v>
      </c>
      <c r="H42" s="198">
        <v>8.3299999999999999E-2</v>
      </c>
      <c r="I42" s="198">
        <v>8.3299999999999999E-2</v>
      </c>
      <c r="J42" s="198">
        <v>8.3299999999999999E-2</v>
      </c>
      <c r="K42" s="198">
        <v>8.3299999999999999E-2</v>
      </c>
      <c r="L42" s="198">
        <v>8.3299999999999999E-2</v>
      </c>
      <c r="M42" s="198">
        <v>8.3299999999999999E-2</v>
      </c>
      <c r="N42" s="198">
        <v>8.3299999999999999E-2</v>
      </c>
      <c r="O42" s="198">
        <v>8.3299999999999999E-2</v>
      </c>
      <c r="P42" s="198">
        <v>8.3299999999999999E-2</v>
      </c>
      <c r="Q42" s="198">
        <v>8.3299999999999999E-2</v>
      </c>
      <c r="R42" s="198">
        <v>8.3699999999999997E-2</v>
      </c>
      <c r="S42" s="360">
        <f t="shared" si="1"/>
        <v>1</v>
      </c>
      <c r="T42" s="809">
        <v>0.05</v>
      </c>
      <c r="U42" s="810">
        <v>0.04</v>
      </c>
      <c r="V42" s="834" t="s">
        <v>570</v>
      </c>
    </row>
    <row r="43" spans="1:23" s="354" customFormat="1" ht="23.25" thickBot="1" x14ac:dyDescent="0.3">
      <c r="A43" s="831"/>
      <c r="B43" s="805"/>
      <c r="C43" s="807"/>
      <c r="D43" s="808"/>
      <c r="E43" s="802"/>
      <c r="F43" s="363" t="s">
        <v>31</v>
      </c>
      <c r="G43" s="198">
        <v>8.3299999999999999E-2</v>
      </c>
      <c r="H43" s="198">
        <v>8.3299999999999999E-2</v>
      </c>
      <c r="I43" s="198">
        <v>8.3299999999999999E-2</v>
      </c>
      <c r="J43" s="359">
        <v>8.3299999999999999E-2</v>
      </c>
      <c r="K43" s="359">
        <v>8.3299999999999999E-2</v>
      </c>
      <c r="L43" s="359">
        <v>8.3299999999999999E-2</v>
      </c>
      <c r="M43" s="198"/>
      <c r="N43" s="198"/>
      <c r="O43" s="198"/>
      <c r="P43" s="198"/>
      <c r="Q43" s="198"/>
      <c r="R43" s="198"/>
      <c r="S43" s="360">
        <f t="shared" si="1"/>
        <v>0.49979999999999997</v>
      </c>
      <c r="T43" s="809"/>
      <c r="U43" s="810"/>
      <c r="V43" s="834"/>
    </row>
    <row r="44" spans="1:23" s="354" customFormat="1" ht="63" customHeight="1" x14ac:dyDescent="0.25">
      <c r="A44" s="831"/>
      <c r="B44" s="805"/>
      <c r="C44" s="807" t="s">
        <v>436</v>
      </c>
      <c r="D44" s="808" t="s">
        <v>196</v>
      </c>
      <c r="E44" s="802"/>
      <c r="F44" s="365" t="s">
        <v>416</v>
      </c>
      <c r="G44" s="198"/>
      <c r="H44" s="198"/>
      <c r="I44" s="198"/>
      <c r="J44" s="198"/>
      <c r="K44" s="198"/>
      <c r="L44" s="198"/>
      <c r="M44" s="198"/>
      <c r="N44" s="198">
        <v>0.2</v>
      </c>
      <c r="O44" s="198">
        <v>0.2</v>
      </c>
      <c r="P44" s="198">
        <v>0.2</v>
      </c>
      <c r="Q44" s="198">
        <v>0.2</v>
      </c>
      <c r="R44" s="198">
        <v>0.2</v>
      </c>
      <c r="S44" s="360">
        <f t="shared" si="1"/>
        <v>1</v>
      </c>
      <c r="T44" s="809"/>
      <c r="U44" s="810">
        <v>0.01</v>
      </c>
      <c r="V44" s="857" t="s">
        <v>501</v>
      </c>
    </row>
    <row r="45" spans="1:23" s="354" customFormat="1" ht="23.25" thickBot="1" x14ac:dyDescent="0.3">
      <c r="A45" s="831"/>
      <c r="B45" s="805"/>
      <c r="C45" s="807"/>
      <c r="D45" s="808"/>
      <c r="E45" s="802"/>
      <c r="F45" s="363" t="s">
        <v>31</v>
      </c>
      <c r="G45" s="198"/>
      <c r="H45" s="198"/>
      <c r="I45" s="198"/>
      <c r="J45" s="198"/>
      <c r="K45" s="198"/>
      <c r="L45" s="198"/>
      <c r="M45" s="198"/>
      <c r="N45" s="198"/>
      <c r="O45" s="198"/>
      <c r="P45" s="198"/>
      <c r="Q45" s="198"/>
      <c r="R45" s="198"/>
      <c r="S45" s="360">
        <f t="shared" si="1"/>
        <v>0</v>
      </c>
      <c r="T45" s="809"/>
      <c r="U45" s="810"/>
      <c r="V45" s="857"/>
    </row>
    <row r="46" spans="1:23" s="354" customFormat="1" ht="84" customHeight="1" x14ac:dyDescent="0.25">
      <c r="A46" s="831"/>
      <c r="B46" s="855" t="s">
        <v>208</v>
      </c>
      <c r="C46" s="856" t="s">
        <v>437</v>
      </c>
      <c r="D46" s="808" t="s">
        <v>196</v>
      </c>
      <c r="E46" s="802"/>
      <c r="F46" s="365" t="s">
        <v>416</v>
      </c>
      <c r="G46" s="198">
        <v>8.3299999999999999E-2</v>
      </c>
      <c r="H46" s="198">
        <v>8.3299999999999999E-2</v>
      </c>
      <c r="I46" s="198">
        <v>8.3299999999999999E-2</v>
      </c>
      <c r="J46" s="198">
        <v>8.3299999999999999E-2</v>
      </c>
      <c r="K46" s="198">
        <v>8.3299999999999999E-2</v>
      </c>
      <c r="L46" s="198">
        <v>8.3299999999999999E-2</v>
      </c>
      <c r="M46" s="198">
        <v>8.3299999999999999E-2</v>
      </c>
      <c r="N46" s="198">
        <v>8.3299999999999999E-2</v>
      </c>
      <c r="O46" s="198">
        <v>8.3299999999999999E-2</v>
      </c>
      <c r="P46" s="198">
        <v>8.3299999999999999E-2</v>
      </c>
      <c r="Q46" s="198">
        <v>8.3299999999999999E-2</v>
      </c>
      <c r="R46" s="198">
        <v>8.3699999999999997E-2</v>
      </c>
      <c r="S46" s="360">
        <f t="shared" ref="S46:S70" si="2">SUM(G46:R46)</f>
        <v>1</v>
      </c>
      <c r="T46" s="809">
        <v>0.01</v>
      </c>
      <c r="U46" s="810">
        <v>0.01</v>
      </c>
      <c r="V46" s="834" t="s">
        <v>571</v>
      </c>
    </row>
    <row r="47" spans="1:23" s="354" customFormat="1" ht="23.25" thickBot="1" x14ac:dyDescent="0.3">
      <c r="A47" s="831"/>
      <c r="B47" s="855"/>
      <c r="C47" s="856"/>
      <c r="D47" s="808"/>
      <c r="E47" s="802"/>
      <c r="F47" s="363" t="s">
        <v>31</v>
      </c>
      <c r="G47" s="198">
        <v>8.3299999999999999E-2</v>
      </c>
      <c r="H47" s="198">
        <v>8.3299999999999999E-2</v>
      </c>
      <c r="I47" s="198">
        <v>8.3299999999999999E-2</v>
      </c>
      <c r="J47" s="359">
        <v>8.3299999999999999E-2</v>
      </c>
      <c r="K47" s="359">
        <v>8.3299999999999999E-2</v>
      </c>
      <c r="L47" s="359">
        <v>8.3299999999999999E-2</v>
      </c>
      <c r="M47" s="198"/>
      <c r="N47" s="198"/>
      <c r="O47" s="198"/>
      <c r="P47" s="198"/>
      <c r="Q47" s="198"/>
      <c r="R47" s="198"/>
      <c r="S47" s="360">
        <f t="shared" si="2"/>
        <v>0.49979999999999997</v>
      </c>
      <c r="T47" s="809"/>
      <c r="U47" s="810"/>
      <c r="V47" s="834"/>
    </row>
    <row r="48" spans="1:23" s="1" customFormat="1" ht="58.5" customHeight="1" x14ac:dyDescent="0.25">
      <c r="A48" s="831"/>
      <c r="B48" s="837" t="s">
        <v>209</v>
      </c>
      <c r="C48" s="807" t="s">
        <v>438</v>
      </c>
      <c r="D48" s="808" t="s">
        <v>196</v>
      </c>
      <c r="E48" s="802"/>
      <c r="F48" s="365" t="s">
        <v>416</v>
      </c>
      <c r="G48" s="198"/>
      <c r="H48" s="198"/>
      <c r="I48" s="198"/>
      <c r="J48" s="198"/>
      <c r="K48" s="198"/>
      <c r="L48" s="198"/>
      <c r="M48" s="198">
        <v>0.16</v>
      </c>
      <c r="N48" s="198">
        <v>0.17</v>
      </c>
      <c r="O48" s="198">
        <v>0.17</v>
      </c>
      <c r="P48" s="198">
        <v>0.17</v>
      </c>
      <c r="Q48" s="198">
        <v>0.17</v>
      </c>
      <c r="R48" s="198">
        <v>0.16</v>
      </c>
      <c r="S48" s="360">
        <f t="shared" ref="S48:S59" si="3">SUM(G48:R48)</f>
        <v>1</v>
      </c>
      <c r="T48" s="838">
        <v>0.01</v>
      </c>
      <c r="U48" s="839">
        <v>0.01</v>
      </c>
      <c r="V48" s="840"/>
      <c r="W48"/>
    </row>
    <row r="49" spans="1:23" s="1" customFormat="1" ht="23.25" thickBot="1" x14ac:dyDescent="0.3">
      <c r="A49" s="831"/>
      <c r="B49" s="837"/>
      <c r="C49" s="807"/>
      <c r="D49" s="808"/>
      <c r="E49" s="802"/>
      <c r="F49" s="363" t="s">
        <v>31</v>
      </c>
      <c r="G49" s="198"/>
      <c r="H49" s="198"/>
      <c r="I49" s="198"/>
      <c r="J49" s="198"/>
      <c r="K49" s="198"/>
      <c r="L49" s="198"/>
      <c r="M49" s="198"/>
      <c r="N49" s="198"/>
      <c r="O49" s="198"/>
      <c r="P49" s="198"/>
      <c r="Q49" s="198"/>
      <c r="R49" s="198"/>
      <c r="S49" s="360">
        <f t="shared" si="3"/>
        <v>0</v>
      </c>
      <c r="T49" s="838"/>
      <c r="U49" s="839"/>
      <c r="V49" s="841"/>
      <c r="W49"/>
    </row>
    <row r="50" spans="1:23" s="1" customFormat="1" ht="87.75" customHeight="1" x14ac:dyDescent="0.25">
      <c r="A50" s="831"/>
      <c r="B50" s="805" t="s">
        <v>220</v>
      </c>
      <c r="C50" s="807" t="s">
        <v>439</v>
      </c>
      <c r="D50" s="808" t="s">
        <v>196</v>
      </c>
      <c r="E50" s="802"/>
      <c r="F50" s="365" t="s">
        <v>416</v>
      </c>
      <c r="G50" s="198">
        <v>0.09</v>
      </c>
      <c r="H50" s="198">
        <v>0.09</v>
      </c>
      <c r="I50" s="198">
        <v>0.09</v>
      </c>
      <c r="J50" s="198">
        <v>8.5000000000000006E-2</v>
      </c>
      <c r="K50" s="198">
        <v>0.05</v>
      </c>
      <c r="L50" s="198">
        <v>8.5000000000000006E-2</v>
      </c>
      <c r="M50" s="198">
        <v>8.5000000000000006E-2</v>
      </c>
      <c r="N50" s="198">
        <v>8.5000000000000006E-2</v>
      </c>
      <c r="O50" s="198">
        <v>8.5000000000000006E-2</v>
      </c>
      <c r="P50" s="198">
        <v>8.5000000000000006E-2</v>
      </c>
      <c r="Q50" s="198">
        <v>8.5000000000000006E-2</v>
      </c>
      <c r="R50" s="198">
        <v>8.5000000000000006E-2</v>
      </c>
      <c r="S50" s="360">
        <f t="shared" si="3"/>
        <v>0.99999999999999989</v>
      </c>
      <c r="T50" s="813">
        <v>0.09</v>
      </c>
      <c r="U50" s="803">
        <v>0.09</v>
      </c>
      <c r="V50" s="835" t="s">
        <v>572</v>
      </c>
      <c r="W50"/>
    </row>
    <row r="51" spans="1:23" s="1" customFormat="1" ht="23.25" thickBot="1" x14ac:dyDescent="0.3">
      <c r="A51" s="831"/>
      <c r="B51" s="805"/>
      <c r="C51" s="807"/>
      <c r="D51" s="808"/>
      <c r="E51" s="802"/>
      <c r="F51" s="363" t="s">
        <v>31</v>
      </c>
      <c r="G51" s="198">
        <v>0.09</v>
      </c>
      <c r="H51" s="198">
        <v>0.09</v>
      </c>
      <c r="I51" s="198">
        <v>0.09</v>
      </c>
      <c r="J51" s="359">
        <v>8.5000000000000006E-2</v>
      </c>
      <c r="K51" s="359">
        <v>0.05</v>
      </c>
      <c r="L51" s="359">
        <v>0</v>
      </c>
      <c r="M51" s="199"/>
      <c r="N51" s="199"/>
      <c r="O51" s="199"/>
      <c r="P51" s="198"/>
      <c r="Q51" s="198"/>
      <c r="R51" s="198"/>
      <c r="S51" s="360">
        <f t="shared" si="3"/>
        <v>0.40500000000000003</v>
      </c>
      <c r="T51" s="813"/>
      <c r="U51" s="803"/>
      <c r="V51" s="835"/>
      <c r="W51"/>
    </row>
    <row r="52" spans="1:23" s="1" customFormat="1" ht="45" customHeight="1" x14ac:dyDescent="0.25">
      <c r="A52" s="831"/>
      <c r="B52" s="805" t="s">
        <v>210</v>
      </c>
      <c r="C52" s="807" t="s">
        <v>440</v>
      </c>
      <c r="D52" s="808" t="s">
        <v>196</v>
      </c>
      <c r="E52" s="802"/>
      <c r="F52" s="365" t="s">
        <v>416</v>
      </c>
      <c r="G52" s="198">
        <v>0.05</v>
      </c>
      <c r="H52" s="198">
        <v>0.08</v>
      </c>
      <c r="I52" s="198">
        <v>8.6999999999999994E-2</v>
      </c>
      <c r="J52" s="198">
        <v>8.6999999999999994E-2</v>
      </c>
      <c r="K52" s="198">
        <v>8.6999999999999994E-2</v>
      </c>
      <c r="L52" s="198">
        <v>8.6999999999999994E-2</v>
      </c>
      <c r="M52" s="198">
        <v>8.6999999999999994E-2</v>
      </c>
      <c r="N52" s="198">
        <v>8.6999999999999994E-2</v>
      </c>
      <c r="O52" s="198">
        <v>8.6999999999999994E-2</v>
      </c>
      <c r="P52" s="198">
        <v>8.6999999999999994E-2</v>
      </c>
      <c r="Q52" s="198">
        <v>8.6999999999999994E-2</v>
      </c>
      <c r="R52" s="198">
        <v>8.6999999999999994E-2</v>
      </c>
      <c r="S52" s="360">
        <f t="shared" si="3"/>
        <v>0.99999999999999978</v>
      </c>
      <c r="T52" s="813">
        <v>0.02</v>
      </c>
      <c r="U52" s="803">
        <v>0.02</v>
      </c>
      <c r="V52" s="835" t="s">
        <v>573</v>
      </c>
      <c r="W52"/>
    </row>
    <row r="53" spans="1:23" s="1" customFormat="1" ht="23.25" thickBot="1" x14ac:dyDescent="0.3">
      <c r="A53" s="831"/>
      <c r="B53" s="805"/>
      <c r="C53" s="807"/>
      <c r="D53" s="808"/>
      <c r="E53" s="802"/>
      <c r="F53" s="363" t="s">
        <v>31</v>
      </c>
      <c r="G53" s="198">
        <v>0.05</v>
      </c>
      <c r="H53" s="198">
        <v>0.08</v>
      </c>
      <c r="I53" s="198">
        <v>8.6999999999999994E-2</v>
      </c>
      <c r="J53" s="359">
        <v>8.6999999999999994E-2</v>
      </c>
      <c r="K53" s="359">
        <v>8.6999999999999994E-2</v>
      </c>
      <c r="L53" s="359">
        <v>8.6999999999999994E-2</v>
      </c>
      <c r="M53" s="198"/>
      <c r="N53" s="198"/>
      <c r="O53" s="198"/>
      <c r="P53" s="198"/>
      <c r="Q53" s="198"/>
      <c r="R53" s="198"/>
      <c r="S53" s="360">
        <f t="shared" si="3"/>
        <v>0.47799999999999998</v>
      </c>
      <c r="T53" s="813"/>
      <c r="U53" s="803"/>
      <c r="V53" s="835"/>
      <c r="W53"/>
    </row>
    <row r="54" spans="1:23" s="1" customFormat="1" ht="45" customHeight="1" x14ac:dyDescent="0.25">
      <c r="A54" s="831"/>
      <c r="B54" s="805" t="s">
        <v>211</v>
      </c>
      <c r="C54" s="807" t="s">
        <v>441</v>
      </c>
      <c r="D54" s="808" t="s">
        <v>196</v>
      </c>
      <c r="E54" s="802"/>
      <c r="F54" s="365" t="s">
        <v>416</v>
      </c>
      <c r="G54" s="198">
        <v>8.3299999999999999E-2</v>
      </c>
      <c r="H54" s="198">
        <v>8.3299999999999999E-2</v>
      </c>
      <c r="I54" s="198">
        <v>8.3299999999999999E-2</v>
      </c>
      <c r="J54" s="198">
        <v>8.3299999999999999E-2</v>
      </c>
      <c r="K54" s="198">
        <v>8.3299999999999999E-2</v>
      </c>
      <c r="L54" s="198">
        <v>8.3299999999999999E-2</v>
      </c>
      <c r="M54" s="198">
        <v>8.3299999999999999E-2</v>
      </c>
      <c r="N54" s="198">
        <v>8.3299999999999999E-2</v>
      </c>
      <c r="O54" s="198">
        <v>8.3299999999999999E-2</v>
      </c>
      <c r="P54" s="198">
        <v>8.3699999999999997E-2</v>
      </c>
      <c r="Q54" s="198">
        <v>8.3299999999999999E-2</v>
      </c>
      <c r="R54" s="198">
        <v>8.3299999999999999E-2</v>
      </c>
      <c r="S54" s="360">
        <f t="shared" si="3"/>
        <v>1</v>
      </c>
      <c r="T54" s="813">
        <v>0.02</v>
      </c>
      <c r="U54" s="803">
        <v>0.02</v>
      </c>
      <c r="V54" s="835" t="s">
        <v>574</v>
      </c>
      <c r="W54"/>
    </row>
    <row r="55" spans="1:23" s="1" customFormat="1" ht="23.25" thickBot="1" x14ac:dyDescent="0.3">
      <c r="A55" s="831"/>
      <c r="B55" s="805"/>
      <c r="C55" s="807"/>
      <c r="D55" s="808"/>
      <c r="E55" s="802"/>
      <c r="F55" s="363" t="s">
        <v>31</v>
      </c>
      <c r="G55" s="198">
        <v>8.3299999999999999E-2</v>
      </c>
      <c r="H55" s="198">
        <v>8.3299999999999999E-2</v>
      </c>
      <c r="I55" s="198">
        <v>8.3299999999999999E-2</v>
      </c>
      <c r="J55" s="359">
        <v>8.3299999999999999E-2</v>
      </c>
      <c r="K55" s="359">
        <v>8.3299999999999999E-2</v>
      </c>
      <c r="L55" s="359">
        <v>8.3299999999999999E-2</v>
      </c>
      <c r="M55" s="198"/>
      <c r="N55" s="198"/>
      <c r="O55" s="198"/>
      <c r="P55" s="198"/>
      <c r="Q55" s="198"/>
      <c r="R55" s="198"/>
      <c r="S55" s="360">
        <f t="shared" si="3"/>
        <v>0.49979999999999997</v>
      </c>
      <c r="T55" s="813"/>
      <c r="U55" s="803"/>
      <c r="V55" s="835"/>
      <c r="W55"/>
    </row>
    <row r="56" spans="1:23" s="354" customFormat="1" ht="103.5" customHeight="1" x14ac:dyDescent="0.25">
      <c r="A56" s="831" t="s">
        <v>212</v>
      </c>
      <c r="B56" s="805" t="s">
        <v>213</v>
      </c>
      <c r="C56" s="807" t="s">
        <v>442</v>
      </c>
      <c r="D56" s="808" t="s">
        <v>196</v>
      </c>
      <c r="E56" s="802"/>
      <c r="F56" s="365" t="s">
        <v>416</v>
      </c>
      <c r="G56" s="198">
        <v>8.3299999999999999E-2</v>
      </c>
      <c r="H56" s="198">
        <v>8.3299999999999999E-2</v>
      </c>
      <c r="I56" s="198">
        <v>8.3299999999999999E-2</v>
      </c>
      <c r="J56" s="198">
        <v>8.3299999999999999E-2</v>
      </c>
      <c r="K56" s="198">
        <v>8.3299999999999999E-2</v>
      </c>
      <c r="L56" s="198">
        <v>8.3299999999999999E-2</v>
      </c>
      <c r="M56" s="198">
        <v>8.3299999999999999E-2</v>
      </c>
      <c r="N56" s="198">
        <v>8.3299999999999999E-2</v>
      </c>
      <c r="O56" s="198">
        <v>8.3299999999999999E-2</v>
      </c>
      <c r="P56" s="198">
        <v>8.3299999999999999E-2</v>
      </c>
      <c r="Q56" s="198">
        <v>8.3299999999999999E-2</v>
      </c>
      <c r="R56" s="198">
        <v>8.3699999999999997E-2</v>
      </c>
      <c r="S56" s="360">
        <f t="shared" si="3"/>
        <v>1</v>
      </c>
      <c r="T56" s="809">
        <v>0.06</v>
      </c>
      <c r="U56" s="810">
        <v>0.03</v>
      </c>
      <c r="V56" s="834" t="s">
        <v>575</v>
      </c>
    </row>
    <row r="57" spans="1:23" s="354" customFormat="1" ht="23.25" thickBot="1" x14ac:dyDescent="0.3">
      <c r="A57" s="831"/>
      <c r="B57" s="805"/>
      <c r="C57" s="807"/>
      <c r="D57" s="808"/>
      <c r="E57" s="802"/>
      <c r="F57" s="363" t="s">
        <v>31</v>
      </c>
      <c r="G57" s="198">
        <v>8.3299999999999999E-2</v>
      </c>
      <c r="H57" s="198">
        <v>8.3299999999999999E-2</v>
      </c>
      <c r="I57" s="198">
        <v>8.3299999999999999E-2</v>
      </c>
      <c r="J57" s="359">
        <v>8.3299999999999999E-2</v>
      </c>
      <c r="K57" s="359">
        <v>8.3299999999999999E-2</v>
      </c>
      <c r="L57" s="359">
        <v>8.3299999999999999E-2</v>
      </c>
      <c r="M57" s="198"/>
      <c r="N57" s="198"/>
      <c r="O57" s="198"/>
      <c r="P57" s="198"/>
      <c r="Q57" s="198"/>
      <c r="R57" s="198"/>
      <c r="S57" s="360">
        <f t="shared" si="3"/>
        <v>0.49979999999999997</v>
      </c>
      <c r="T57" s="809"/>
      <c r="U57" s="810"/>
      <c r="V57" s="834"/>
    </row>
    <row r="58" spans="1:23" s="354" customFormat="1" ht="81.75" customHeight="1" x14ac:dyDescent="0.25">
      <c r="A58" s="831"/>
      <c r="B58" s="805"/>
      <c r="C58" s="836" t="s">
        <v>443</v>
      </c>
      <c r="D58" s="808" t="s">
        <v>196</v>
      </c>
      <c r="E58" s="802"/>
      <c r="F58" s="365" t="s">
        <v>416</v>
      </c>
      <c r="G58" s="198">
        <v>8.3299999999999999E-2</v>
      </c>
      <c r="H58" s="198">
        <v>8.3299999999999999E-2</v>
      </c>
      <c r="I58" s="198">
        <v>8.3299999999999999E-2</v>
      </c>
      <c r="J58" s="198">
        <v>8.3299999999999999E-2</v>
      </c>
      <c r="K58" s="198">
        <v>8.3299999999999999E-2</v>
      </c>
      <c r="L58" s="198">
        <v>8.3299999999999999E-2</v>
      </c>
      <c r="M58" s="198">
        <v>8.3299999999999999E-2</v>
      </c>
      <c r="N58" s="198">
        <v>8.3299999999999999E-2</v>
      </c>
      <c r="O58" s="198">
        <v>8.3299999999999999E-2</v>
      </c>
      <c r="P58" s="198">
        <v>8.3299999999999999E-2</v>
      </c>
      <c r="Q58" s="198">
        <v>8.3299999999999999E-2</v>
      </c>
      <c r="R58" s="198">
        <v>8.3699999999999997E-2</v>
      </c>
      <c r="S58" s="360">
        <f t="shared" si="3"/>
        <v>1</v>
      </c>
      <c r="T58" s="809"/>
      <c r="U58" s="810">
        <v>0.03</v>
      </c>
      <c r="V58" s="834" t="s">
        <v>576</v>
      </c>
    </row>
    <row r="59" spans="1:23" s="354" customFormat="1" ht="23.25" thickBot="1" x14ac:dyDescent="0.3">
      <c r="A59" s="831"/>
      <c r="B59" s="805"/>
      <c r="C59" s="836"/>
      <c r="D59" s="808"/>
      <c r="E59" s="802"/>
      <c r="F59" s="363" t="s">
        <v>31</v>
      </c>
      <c r="G59" s="198">
        <v>8.3299999999999999E-2</v>
      </c>
      <c r="H59" s="198">
        <v>8.3299999999999999E-2</v>
      </c>
      <c r="I59" s="198">
        <v>8.3299999999999999E-2</v>
      </c>
      <c r="J59" s="359">
        <v>8.3299999999999999E-2</v>
      </c>
      <c r="K59" s="359">
        <v>8.3299999999999999E-2</v>
      </c>
      <c r="L59" s="359">
        <v>8.3299999999999999E-2</v>
      </c>
      <c r="M59" s="198"/>
      <c r="N59" s="198"/>
      <c r="O59" s="198"/>
      <c r="P59" s="198"/>
      <c r="Q59" s="198"/>
      <c r="R59" s="198"/>
      <c r="S59" s="360">
        <f t="shared" si="3"/>
        <v>0.49979999999999997</v>
      </c>
      <c r="T59" s="809"/>
      <c r="U59" s="810"/>
      <c r="V59" s="834"/>
    </row>
    <row r="60" spans="1:23" s="354" customFormat="1" ht="117" customHeight="1" x14ac:dyDescent="0.25">
      <c r="A60" s="831"/>
      <c r="B60" s="805" t="s">
        <v>214</v>
      </c>
      <c r="C60" s="807" t="s">
        <v>444</v>
      </c>
      <c r="D60" s="808" t="s">
        <v>196</v>
      </c>
      <c r="E60" s="802"/>
      <c r="F60" s="365" t="s">
        <v>416</v>
      </c>
      <c r="G60" s="198">
        <v>8.3299999999999999E-2</v>
      </c>
      <c r="H60" s="198">
        <v>8.3299999999999999E-2</v>
      </c>
      <c r="I60" s="198">
        <v>8.3299999999999999E-2</v>
      </c>
      <c r="J60" s="198">
        <v>8.3299999999999999E-2</v>
      </c>
      <c r="K60" s="198">
        <v>8.3299999999999999E-2</v>
      </c>
      <c r="L60" s="198">
        <v>8.3299999999999999E-2</v>
      </c>
      <c r="M60" s="198">
        <v>8.3299999999999999E-2</v>
      </c>
      <c r="N60" s="198">
        <v>8.3299999999999999E-2</v>
      </c>
      <c r="O60" s="198">
        <v>8.3299999999999999E-2</v>
      </c>
      <c r="P60" s="198">
        <v>8.3299999999999999E-2</v>
      </c>
      <c r="Q60" s="198">
        <v>8.3299999999999999E-2</v>
      </c>
      <c r="R60" s="198">
        <v>8.3699999999999997E-2</v>
      </c>
      <c r="S60" s="360">
        <f t="shared" si="2"/>
        <v>1</v>
      </c>
      <c r="T60" s="809">
        <v>0.03</v>
      </c>
      <c r="U60" s="810">
        <v>0.03</v>
      </c>
      <c r="V60" s="811" t="s">
        <v>577</v>
      </c>
    </row>
    <row r="61" spans="1:23" s="354" customFormat="1" ht="23.25" thickBot="1" x14ac:dyDescent="0.3">
      <c r="A61" s="831"/>
      <c r="B61" s="805"/>
      <c r="C61" s="807"/>
      <c r="D61" s="808"/>
      <c r="E61" s="802"/>
      <c r="F61" s="363" t="s">
        <v>31</v>
      </c>
      <c r="G61" s="198">
        <v>8.3299999999999999E-2</v>
      </c>
      <c r="H61" s="198">
        <v>8.3299999999999999E-2</v>
      </c>
      <c r="I61" s="198">
        <v>8.3299999999999999E-2</v>
      </c>
      <c r="J61" s="359">
        <v>8.3299999999999999E-2</v>
      </c>
      <c r="K61" s="359">
        <v>8.3299999999999999E-2</v>
      </c>
      <c r="L61" s="359">
        <v>8.3299999999999999E-2</v>
      </c>
      <c r="M61" s="198"/>
      <c r="N61" s="198"/>
      <c r="O61" s="198"/>
      <c r="P61" s="198"/>
      <c r="Q61" s="198"/>
      <c r="R61" s="198"/>
      <c r="S61" s="360">
        <f t="shared" si="2"/>
        <v>0.49979999999999997</v>
      </c>
      <c r="T61" s="809"/>
      <c r="U61" s="810"/>
      <c r="V61" s="812"/>
    </row>
    <row r="62" spans="1:23" s="354" customFormat="1" ht="105.75" customHeight="1" x14ac:dyDescent="0.25">
      <c r="A62" s="831"/>
      <c r="B62" s="805" t="s">
        <v>215</v>
      </c>
      <c r="C62" s="807" t="s">
        <v>445</v>
      </c>
      <c r="D62" s="808" t="s">
        <v>196</v>
      </c>
      <c r="E62" s="802"/>
      <c r="F62" s="365" t="s">
        <v>416</v>
      </c>
      <c r="G62" s="198">
        <v>8.4000000000000005E-2</v>
      </c>
      <c r="H62" s="198">
        <v>8.4000000000000005E-2</v>
      </c>
      <c r="I62" s="198">
        <v>8.4000000000000005E-2</v>
      </c>
      <c r="J62" s="198">
        <v>8.4000000000000005E-2</v>
      </c>
      <c r="K62" s="198">
        <v>8.4000000000000005E-2</v>
      </c>
      <c r="L62" s="198">
        <v>8.4000000000000005E-2</v>
      </c>
      <c r="M62" s="198">
        <v>8.4000000000000005E-2</v>
      </c>
      <c r="N62" s="198">
        <v>8.4000000000000005E-2</v>
      </c>
      <c r="O62" s="198">
        <v>8.4000000000000005E-2</v>
      </c>
      <c r="P62" s="198">
        <v>8.4000000000000005E-2</v>
      </c>
      <c r="Q62" s="198">
        <v>0.08</v>
      </c>
      <c r="R62" s="198">
        <v>0.08</v>
      </c>
      <c r="S62" s="360">
        <f t="shared" ref="S62:S68" si="4">SUM(G62:R62)</f>
        <v>0.99999999999999978</v>
      </c>
      <c r="T62" s="809">
        <v>0.03</v>
      </c>
      <c r="U62" s="810">
        <v>0.03</v>
      </c>
      <c r="V62" s="833" t="s">
        <v>541</v>
      </c>
    </row>
    <row r="63" spans="1:23" s="354" customFormat="1" ht="23.25" thickBot="1" x14ac:dyDescent="0.3">
      <c r="A63" s="831"/>
      <c r="B63" s="805"/>
      <c r="C63" s="807"/>
      <c r="D63" s="808"/>
      <c r="E63" s="802"/>
      <c r="F63" s="363" t="s">
        <v>31</v>
      </c>
      <c r="G63" s="198">
        <v>8.4000000000000005E-2</v>
      </c>
      <c r="H63" s="198">
        <v>8.4000000000000005E-2</v>
      </c>
      <c r="I63" s="198">
        <v>8.4000000000000005E-2</v>
      </c>
      <c r="J63" s="359">
        <v>8.4000000000000005E-2</v>
      </c>
      <c r="K63" s="359">
        <v>8.4000000000000005E-2</v>
      </c>
      <c r="L63" s="359">
        <v>8.4000000000000005E-2</v>
      </c>
      <c r="M63" s="198"/>
      <c r="N63" s="198"/>
      <c r="O63" s="198"/>
      <c r="P63" s="198"/>
      <c r="Q63" s="198"/>
      <c r="R63" s="198"/>
      <c r="S63" s="360">
        <f t="shared" si="4"/>
        <v>0.504</v>
      </c>
      <c r="T63" s="809"/>
      <c r="U63" s="810"/>
      <c r="V63" s="834"/>
    </row>
    <row r="64" spans="1:23" s="1" customFormat="1" ht="45" customHeight="1" x14ac:dyDescent="0.25">
      <c r="A64" s="831" t="s">
        <v>216</v>
      </c>
      <c r="B64" s="805" t="s">
        <v>217</v>
      </c>
      <c r="C64" s="807" t="s">
        <v>446</v>
      </c>
      <c r="D64" s="808" t="s">
        <v>196</v>
      </c>
      <c r="E64" s="802"/>
      <c r="F64" s="365" t="s">
        <v>416</v>
      </c>
      <c r="G64" s="198">
        <v>0.01</v>
      </c>
      <c r="H64" s="198">
        <v>0.09</v>
      </c>
      <c r="I64" s="198">
        <v>0.09</v>
      </c>
      <c r="J64" s="198">
        <v>0.09</v>
      </c>
      <c r="K64" s="198">
        <v>0.09</v>
      </c>
      <c r="L64" s="198">
        <v>0.09</v>
      </c>
      <c r="M64" s="198">
        <v>0.09</v>
      </c>
      <c r="N64" s="198">
        <v>0.09</v>
      </c>
      <c r="O64" s="198">
        <v>0.09</v>
      </c>
      <c r="P64" s="198">
        <v>0.09</v>
      </c>
      <c r="Q64" s="198">
        <v>0.09</v>
      </c>
      <c r="R64" s="198">
        <v>0.09</v>
      </c>
      <c r="S64" s="360">
        <f t="shared" si="4"/>
        <v>0.99999999999999978</v>
      </c>
      <c r="T64" s="813">
        <v>0.03</v>
      </c>
      <c r="U64" s="803">
        <v>1.4999999999999999E-2</v>
      </c>
      <c r="V64" s="804" t="s">
        <v>561</v>
      </c>
      <c r="W64"/>
    </row>
    <row r="65" spans="1:30" s="1" customFormat="1" ht="23.25" thickBot="1" x14ac:dyDescent="0.3">
      <c r="A65" s="831"/>
      <c r="B65" s="805"/>
      <c r="C65" s="807"/>
      <c r="D65" s="808"/>
      <c r="E65" s="802"/>
      <c r="F65" s="363" t="s">
        <v>31</v>
      </c>
      <c r="G65" s="198">
        <v>0.01</v>
      </c>
      <c r="H65" s="198">
        <v>0.09</v>
      </c>
      <c r="I65" s="198">
        <v>0.09</v>
      </c>
      <c r="J65" s="359">
        <v>0.09</v>
      </c>
      <c r="K65" s="359">
        <v>0.09</v>
      </c>
      <c r="L65" s="359">
        <v>0.09</v>
      </c>
      <c r="M65" s="198"/>
      <c r="N65" s="198"/>
      <c r="O65" s="198"/>
      <c r="P65" s="198"/>
      <c r="Q65" s="198"/>
      <c r="R65" s="198"/>
      <c r="S65" s="360">
        <f t="shared" si="4"/>
        <v>0.45999999999999996</v>
      </c>
      <c r="T65" s="813"/>
      <c r="U65" s="803"/>
      <c r="V65" s="804"/>
      <c r="W65"/>
    </row>
    <row r="66" spans="1:30" s="1" customFormat="1" ht="45" customHeight="1" x14ac:dyDescent="0.25">
      <c r="A66" s="831"/>
      <c r="B66" s="805"/>
      <c r="C66" s="807" t="s">
        <v>447</v>
      </c>
      <c r="D66" s="808" t="s">
        <v>196</v>
      </c>
      <c r="E66" s="802"/>
      <c r="F66" s="365" t="s">
        <v>416</v>
      </c>
      <c r="G66" s="198">
        <v>0.01</v>
      </c>
      <c r="H66" s="198">
        <v>0.09</v>
      </c>
      <c r="I66" s="198">
        <v>0.09</v>
      </c>
      <c r="J66" s="198">
        <v>0.09</v>
      </c>
      <c r="K66" s="198">
        <v>0.09</v>
      </c>
      <c r="L66" s="198">
        <v>0.09</v>
      </c>
      <c r="M66" s="198">
        <v>0.09</v>
      </c>
      <c r="N66" s="198">
        <v>0.09</v>
      </c>
      <c r="O66" s="198">
        <v>0.09</v>
      </c>
      <c r="P66" s="198">
        <v>0.09</v>
      </c>
      <c r="Q66" s="198">
        <v>0.09</v>
      </c>
      <c r="R66" s="198">
        <v>0.09</v>
      </c>
      <c r="S66" s="360">
        <f t="shared" si="4"/>
        <v>0.99999999999999978</v>
      </c>
      <c r="T66" s="813"/>
      <c r="U66" s="803">
        <v>1.4999999999999999E-2</v>
      </c>
      <c r="V66" s="804" t="s">
        <v>578</v>
      </c>
      <c r="W66"/>
    </row>
    <row r="67" spans="1:30" s="1" customFormat="1" ht="23.25" thickBot="1" x14ac:dyDescent="0.3">
      <c r="A67" s="831"/>
      <c r="B67" s="805"/>
      <c r="C67" s="807"/>
      <c r="D67" s="808"/>
      <c r="E67" s="802"/>
      <c r="F67" s="363" t="s">
        <v>31</v>
      </c>
      <c r="G67" s="198">
        <v>0.01</v>
      </c>
      <c r="H67" s="198">
        <v>0.09</v>
      </c>
      <c r="I67" s="198">
        <v>0.09</v>
      </c>
      <c r="J67" s="359">
        <v>0.09</v>
      </c>
      <c r="K67" s="359">
        <v>0.09</v>
      </c>
      <c r="L67" s="359">
        <v>0.09</v>
      </c>
      <c r="M67" s="199"/>
      <c r="N67" s="199"/>
      <c r="O67" s="199"/>
      <c r="P67" s="198"/>
      <c r="Q67" s="198"/>
      <c r="R67" s="198"/>
      <c r="S67" s="360">
        <f t="shared" si="4"/>
        <v>0.45999999999999996</v>
      </c>
      <c r="T67" s="813"/>
      <c r="U67" s="803"/>
      <c r="V67" s="804"/>
      <c r="W67"/>
    </row>
    <row r="68" spans="1:30" s="1" customFormat="1" ht="88.5" customHeight="1" x14ac:dyDescent="0.25">
      <c r="A68" s="831"/>
      <c r="B68" s="805" t="s">
        <v>218</v>
      </c>
      <c r="C68" s="807" t="s">
        <v>448</v>
      </c>
      <c r="D68" s="808" t="s">
        <v>196</v>
      </c>
      <c r="E68" s="802"/>
      <c r="F68" s="365" t="s">
        <v>416</v>
      </c>
      <c r="G68" s="198">
        <v>0.01</v>
      </c>
      <c r="H68" s="198">
        <v>0.09</v>
      </c>
      <c r="I68" s="198">
        <v>0.09</v>
      </c>
      <c r="J68" s="198">
        <v>0.09</v>
      </c>
      <c r="K68" s="198">
        <v>0.09</v>
      </c>
      <c r="L68" s="198">
        <v>0.09</v>
      </c>
      <c r="M68" s="198">
        <v>0.09</v>
      </c>
      <c r="N68" s="198">
        <v>0.09</v>
      </c>
      <c r="O68" s="198">
        <v>0.09</v>
      </c>
      <c r="P68" s="198">
        <v>0.09</v>
      </c>
      <c r="Q68" s="198">
        <v>0.09</v>
      </c>
      <c r="R68" s="198">
        <v>0.09</v>
      </c>
      <c r="S68" s="360">
        <f t="shared" si="4"/>
        <v>0.99999999999999978</v>
      </c>
      <c r="T68" s="813">
        <v>0.04</v>
      </c>
      <c r="U68" s="825">
        <v>0.04</v>
      </c>
      <c r="V68" s="828" t="s">
        <v>579</v>
      </c>
      <c r="W68"/>
    </row>
    <row r="69" spans="1:30" s="1" customFormat="1" ht="45" hidden="1" customHeight="1" x14ac:dyDescent="0.25">
      <c r="A69" s="831"/>
      <c r="B69" s="805"/>
      <c r="C69" s="807"/>
      <c r="D69" s="808"/>
      <c r="E69" s="802"/>
      <c r="F69" s="363" t="s">
        <v>31</v>
      </c>
      <c r="G69" s="198"/>
      <c r="H69" s="198"/>
      <c r="I69" s="198"/>
      <c r="J69" s="198"/>
      <c r="K69" s="198"/>
      <c r="L69" s="198"/>
      <c r="M69" s="199"/>
      <c r="N69" s="199"/>
      <c r="O69" s="199"/>
      <c r="P69" s="198"/>
      <c r="Q69" s="198"/>
      <c r="R69" s="198"/>
      <c r="S69" s="360">
        <f t="shared" si="2"/>
        <v>0</v>
      </c>
      <c r="T69" s="813"/>
      <c r="U69" s="826"/>
      <c r="V69" s="829"/>
      <c r="W69"/>
    </row>
    <row r="70" spans="1:30" s="1" customFormat="1" ht="22.5" customHeight="1" thickBot="1" x14ac:dyDescent="0.3">
      <c r="A70" s="832"/>
      <c r="B70" s="806"/>
      <c r="C70" s="355"/>
      <c r="D70" s="356"/>
      <c r="E70" s="357"/>
      <c r="F70" s="363" t="s">
        <v>31</v>
      </c>
      <c r="G70" s="362">
        <v>0.01</v>
      </c>
      <c r="H70" s="362">
        <v>0.09</v>
      </c>
      <c r="I70" s="362">
        <v>0.09</v>
      </c>
      <c r="J70" s="359">
        <v>0.09</v>
      </c>
      <c r="K70" s="359">
        <v>0.09</v>
      </c>
      <c r="L70" s="359">
        <v>0.09</v>
      </c>
      <c r="M70" s="200"/>
      <c r="N70" s="200"/>
      <c r="O70" s="200"/>
      <c r="P70" s="198"/>
      <c r="Q70" s="198"/>
      <c r="R70" s="198"/>
      <c r="S70" s="360">
        <f t="shared" si="2"/>
        <v>0.45999999999999996</v>
      </c>
      <c r="T70" s="814"/>
      <c r="U70" s="827"/>
      <c r="V70" s="830"/>
      <c r="W70"/>
    </row>
    <row r="71" spans="1:30" s="16" customFormat="1" ht="18.75" customHeight="1" x14ac:dyDescent="0.25">
      <c r="A71" s="815" t="s">
        <v>30</v>
      </c>
      <c r="B71" s="816"/>
      <c r="C71" s="816"/>
      <c r="D71" s="816"/>
      <c r="E71" s="816"/>
      <c r="F71" s="816"/>
      <c r="G71" s="816"/>
      <c r="H71" s="816"/>
      <c r="I71" s="816"/>
      <c r="J71" s="816"/>
      <c r="K71" s="816"/>
      <c r="L71" s="816"/>
      <c r="M71" s="816"/>
      <c r="N71" s="816"/>
      <c r="O71" s="816"/>
      <c r="P71" s="816"/>
      <c r="Q71" s="816"/>
      <c r="R71" s="816"/>
      <c r="S71" s="816"/>
      <c r="T71" s="464">
        <f>SUM(T8:T70)</f>
        <v>1.0000000000000002</v>
      </c>
      <c r="U71" s="465">
        <f>SUM(U8:U70)</f>
        <v>1.0000000000000002</v>
      </c>
      <c r="V71" s="466"/>
      <c r="W71"/>
      <c r="X71" s="15"/>
      <c r="Y71" s="15"/>
      <c r="Z71" s="15"/>
      <c r="AA71" s="15"/>
      <c r="AB71" s="15"/>
      <c r="AC71" s="15"/>
      <c r="AD71" s="15"/>
    </row>
    <row r="72" spans="1:30" customFormat="1" ht="30.75" customHeight="1" x14ac:dyDescent="0.25">
      <c r="A72" s="887" t="s">
        <v>32</v>
      </c>
      <c r="B72" s="887"/>
      <c r="C72" s="887"/>
      <c r="D72" s="887"/>
      <c r="E72" s="887"/>
      <c r="F72" s="887"/>
      <c r="G72" s="887"/>
      <c r="H72" s="887"/>
      <c r="I72" s="887"/>
      <c r="J72" s="887"/>
      <c r="K72" s="887"/>
      <c r="L72" s="887"/>
      <c r="M72" s="887"/>
      <c r="N72" s="887"/>
      <c r="O72" s="887"/>
      <c r="P72" s="887"/>
      <c r="Q72" s="887"/>
      <c r="R72" s="887"/>
      <c r="S72" s="887"/>
      <c r="T72" s="887"/>
      <c r="U72" s="887"/>
      <c r="V72" s="887"/>
    </row>
    <row r="73" spans="1:30" customFormat="1" ht="29.25" customHeight="1" x14ac:dyDescent="0.25">
      <c r="A73" s="887"/>
      <c r="B73" s="887"/>
      <c r="C73" s="887"/>
      <c r="D73" s="887"/>
      <c r="E73" s="887"/>
      <c r="F73" s="887"/>
      <c r="G73" s="887"/>
      <c r="H73" s="887"/>
      <c r="I73" s="887"/>
      <c r="J73" s="887"/>
      <c r="K73" s="887"/>
      <c r="L73" s="887"/>
      <c r="M73" s="887"/>
      <c r="N73" s="887"/>
      <c r="O73" s="887"/>
      <c r="P73" s="887"/>
      <c r="Q73" s="887"/>
      <c r="R73" s="887"/>
      <c r="S73" s="887"/>
      <c r="T73" s="887"/>
      <c r="U73" s="887"/>
      <c r="V73" s="887"/>
    </row>
    <row r="74" spans="1:30" customFormat="1" x14ac:dyDescent="0.25"/>
    <row r="75" spans="1:30" customFormat="1" x14ac:dyDescent="0.25"/>
    <row r="76" spans="1:30" customFormat="1" x14ac:dyDescent="0.25"/>
    <row r="77" spans="1:30" customFormat="1" x14ac:dyDescent="0.25"/>
    <row r="78" spans="1:30" customFormat="1" x14ac:dyDescent="0.25"/>
    <row r="79" spans="1:30" customFormat="1" x14ac:dyDescent="0.25"/>
    <row r="80" spans="1:3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spans="1:30" customFormat="1" x14ac:dyDescent="0.25"/>
    <row r="114" spans="1:30" customFormat="1" x14ac:dyDescent="0.25"/>
    <row r="115" spans="1:30" customFormat="1" x14ac:dyDescent="0.25"/>
    <row r="116" spans="1:30" customFormat="1" x14ac:dyDescent="0.25"/>
    <row r="117" spans="1:30" customFormat="1" x14ac:dyDescent="0.25"/>
    <row r="118" spans="1:30" customFormat="1" x14ac:dyDescent="0.25"/>
    <row r="119" spans="1:30" customFormat="1" x14ac:dyDescent="0.25"/>
    <row r="120" spans="1:30" customFormat="1" x14ac:dyDescent="0.25"/>
    <row r="121" spans="1:30" customFormat="1" x14ac:dyDescent="0.25"/>
    <row r="122" spans="1:30" customFormat="1" x14ac:dyDescent="0.25"/>
    <row r="123" spans="1:30" customFormat="1" x14ac:dyDescent="0.25"/>
    <row r="124" spans="1:30" customFormat="1" x14ac:dyDescent="0.25"/>
    <row r="125" spans="1:30" customFormat="1" x14ac:dyDescent="0.25"/>
    <row r="126" spans="1:30" x14ac:dyDescent="0.25">
      <c r="A126" s="14"/>
      <c r="B126" s="14"/>
      <c r="C126" s="22"/>
      <c r="D126" s="14"/>
      <c r="E126" s="14"/>
      <c r="F126" s="14"/>
      <c r="G126" s="14"/>
      <c r="H126" s="14"/>
      <c r="I126" s="14"/>
      <c r="J126" s="14"/>
      <c r="K126" s="14"/>
      <c r="L126" s="14"/>
      <c r="M126" s="14"/>
      <c r="N126" s="17"/>
      <c r="O126" s="17"/>
      <c r="P126" s="17"/>
      <c r="Q126" s="17"/>
      <c r="R126" s="17"/>
      <c r="S126" s="17"/>
      <c r="T126" s="17"/>
      <c r="U126" s="17"/>
      <c r="X126" s="9"/>
      <c r="Y126" s="9"/>
      <c r="Z126" s="9"/>
      <c r="AA126" s="9"/>
      <c r="AB126" s="9"/>
      <c r="AC126" s="9"/>
      <c r="AD126" s="9"/>
    </row>
    <row r="127" spans="1:30" x14ac:dyDescent="0.25">
      <c r="A127" s="14"/>
      <c r="B127" s="14"/>
      <c r="C127" s="22"/>
      <c r="D127" s="14"/>
      <c r="E127" s="14"/>
      <c r="F127" s="14"/>
      <c r="G127" s="14"/>
      <c r="H127" s="14"/>
      <c r="I127" s="14"/>
      <c r="J127" s="14"/>
      <c r="K127" s="14"/>
      <c r="L127" s="14"/>
      <c r="M127" s="14"/>
      <c r="N127" s="17"/>
      <c r="O127" s="17"/>
      <c r="P127" s="17"/>
      <c r="Q127" s="17"/>
      <c r="R127" s="17"/>
      <c r="S127" s="17"/>
      <c r="T127" s="17"/>
      <c r="U127" s="17"/>
      <c r="X127" s="9"/>
      <c r="Y127" s="9"/>
      <c r="Z127" s="9"/>
      <c r="AA127" s="9"/>
      <c r="AB127" s="9"/>
      <c r="AC127" s="9"/>
      <c r="AD127" s="9"/>
    </row>
    <row r="128" spans="1:30" x14ac:dyDescent="0.25">
      <c r="A128" s="14"/>
      <c r="B128" s="14"/>
      <c r="C128" s="22"/>
      <c r="D128" s="14"/>
      <c r="E128" s="14"/>
      <c r="F128" s="14"/>
      <c r="G128" s="14"/>
      <c r="H128" s="14"/>
      <c r="I128" s="14"/>
      <c r="J128" s="14"/>
      <c r="K128" s="14"/>
      <c r="L128" s="14"/>
      <c r="M128" s="14"/>
      <c r="N128" s="17"/>
      <c r="O128" s="17"/>
      <c r="P128" s="17"/>
      <c r="Q128" s="17"/>
      <c r="R128" s="17"/>
      <c r="S128" s="17"/>
      <c r="T128" s="17"/>
      <c r="U128" s="17"/>
      <c r="X128" s="9"/>
      <c r="Y128" s="9"/>
      <c r="Z128" s="9"/>
      <c r="AA128" s="9"/>
      <c r="AB128" s="9"/>
      <c r="AC128" s="9"/>
      <c r="AD128" s="9"/>
    </row>
    <row r="129" spans="1:30" x14ac:dyDescent="0.25">
      <c r="A129" s="14"/>
      <c r="B129" s="14"/>
      <c r="C129" s="22"/>
      <c r="D129" s="14"/>
      <c r="E129" s="14"/>
      <c r="F129" s="14"/>
      <c r="G129" s="14"/>
      <c r="H129" s="14"/>
      <c r="I129" s="14"/>
      <c r="J129" s="14"/>
      <c r="K129" s="14"/>
      <c r="L129" s="14"/>
      <c r="M129" s="14"/>
      <c r="N129" s="17"/>
      <c r="O129" s="17"/>
      <c r="P129" s="17"/>
      <c r="Q129" s="17"/>
      <c r="R129" s="17"/>
      <c r="S129" s="17"/>
      <c r="T129" s="17"/>
      <c r="U129" s="17"/>
      <c r="X129" s="9"/>
      <c r="Y129" s="9"/>
      <c r="Z129" s="9"/>
      <c r="AA129" s="9"/>
      <c r="AB129" s="9"/>
      <c r="AC129" s="9"/>
      <c r="AD129" s="9"/>
    </row>
    <row r="130" spans="1:30" x14ac:dyDescent="0.25">
      <c r="A130" s="14"/>
      <c r="B130" s="14"/>
      <c r="C130" s="22"/>
      <c r="D130" s="14"/>
      <c r="E130" s="14"/>
      <c r="F130" s="14"/>
      <c r="G130" s="14"/>
      <c r="H130" s="14"/>
      <c r="I130" s="14"/>
      <c r="J130" s="14"/>
      <c r="K130" s="14"/>
      <c r="L130" s="14"/>
      <c r="M130" s="14"/>
      <c r="N130" s="17"/>
      <c r="O130" s="17"/>
      <c r="P130" s="17"/>
      <c r="Q130" s="17"/>
      <c r="R130" s="17"/>
      <c r="S130" s="17"/>
      <c r="T130" s="17"/>
      <c r="U130" s="17"/>
      <c r="X130" s="9"/>
      <c r="Y130" s="9"/>
      <c r="Z130" s="9"/>
      <c r="AA130" s="9"/>
      <c r="AB130" s="9"/>
      <c r="AC130" s="9"/>
      <c r="AD130" s="9"/>
    </row>
    <row r="131" spans="1:30" x14ac:dyDescent="0.25">
      <c r="A131" s="14"/>
      <c r="B131" s="14"/>
      <c r="C131" s="22"/>
      <c r="D131" s="14"/>
      <c r="E131" s="14"/>
      <c r="F131" s="14"/>
      <c r="G131" s="14"/>
      <c r="H131" s="14"/>
      <c r="I131" s="14"/>
      <c r="J131" s="14"/>
      <c r="K131" s="14"/>
      <c r="L131" s="14"/>
      <c r="M131" s="14"/>
      <c r="N131" s="17"/>
      <c r="O131" s="17"/>
      <c r="P131" s="17"/>
      <c r="Q131" s="17"/>
      <c r="R131" s="17"/>
      <c r="S131" s="17"/>
      <c r="T131" s="17"/>
      <c r="U131" s="17"/>
      <c r="X131" s="9"/>
      <c r="Y131" s="9"/>
      <c r="Z131" s="9"/>
      <c r="AA131" s="9"/>
      <c r="AB131" s="9"/>
      <c r="AC131" s="9"/>
      <c r="AD131" s="9"/>
    </row>
    <row r="132" spans="1:30" x14ac:dyDescent="0.25">
      <c r="A132" s="14"/>
      <c r="B132" s="14"/>
      <c r="C132" s="22"/>
      <c r="D132" s="14"/>
      <c r="E132" s="14"/>
      <c r="F132" s="14"/>
      <c r="G132" s="14"/>
      <c r="H132" s="14"/>
      <c r="I132" s="14"/>
      <c r="J132" s="14"/>
      <c r="K132" s="14"/>
      <c r="L132" s="14"/>
      <c r="M132" s="14"/>
      <c r="N132" s="17"/>
      <c r="O132" s="17"/>
      <c r="P132" s="17"/>
      <c r="Q132" s="17"/>
      <c r="R132" s="17"/>
      <c r="S132" s="17"/>
      <c r="T132" s="17"/>
      <c r="U132" s="17"/>
      <c r="X132" s="9"/>
      <c r="Y132" s="9"/>
      <c r="Z132" s="9"/>
      <c r="AA132" s="9"/>
      <c r="AB132" s="9"/>
      <c r="AC132" s="9"/>
      <c r="AD132" s="9"/>
    </row>
    <row r="133" spans="1:30" x14ac:dyDescent="0.25">
      <c r="A133" s="14"/>
      <c r="B133" s="14"/>
      <c r="C133" s="22"/>
      <c r="D133" s="14"/>
      <c r="E133" s="14"/>
      <c r="F133" s="14"/>
      <c r="G133" s="14"/>
      <c r="H133" s="14"/>
      <c r="I133" s="14"/>
      <c r="J133" s="14"/>
      <c r="K133" s="14"/>
      <c r="L133" s="14"/>
      <c r="M133" s="14"/>
      <c r="N133" s="17"/>
      <c r="O133" s="17"/>
      <c r="P133" s="17"/>
      <c r="Q133" s="17"/>
      <c r="R133" s="17"/>
      <c r="S133" s="17"/>
      <c r="T133" s="17"/>
      <c r="U133" s="17"/>
      <c r="X133" s="9"/>
      <c r="Y133" s="9"/>
      <c r="Z133" s="9"/>
      <c r="AA133" s="9"/>
      <c r="AB133" s="9"/>
      <c r="AC133" s="9"/>
      <c r="AD133" s="9"/>
    </row>
    <row r="134" spans="1:30" x14ac:dyDescent="0.25">
      <c r="A134" s="14"/>
      <c r="B134" s="14"/>
      <c r="C134" s="22"/>
      <c r="D134" s="14"/>
      <c r="E134" s="14"/>
      <c r="F134" s="14"/>
      <c r="G134" s="14"/>
      <c r="H134" s="14"/>
      <c r="I134" s="14"/>
      <c r="J134" s="14"/>
      <c r="K134" s="14"/>
      <c r="L134" s="14"/>
      <c r="M134" s="14"/>
      <c r="N134" s="17"/>
      <c r="O134" s="17"/>
      <c r="P134" s="17"/>
      <c r="Q134" s="17"/>
      <c r="R134" s="17"/>
      <c r="S134" s="17"/>
      <c r="T134" s="17"/>
      <c r="U134" s="17"/>
      <c r="X134" s="9"/>
      <c r="Y134" s="9"/>
      <c r="Z134" s="9"/>
      <c r="AA134" s="9"/>
      <c r="AB134" s="9"/>
      <c r="AC134" s="9"/>
      <c r="AD134" s="9"/>
    </row>
    <row r="135" spans="1:30" x14ac:dyDescent="0.25">
      <c r="A135" s="14"/>
      <c r="B135" s="14"/>
      <c r="C135" s="22"/>
      <c r="D135" s="14"/>
      <c r="E135" s="14"/>
      <c r="F135" s="14"/>
      <c r="G135" s="14"/>
      <c r="H135" s="14"/>
      <c r="I135" s="14"/>
      <c r="J135" s="14"/>
      <c r="K135" s="14"/>
      <c r="L135" s="14"/>
      <c r="M135" s="14"/>
      <c r="N135" s="17"/>
      <c r="O135" s="17"/>
      <c r="P135" s="17"/>
      <c r="Q135" s="17"/>
      <c r="R135" s="17"/>
      <c r="S135" s="17"/>
      <c r="T135" s="17"/>
      <c r="U135" s="17"/>
      <c r="X135" s="9"/>
      <c r="Y135" s="9"/>
      <c r="Z135" s="9"/>
      <c r="AA135" s="9"/>
      <c r="AB135" s="9"/>
      <c r="AC135" s="9"/>
      <c r="AD135" s="9"/>
    </row>
    <row r="136" spans="1:30" x14ac:dyDescent="0.25">
      <c r="A136" s="14"/>
      <c r="B136" s="14"/>
      <c r="C136" s="22"/>
      <c r="D136" s="14"/>
      <c r="E136" s="14"/>
      <c r="F136" s="14"/>
      <c r="G136" s="14"/>
      <c r="H136" s="14"/>
      <c r="I136" s="14"/>
      <c r="J136" s="14"/>
      <c r="K136" s="14"/>
      <c r="L136" s="14"/>
      <c r="M136" s="14"/>
      <c r="N136" s="17"/>
      <c r="O136" s="17"/>
      <c r="P136" s="17"/>
      <c r="Q136" s="17"/>
      <c r="R136" s="17"/>
      <c r="S136" s="17"/>
      <c r="T136" s="17"/>
      <c r="U136" s="17"/>
      <c r="X136" s="9"/>
      <c r="Y136" s="9"/>
      <c r="Z136" s="9"/>
      <c r="AA136" s="9"/>
      <c r="AB136" s="9"/>
      <c r="AC136" s="9"/>
      <c r="AD136" s="9"/>
    </row>
    <row r="137" spans="1:30" x14ac:dyDescent="0.25">
      <c r="A137" s="14"/>
      <c r="B137" s="14"/>
      <c r="C137" s="22"/>
      <c r="D137" s="14"/>
      <c r="E137" s="14"/>
      <c r="F137" s="14"/>
      <c r="G137" s="14"/>
      <c r="H137" s="14"/>
      <c r="I137" s="14"/>
      <c r="J137" s="14"/>
      <c r="K137" s="14"/>
      <c r="L137" s="14"/>
      <c r="M137" s="14"/>
      <c r="N137" s="17"/>
      <c r="O137" s="17"/>
      <c r="P137" s="17"/>
      <c r="Q137" s="17"/>
      <c r="R137" s="17"/>
      <c r="S137" s="17"/>
      <c r="T137" s="17"/>
      <c r="U137" s="17"/>
      <c r="X137" s="9"/>
      <c r="Y137" s="9"/>
      <c r="Z137" s="9"/>
      <c r="AA137" s="9"/>
      <c r="AB137" s="9"/>
      <c r="AC137" s="9"/>
      <c r="AD137" s="9"/>
    </row>
    <row r="138" spans="1:30" x14ac:dyDescent="0.25">
      <c r="A138" s="14"/>
      <c r="B138" s="14"/>
      <c r="C138" s="22"/>
      <c r="D138" s="14"/>
      <c r="E138" s="14"/>
      <c r="F138" s="14"/>
      <c r="G138" s="14"/>
      <c r="H138" s="14"/>
      <c r="I138" s="14"/>
      <c r="J138" s="14"/>
      <c r="K138" s="14"/>
      <c r="L138" s="14"/>
      <c r="M138" s="14"/>
      <c r="N138" s="17"/>
      <c r="O138" s="17"/>
      <c r="P138" s="17"/>
      <c r="Q138" s="17"/>
      <c r="R138" s="17"/>
      <c r="S138" s="17"/>
      <c r="T138" s="17"/>
      <c r="U138" s="17"/>
      <c r="X138" s="9"/>
      <c r="Y138" s="9"/>
      <c r="Z138" s="9"/>
      <c r="AA138" s="9"/>
      <c r="AB138" s="9"/>
      <c r="AC138" s="9"/>
      <c r="AD138" s="9"/>
    </row>
    <row r="139" spans="1:30" x14ac:dyDescent="0.25">
      <c r="A139" s="14"/>
      <c r="B139" s="14"/>
      <c r="C139" s="22"/>
      <c r="D139" s="14"/>
      <c r="E139" s="14"/>
      <c r="F139" s="14"/>
      <c r="G139" s="14"/>
      <c r="H139" s="14"/>
      <c r="I139" s="14"/>
      <c r="J139" s="14"/>
      <c r="K139" s="14"/>
      <c r="L139" s="14"/>
      <c r="M139" s="14"/>
      <c r="N139" s="17"/>
      <c r="O139" s="17"/>
      <c r="P139" s="17"/>
      <c r="Q139" s="17"/>
      <c r="R139" s="17"/>
      <c r="S139" s="17"/>
      <c r="T139" s="17"/>
      <c r="U139" s="17"/>
      <c r="X139" s="9"/>
      <c r="Y139" s="9"/>
      <c r="Z139" s="9"/>
      <c r="AA139" s="9"/>
      <c r="AB139" s="9"/>
      <c r="AC139" s="9"/>
      <c r="AD139" s="9"/>
    </row>
    <row r="140" spans="1:30" x14ac:dyDescent="0.25">
      <c r="A140" s="14"/>
      <c r="B140" s="14"/>
      <c r="C140" s="22"/>
      <c r="D140" s="14"/>
      <c r="E140" s="14"/>
      <c r="F140" s="14"/>
      <c r="G140" s="14"/>
      <c r="H140" s="14"/>
      <c r="I140" s="14"/>
      <c r="J140" s="14"/>
      <c r="K140" s="14"/>
      <c r="L140" s="14"/>
      <c r="M140" s="14"/>
      <c r="N140" s="17"/>
      <c r="O140" s="17"/>
      <c r="P140" s="17"/>
      <c r="Q140" s="17"/>
      <c r="R140" s="17"/>
      <c r="S140" s="17"/>
      <c r="T140" s="17"/>
      <c r="U140" s="17"/>
      <c r="V140" s="9"/>
      <c r="X140" s="9"/>
      <c r="Y140" s="9"/>
      <c r="Z140" s="9"/>
      <c r="AA140" s="9"/>
      <c r="AB140" s="9"/>
      <c r="AC140" s="9"/>
      <c r="AD140" s="9"/>
    </row>
    <row r="141" spans="1:30" x14ac:dyDescent="0.25">
      <c r="C141" s="22"/>
      <c r="D141" s="14"/>
      <c r="E141" s="14"/>
      <c r="F141" s="14"/>
      <c r="G141" s="14"/>
      <c r="H141" s="14"/>
      <c r="I141" s="14"/>
      <c r="J141" s="14"/>
      <c r="K141" s="14"/>
      <c r="L141" s="14"/>
      <c r="M141" s="14"/>
      <c r="N141" s="17"/>
      <c r="V141" s="9"/>
      <c r="X141" s="9"/>
      <c r="Y141" s="9"/>
      <c r="Z141" s="9"/>
      <c r="AA141" s="9"/>
      <c r="AB141" s="9"/>
      <c r="AC141" s="9"/>
      <c r="AD141" s="9"/>
    </row>
    <row r="142" spans="1:30" x14ac:dyDescent="0.25">
      <c r="C142" s="22"/>
      <c r="D142" s="14"/>
      <c r="E142" s="14"/>
      <c r="F142" s="14"/>
      <c r="G142" s="14"/>
      <c r="H142" s="14"/>
      <c r="I142" s="14"/>
      <c r="J142" s="14"/>
      <c r="K142" s="14"/>
      <c r="L142" s="14"/>
      <c r="M142" s="14"/>
      <c r="N142" s="17"/>
      <c r="V142" s="9"/>
      <c r="X142" s="9"/>
      <c r="Y142" s="9"/>
      <c r="Z142" s="9"/>
      <c r="AA142" s="9"/>
      <c r="AB142" s="9"/>
      <c r="AC142" s="9"/>
      <c r="AD142" s="9"/>
    </row>
    <row r="143" spans="1:30" x14ac:dyDescent="0.25">
      <c r="C143" s="22"/>
      <c r="D143" s="14"/>
      <c r="E143" s="14"/>
      <c r="F143" s="14"/>
      <c r="G143" s="14"/>
      <c r="H143" s="14"/>
      <c r="I143" s="14"/>
      <c r="J143" s="14"/>
      <c r="K143" s="14"/>
      <c r="L143" s="14"/>
      <c r="M143" s="14"/>
      <c r="N143" s="17"/>
      <c r="V143" s="9"/>
      <c r="X143" s="9"/>
      <c r="Y143" s="9"/>
      <c r="Z143" s="9"/>
      <c r="AA143" s="9"/>
      <c r="AB143" s="9"/>
      <c r="AC143" s="9"/>
      <c r="AD143" s="9"/>
    </row>
    <row r="144" spans="1:30" x14ac:dyDescent="0.25">
      <c r="C144" s="22"/>
      <c r="D144" s="14"/>
      <c r="E144" s="14"/>
      <c r="F144" s="14"/>
      <c r="G144" s="14"/>
      <c r="H144" s="14"/>
      <c r="I144" s="14"/>
      <c r="J144" s="14"/>
      <c r="K144" s="14"/>
      <c r="L144" s="14"/>
      <c r="M144" s="14"/>
      <c r="N144" s="17"/>
      <c r="V144" s="9"/>
      <c r="X144" s="9"/>
      <c r="Y144" s="9"/>
      <c r="Z144" s="9"/>
      <c r="AA144" s="9"/>
      <c r="AB144" s="9"/>
      <c r="AC144" s="9"/>
      <c r="AD144" s="9"/>
    </row>
  </sheetData>
  <mergeCells count="208">
    <mergeCell ref="A72:V73"/>
    <mergeCell ref="B8:B9"/>
    <mergeCell ref="C8:C9"/>
    <mergeCell ref="D8:D9"/>
    <mergeCell ref="E8:E9"/>
    <mergeCell ref="V8:V9"/>
    <mergeCell ref="C10:C11"/>
    <mergeCell ref="D10:D11"/>
    <mergeCell ref="E10:E11"/>
    <mergeCell ref="U10:U11"/>
    <mergeCell ref="V24:V25"/>
    <mergeCell ref="D26:D27"/>
    <mergeCell ref="U18:U19"/>
    <mergeCell ref="V18:V19"/>
    <mergeCell ref="E18:E19"/>
    <mergeCell ref="U20:U21"/>
    <mergeCell ref="V20:V21"/>
    <mergeCell ref="C22:C23"/>
    <mergeCell ref="D22:D23"/>
    <mergeCell ref="U22:U23"/>
    <mergeCell ref="V22:V23"/>
    <mergeCell ref="E24:E25"/>
    <mergeCell ref="V12:V13"/>
    <mergeCell ref="C14:C15"/>
    <mergeCell ref="A1:B4"/>
    <mergeCell ref="C1:V1"/>
    <mergeCell ref="C2:V2"/>
    <mergeCell ref="D3:V3"/>
    <mergeCell ref="D4:V4"/>
    <mergeCell ref="V6:V7"/>
    <mergeCell ref="C6:C7"/>
    <mergeCell ref="D6:E6"/>
    <mergeCell ref="F6:S6"/>
    <mergeCell ref="A6:A7"/>
    <mergeCell ref="B6:B7"/>
    <mergeCell ref="V14:V15"/>
    <mergeCell ref="U12:U13"/>
    <mergeCell ref="C12:C13"/>
    <mergeCell ref="D12:D13"/>
    <mergeCell ref="E12:E13"/>
    <mergeCell ref="V16:V17"/>
    <mergeCell ref="C16:C17"/>
    <mergeCell ref="V30:V31"/>
    <mergeCell ref="T6:U6"/>
    <mergeCell ref="V10:V11"/>
    <mergeCell ref="U30:U31"/>
    <mergeCell ref="T26:T27"/>
    <mergeCell ref="U26:U27"/>
    <mergeCell ref="V26:V27"/>
    <mergeCell ref="U14:U15"/>
    <mergeCell ref="T8:T9"/>
    <mergeCell ref="U8:U9"/>
    <mergeCell ref="U16:U17"/>
    <mergeCell ref="E30:E31"/>
    <mergeCell ref="D44:D45"/>
    <mergeCell ref="E44:E45"/>
    <mergeCell ref="U44:U45"/>
    <mergeCell ref="V44:V45"/>
    <mergeCell ref="V36:V37"/>
    <mergeCell ref="D32:D33"/>
    <mergeCell ref="E32:E33"/>
    <mergeCell ref="U32:U33"/>
    <mergeCell ref="V32:V33"/>
    <mergeCell ref="D34:D35"/>
    <mergeCell ref="E34:E35"/>
    <mergeCell ref="U34:U35"/>
    <mergeCell ref="V34:V35"/>
    <mergeCell ref="U36:U37"/>
    <mergeCell ref="D36:D37"/>
    <mergeCell ref="T38:T41"/>
    <mergeCell ref="E40:E41"/>
    <mergeCell ref="T30:T33"/>
    <mergeCell ref="U54:U55"/>
    <mergeCell ref="V40:V41"/>
    <mergeCell ref="V42:V43"/>
    <mergeCell ref="U38:U39"/>
    <mergeCell ref="V38:V39"/>
    <mergeCell ref="U40:U41"/>
    <mergeCell ref="E42:E43"/>
    <mergeCell ref="T42:T45"/>
    <mergeCell ref="U42:U43"/>
    <mergeCell ref="E46:E47"/>
    <mergeCell ref="T46:T47"/>
    <mergeCell ref="U46:U47"/>
    <mergeCell ref="V46:V47"/>
    <mergeCell ref="E38:E39"/>
    <mergeCell ref="A8:A28"/>
    <mergeCell ref="B10:B17"/>
    <mergeCell ref="D16:D17"/>
    <mergeCell ref="B18:B21"/>
    <mergeCell ref="B22:B25"/>
    <mergeCell ref="C26:C27"/>
    <mergeCell ref="A30:A55"/>
    <mergeCell ref="B30:B33"/>
    <mergeCell ref="D30:D31"/>
    <mergeCell ref="B42:B45"/>
    <mergeCell ref="C42:C43"/>
    <mergeCell ref="D42:D43"/>
    <mergeCell ref="C44:C45"/>
    <mergeCell ref="B38:B41"/>
    <mergeCell ref="C38:C39"/>
    <mergeCell ref="D38:D39"/>
    <mergeCell ref="C40:C41"/>
    <mergeCell ref="D40:D41"/>
    <mergeCell ref="B46:B47"/>
    <mergeCell ref="C46:C47"/>
    <mergeCell ref="D46:D47"/>
    <mergeCell ref="C32:C33"/>
    <mergeCell ref="C34:C35"/>
    <mergeCell ref="C36:C37"/>
    <mergeCell ref="B34:B35"/>
    <mergeCell ref="T34:T35"/>
    <mergeCell ref="B36:B37"/>
    <mergeCell ref="T36:T37"/>
    <mergeCell ref="C30:C31"/>
    <mergeCell ref="E36:E37"/>
    <mergeCell ref="U28:U29"/>
    <mergeCell ref="T10:T17"/>
    <mergeCell ref="E16:E17"/>
    <mergeCell ref="T18:T21"/>
    <mergeCell ref="T22:T25"/>
    <mergeCell ref="U24:U25"/>
    <mergeCell ref="D18:D19"/>
    <mergeCell ref="C20:C21"/>
    <mergeCell ref="C24:C25"/>
    <mergeCell ref="D24:D25"/>
    <mergeCell ref="C18:C19"/>
    <mergeCell ref="B28:B29"/>
    <mergeCell ref="B26:B27"/>
    <mergeCell ref="B48:B49"/>
    <mergeCell ref="C48:C49"/>
    <mergeCell ref="D48:D49"/>
    <mergeCell ref="E48:E49"/>
    <mergeCell ref="T48:T49"/>
    <mergeCell ref="U48:U49"/>
    <mergeCell ref="V48:V49"/>
    <mergeCell ref="E62:E63"/>
    <mergeCell ref="B50:B51"/>
    <mergeCell ref="C50:C51"/>
    <mergeCell ref="D50:D51"/>
    <mergeCell ref="E50:E51"/>
    <mergeCell ref="T50:T51"/>
    <mergeCell ref="U50:U51"/>
    <mergeCell ref="V50:V51"/>
    <mergeCell ref="B52:B53"/>
    <mergeCell ref="C52:C53"/>
    <mergeCell ref="D52:D53"/>
    <mergeCell ref="E52:E53"/>
    <mergeCell ref="T52:T53"/>
    <mergeCell ref="U52:U53"/>
    <mergeCell ref="V52:V53"/>
    <mergeCell ref="B54:B55"/>
    <mergeCell ref="C54:C55"/>
    <mergeCell ref="A56:A63"/>
    <mergeCell ref="B56:B59"/>
    <mergeCell ref="C56:C57"/>
    <mergeCell ref="D56:D57"/>
    <mergeCell ref="E56:E57"/>
    <mergeCell ref="T56:T59"/>
    <mergeCell ref="U56:U57"/>
    <mergeCell ref="V56:V57"/>
    <mergeCell ref="C58:C59"/>
    <mergeCell ref="D58:D59"/>
    <mergeCell ref="E58:E59"/>
    <mergeCell ref="U58:U59"/>
    <mergeCell ref="V58:V59"/>
    <mergeCell ref="B60:B61"/>
    <mergeCell ref="C60:C61"/>
    <mergeCell ref="D60:D61"/>
    <mergeCell ref="A71:S71"/>
    <mergeCell ref="C28:C29"/>
    <mergeCell ref="D28:D29"/>
    <mergeCell ref="T28:T29"/>
    <mergeCell ref="V28:V29"/>
    <mergeCell ref="U68:U70"/>
    <mergeCell ref="V68:V70"/>
    <mergeCell ref="A64:A70"/>
    <mergeCell ref="B64:B67"/>
    <mergeCell ref="C64:C65"/>
    <mergeCell ref="D64:D65"/>
    <mergeCell ref="E64:E65"/>
    <mergeCell ref="T64:T67"/>
    <mergeCell ref="U64:U65"/>
    <mergeCell ref="V64:V65"/>
    <mergeCell ref="C66:C67"/>
    <mergeCell ref="D66:D67"/>
    <mergeCell ref="D54:D55"/>
    <mergeCell ref="V62:V63"/>
    <mergeCell ref="T62:T63"/>
    <mergeCell ref="U62:U63"/>
    <mergeCell ref="V54:V55"/>
    <mergeCell ref="E54:E55"/>
    <mergeCell ref="T54:T55"/>
    <mergeCell ref="E66:E67"/>
    <mergeCell ref="U66:U67"/>
    <mergeCell ref="V66:V67"/>
    <mergeCell ref="B68:B70"/>
    <mergeCell ref="C68:C69"/>
    <mergeCell ref="D68:D69"/>
    <mergeCell ref="E68:E69"/>
    <mergeCell ref="E60:E61"/>
    <mergeCell ref="T60:T61"/>
    <mergeCell ref="U60:U61"/>
    <mergeCell ref="V60:V61"/>
    <mergeCell ref="B62:B63"/>
    <mergeCell ref="C62:C63"/>
    <mergeCell ref="D62:D63"/>
    <mergeCell ref="T68:T70"/>
  </mergeCells>
  <printOptions horizontalCentered="1" verticalCentered="1"/>
  <pageMargins left="0" right="0" top="0.55118110236220474" bottom="0" header="0.31496062992125984" footer="0"/>
  <pageSetup scale="2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E281"/>
  <sheetViews>
    <sheetView topLeftCell="H4" zoomScale="70" zoomScaleNormal="70" workbookViewId="0">
      <selection activeCell="S15" sqref="S15:S18"/>
    </sheetView>
  </sheetViews>
  <sheetFormatPr baseColWidth="10" defaultColWidth="11.42578125" defaultRowHeight="15" x14ac:dyDescent="0.25"/>
  <cols>
    <col min="1" max="1" width="8.7109375" style="202" customWidth="1"/>
    <col min="2" max="2" width="15.28515625" style="202" customWidth="1"/>
    <col min="3" max="3" width="15.5703125" style="202" customWidth="1"/>
    <col min="4" max="4" width="16" style="202" customWidth="1"/>
    <col min="5" max="5" width="12" style="314" hidden="1" customWidth="1"/>
    <col min="6" max="6" width="16" style="314" hidden="1" customWidth="1"/>
    <col min="7" max="7" width="12" style="314" hidden="1" customWidth="1"/>
    <col min="8" max="8" width="22.42578125" style="314" bestFit="1" customWidth="1"/>
    <col min="9" max="9" width="10.7109375" style="314" hidden="1" customWidth="1"/>
    <col min="10" max="10" width="10.85546875" style="314" hidden="1" customWidth="1"/>
    <col min="11" max="11" width="18.28515625" style="314" bestFit="1" customWidth="1"/>
    <col min="12" max="12" width="16" style="314" customWidth="1"/>
    <col min="13" max="14" width="18.7109375" style="496" hidden="1" customWidth="1"/>
    <col min="15" max="15" width="16.85546875" style="202" hidden="1" customWidth="1"/>
    <col min="16" max="16" width="9.85546875" style="496" hidden="1" customWidth="1"/>
    <col min="17" max="17" width="14.85546875" style="202" customWidth="1"/>
    <col min="18" max="18" width="12.140625" style="202" customWidth="1"/>
    <col min="19" max="19" width="15" style="202" customWidth="1"/>
    <col min="20" max="20" width="16.42578125" style="202" customWidth="1"/>
    <col min="21" max="21" width="18.140625" style="202" customWidth="1"/>
    <col min="22" max="24" width="16.7109375" style="202" customWidth="1"/>
    <col min="25" max="25" width="32" style="202" customWidth="1"/>
    <col min="26" max="26" width="22.28515625" style="251" customWidth="1"/>
    <col min="27" max="27" width="17.85546875" style="202" customWidth="1"/>
    <col min="28" max="28" width="7.7109375" hidden="1" customWidth="1"/>
    <col min="29" max="29" width="14.140625" hidden="1" customWidth="1"/>
    <col min="30" max="30" width="1.85546875" hidden="1" customWidth="1"/>
    <col min="31" max="31" width="14.28515625" hidden="1" customWidth="1"/>
    <col min="32" max="32" width="1.85546875" hidden="1" customWidth="1"/>
    <col min="33" max="33" width="16.85546875" hidden="1" customWidth="1"/>
    <col min="34" max="35" width="1.85546875" hidden="1" customWidth="1"/>
    <col min="36" max="36" width="14.140625" hidden="1" customWidth="1"/>
    <col min="42" max="83" width="11.42578125" style="201"/>
    <col min="84" max="16384" width="11.42578125" style="202"/>
  </cols>
  <sheetData>
    <row r="1" spans="1:27" ht="27.75" customHeight="1" x14ac:dyDescent="0.25">
      <c r="A1" s="945"/>
      <c r="B1" s="946"/>
      <c r="C1" s="946"/>
      <c r="D1" s="947"/>
      <c r="E1" s="958" t="s">
        <v>0</v>
      </c>
      <c r="F1" s="958"/>
      <c r="G1" s="958"/>
      <c r="H1" s="958"/>
      <c r="I1" s="958"/>
      <c r="J1" s="958"/>
      <c r="K1" s="958"/>
      <c r="L1" s="958"/>
      <c r="M1" s="958"/>
      <c r="N1" s="958"/>
      <c r="O1" s="958"/>
      <c r="P1" s="958"/>
      <c r="Q1" s="958"/>
      <c r="R1" s="958"/>
      <c r="S1" s="958"/>
      <c r="T1" s="958"/>
      <c r="U1" s="958"/>
      <c r="V1" s="958"/>
      <c r="W1" s="958"/>
      <c r="X1" s="958"/>
      <c r="Y1" s="958"/>
      <c r="Z1" s="958"/>
      <c r="AA1" s="958"/>
    </row>
    <row r="2" spans="1:27" ht="36" customHeight="1" x14ac:dyDescent="0.25">
      <c r="A2" s="948"/>
      <c r="B2" s="949"/>
      <c r="C2" s="949"/>
      <c r="D2" s="950"/>
      <c r="E2" s="959" t="s">
        <v>110</v>
      </c>
      <c r="F2" s="959"/>
      <c r="G2" s="959"/>
      <c r="H2" s="959"/>
      <c r="I2" s="959"/>
      <c r="J2" s="959"/>
      <c r="K2" s="959"/>
      <c r="L2" s="959"/>
      <c r="M2" s="959"/>
      <c r="N2" s="959"/>
      <c r="O2" s="959"/>
      <c r="P2" s="959"/>
      <c r="Q2" s="959"/>
      <c r="R2" s="959"/>
      <c r="S2" s="959"/>
      <c r="T2" s="959"/>
      <c r="U2" s="959"/>
      <c r="V2" s="959"/>
      <c r="W2" s="959"/>
      <c r="X2" s="959"/>
      <c r="Y2" s="959"/>
      <c r="Z2" s="959"/>
      <c r="AA2" s="959"/>
    </row>
    <row r="3" spans="1:27" ht="35.25" customHeight="1" x14ac:dyDescent="0.25">
      <c r="A3" s="948"/>
      <c r="B3" s="949"/>
      <c r="C3" s="949"/>
      <c r="D3" s="950"/>
      <c r="E3" s="980" t="s">
        <v>510</v>
      </c>
      <c r="F3" s="980"/>
      <c r="G3" s="980" t="s">
        <v>116</v>
      </c>
      <c r="H3" s="980"/>
      <c r="I3" s="980"/>
      <c r="J3" s="980"/>
      <c r="K3" s="980"/>
      <c r="L3" s="980"/>
      <c r="M3" s="980"/>
      <c r="N3" s="980"/>
      <c r="O3" s="980"/>
      <c r="P3" s="980"/>
      <c r="Q3" s="980"/>
      <c r="R3" s="980"/>
      <c r="S3" s="980"/>
      <c r="T3" s="980"/>
      <c r="U3" s="980"/>
      <c r="V3" s="980"/>
      <c r="W3" s="980"/>
      <c r="X3" s="980"/>
      <c r="Y3" s="980"/>
      <c r="Z3" s="980"/>
      <c r="AA3" s="980"/>
    </row>
    <row r="4" spans="1:27" ht="23.25" customHeight="1" thickBot="1" x14ac:dyDescent="0.3">
      <c r="A4" s="948"/>
      <c r="B4" s="949"/>
      <c r="C4" s="949"/>
      <c r="D4" s="950"/>
      <c r="E4" s="980" t="s">
        <v>511</v>
      </c>
      <c r="F4" s="980"/>
      <c r="G4" s="980" t="s">
        <v>512</v>
      </c>
      <c r="H4" s="980"/>
      <c r="I4" s="980"/>
      <c r="J4" s="980"/>
      <c r="K4" s="980"/>
      <c r="L4" s="980"/>
      <c r="M4" s="980"/>
      <c r="N4" s="980"/>
      <c r="O4" s="980"/>
      <c r="P4" s="980"/>
      <c r="Q4" s="980"/>
      <c r="R4" s="980"/>
      <c r="S4" s="980"/>
      <c r="T4" s="980"/>
      <c r="U4" s="980"/>
      <c r="V4" s="980"/>
      <c r="W4" s="980"/>
      <c r="X4" s="980"/>
      <c r="Y4" s="980"/>
      <c r="Z4" s="980"/>
      <c r="AA4" s="980"/>
    </row>
    <row r="5" spans="1:27" ht="35.25" customHeight="1" thickBot="1" x14ac:dyDescent="0.3">
      <c r="A5" s="951" t="s">
        <v>42</v>
      </c>
      <c r="B5" s="951" t="s">
        <v>43</v>
      </c>
      <c r="C5" s="951" t="s">
        <v>44</v>
      </c>
      <c r="D5" s="953" t="s">
        <v>502</v>
      </c>
      <c r="E5" s="955" t="s">
        <v>503</v>
      </c>
      <c r="F5" s="500"/>
      <c r="G5" s="957" t="s">
        <v>45</v>
      </c>
      <c r="H5" s="957"/>
      <c r="I5" s="957"/>
      <c r="J5" s="957"/>
      <c r="K5" s="957" t="s">
        <v>47</v>
      </c>
      <c r="L5" s="957"/>
      <c r="M5" s="957"/>
      <c r="N5" s="957"/>
      <c r="O5" s="957"/>
      <c r="P5" s="957"/>
      <c r="Q5" s="981" t="s">
        <v>49</v>
      </c>
      <c r="R5" s="981"/>
      <c r="S5" s="981"/>
      <c r="T5" s="981"/>
      <c r="U5" s="982"/>
      <c r="V5" s="983" t="s">
        <v>55</v>
      </c>
      <c r="W5" s="983"/>
      <c r="X5" s="981"/>
      <c r="Y5" s="981"/>
      <c r="Z5" s="981"/>
      <c r="AA5" s="982"/>
    </row>
    <row r="6" spans="1:27" ht="23.25" customHeight="1" thickBot="1" x14ac:dyDescent="0.3">
      <c r="A6" s="952" t="s">
        <v>33</v>
      </c>
      <c r="B6" s="952"/>
      <c r="C6" s="952"/>
      <c r="D6" s="954"/>
      <c r="E6" s="956"/>
      <c r="F6" s="497" t="s">
        <v>387</v>
      </c>
      <c r="G6" s="497" t="s">
        <v>46</v>
      </c>
      <c r="H6" s="497" t="s">
        <v>513</v>
      </c>
      <c r="I6" s="497" t="s">
        <v>390</v>
      </c>
      <c r="J6" s="497" t="s">
        <v>384</v>
      </c>
      <c r="K6" s="497" t="s">
        <v>48</v>
      </c>
      <c r="L6" s="511" t="s">
        <v>385</v>
      </c>
      <c r="M6" s="512" t="s">
        <v>514</v>
      </c>
      <c r="N6" s="512" t="s">
        <v>515</v>
      </c>
      <c r="O6" s="497" t="s">
        <v>386</v>
      </c>
      <c r="P6" s="497" t="s">
        <v>387</v>
      </c>
      <c r="Q6" s="511" t="s">
        <v>50</v>
      </c>
      <c r="R6" s="513" t="s">
        <v>51</v>
      </c>
      <c r="S6" s="513" t="s">
        <v>52</v>
      </c>
      <c r="T6" s="513" t="s">
        <v>53</v>
      </c>
      <c r="U6" s="513" t="s">
        <v>54</v>
      </c>
      <c r="V6" s="497" t="s">
        <v>56</v>
      </c>
      <c r="W6" s="497" t="s">
        <v>57</v>
      </c>
      <c r="X6" s="511" t="s">
        <v>58</v>
      </c>
      <c r="Y6" s="511" t="s">
        <v>59</v>
      </c>
      <c r="Z6" s="514" t="s">
        <v>60</v>
      </c>
      <c r="AA6" s="515" t="s">
        <v>61</v>
      </c>
    </row>
    <row r="7" spans="1:27" ht="25.5" customHeight="1" x14ac:dyDescent="0.25">
      <c r="A7" s="901">
        <v>1</v>
      </c>
      <c r="B7" s="904" t="s">
        <v>162</v>
      </c>
      <c r="C7" s="904" t="s">
        <v>224</v>
      </c>
      <c r="D7" s="467" t="s">
        <v>34</v>
      </c>
      <c r="E7" s="193">
        <v>0</v>
      </c>
      <c r="F7" s="193">
        <v>1</v>
      </c>
      <c r="G7" s="516">
        <v>0</v>
      </c>
      <c r="H7" s="193">
        <v>0</v>
      </c>
      <c r="I7" s="193"/>
      <c r="J7" s="203"/>
      <c r="K7" s="193">
        <v>0</v>
      </c>
      <c r="L7" s="203"/>
      <c r="M7" s="203"/>
      <c r="N7" s="203"/>
      <c r="O7" s="203"/>
      <c r="P7" s="193"/>
      <c r="Q7" s="925" t="s">
        <v>221</v>
      </c>
      <c r="R7" s="908">
        <v>48</v>
      </c>
      <c r="S7" s="892" t="s">
        <v>222</v>
      </c>
      <c r="T7" s="908" t="s">
        <v>223</v>
      </c>
      <c r="U7" s="892" t="s">
        <v>224</v>
      </c>
      <c r="V7" s="892">
        <v>69549</v>
      </c>
      <c r="W7" s="892">
        <v>76596</v>
      </c>
      <c r="X7" s="892" t="s">
        <v>231</v>
      </c>
      <c r="Y7" s="892" t="s">
        <v>225</v>
      </c>
      <c r="Z7" s="892" t="s">
        <v>232</v>
      </c>
      <c r="AA7" s="984">
        <f>+V7+W7</f>
        <v>146145</v>
      </c>
    </row>
    <row r="8" spans="1:27" ht="25.5" customHeight="1" x14ac:dyDescent="0.25">
      <c r="A8" s="902"/>
      <c r="B8" s="905"/>
      <c r="C8" s="905"/>
      <c r="D8" s="335" t="s">
        <v>36</v>
      </c>
      <c r="E8" s="191">
        <v>0</v>
      </c>
      <c r="F8" s="191">
        <v>50000000</v>
      </c>
      <c r="G8" s="517">
        <v>0</v>
      </c>
      <c r="H8" s="192">
        <v>0</v>
      </c>
      <c r="I8" s="191"/>
      <c r="J8" s="191"/>
      <c r="K8" s="191">
        <v>0</v>
      </c>
      <c r="L8" s="191"/>
      <c r="M8" s="191"/>
      <c r="N8" s="191"/>
      <c r="O8" s="191"/>
      <c r="P8" s="192"/>
      <c r="Q8" s="907"/>
      <c r="R8" s="909"/>
      <c r="S8" s="893"/>
      <c r="T8" s="909"/>
      <c r="U8" s="893"/>
      <c r="V8" s="893"/>
      <c r="W8" s="893"/>
      <c r="X8" s="893"/>
      <c r="Y8" s="893"/>
      <c r="Z8" s="893"/>
      <c r="AA8" s="985"/>
    </row>
    <row r="9" spans="1:27" ht="25.5" customHeight="1" x14ac:dyDescent="0.25">
      <c r="A9" s="902"/>
      <c r="B9" s="905"/>
      <c r="C9" s="905"/>
      <c r="D9" s="335" t="s">
        <v>37</v>
      </c>
      <c r="E9" s="192">
        <v>0</v>
      </c>
      <c r="F9" s="192"/>
      <c r="G9" s="518">
        <v>0</v>
      </c>
      <c r="H9" s="192">
        <v>0</v>
      </c>
      <c r="I9" s="192"/>
      <c r="J9" s="192"/>
      <c r="K9" s="192">
        <v>0</v>
      </c>
      <c r="L9" s="192"/>
      <c r="M9" s="192"/>
      <c r="N9" s="192"/>
      <c r="O9" s="192"/>
      <c r="P9" s="192"/>
      <c r="Q9" s="907"/>
      <c r="R9" s="909"/>
      <c r="S9" s="893"/>
      <c r="T9" s="909"/>
      <c r="U9" s="893"/>
      <c r="V9" s="893"/>
      <c r="W9" s="893"/>
      <c r="X9" s="893"/>
      <c r="Y9" s="893"/>
      <c r="Z9" s="893"/>
      <c r="AA9" s="985"/>
    </row>
    <row r="10" spans="1:27" ht="25.5" customHeight="1" thickBot="1" x14ac:dyDescent="0.3">
      <c r="A10" s="903"/>
      <c r="B10" s="906"/>
      <c r="C10" s="906"/>
      <c r="D10" s="468" t="s">
        <v>38</v>
      </c>
      <c r="E10" s="194">
        <v>50000000</v>
      </c>
      <c r="F10" s="194">
        <v>0</v>
      </c>
      <c r="G10" s="519">
        <v>50000000</v>
      </c>
      <c r="H10" s="194">
        <v>50000000</v>
      </c>
      <c r="I10" s="194"/>
      <c r="J10" s="204"/>
      <c r="K10" s="194">
        <v>50000000</v>
      </c>
      <c r="L10" s="204">
        <v>50000000</v>
      </c>
      <c r="M10" s="204">
        <v>50000000</v>
      </c>
      <c r="N10" s="204">
        <f>L10-M10</f>
        <v>0</v>
      </c>
      <c r="O10" s="204"/>
      <c r="P10" s="204"/>
      <c r="Q10" s="944"/>
      <c r="R10" s="910"/>
      <c r="S10" s="894"/>
      <c r="T10" s="910"/>
      <c r="U10" s="894"/>
      <c r="V10" s="894"/>
      <c r="W10" s="894"/>
      <c r="X10" s="894"/>
      <c r="Y10" s="894"/>
      <c r="Z10" s="894"/>
      <c r="AA10" s="986"/>
    </row>
    <row r="11" spans="1:27" ht="32.25" customHeight="1" x14ac:dyDescent="0.25">
      <c r="A11" s="901">
        <v>2</v>
      </c>
      <c r="B11" s="904" t="s">
        <v>163</v>
      </c>
      <c r="C11" s="904" t="s">
        <v>227</v>
      </c>
      <c r="D11" s="467" t="s">
        <v>34</v>
      </c>
      <c r="E11" s="193">
        <v>28</v>
      </c>
      <c r="F11" s="193">
        <v>28</v>
      </c>
      <c r="G11" s="516">
        <v>28</v>
      </c>
      <c r="H11" s="193">
        <v>28</v>
      </c>
      <c r="I11" s="193"/>
      <c r="J11" s="203"/>
      <c r="K11" s="193">
        <v>28</v>
      </c>
      <c r="L11" s="203">
        <v>28</v>
      </c>
      <c r="M11" s="203">
        <v>28</v>
      </c>
      <c r="N11" s="264">
        <f>L11-M11</f>
        <v>0</v>
      </c>
      <c r="O11" s="193"/>
      <c r="P11" s="193"/>
      <c r="Q11" s="925" t="s">
        <v>228</v>
      </c>
      <c r="R11" s="908"/>
      <c r="S11" s="892" t="s">
        <v>229</v>
      </c>
      <c r="T11" s="908" t="s">
        <v>230</v>
      </c>
      <c r="U11" s="892"/>
      <c r="V11" s="892">
        <v>8668</v>
      </c>
      <c r="W11" s="892">
        <v>9452</v>
      </c>
      <c r="X11" s="892" t="s">
        <v>231</v>
      </c>
      <c r="Y11" s="892" t="s">
        <v>225</v>
      </c>
      <c r="Z11" s="892" t="s">
        <v>232</v>
      </c>
      <c r="AA11" s="984">
        <f>+V11+W11</f>
        <v>18120</v>
      </c>
    </row>
    <row r="12" spans="1:27" ht="32.25" customHeight="1" x14ac:dyDescent="0.25">
      <c r="A12" s="902"/>
      <c r="B12" s="905"/>
      <c r="C12" s="905"/>
      <c r="D12" s="335" t="s">
        <v>36</v>
      </c>
      <c r="E12" s="191">
        <v>89439000</v>
      </c>
      <c r="F12" s="191">
        <v>58045000</v>
      </c>
      <c r="G12" s="517">
        <v>89439000</v>
      </c>
      <c r="H12" s="191">
        <v>89439000</v>
      </c>
      <c r="I12" s="191"/>
      <c r="J12" s="191"/>
      <c r="K12" s="191">
        <v>89306837</v>
      </c>
      <c r="L12" s="191">
        <v>89306837</v>
      </c>
      <c r="M12" s="191"/>
      <c r="N12" s="236"/>
      <c r="O12" s="192"/>
      <c r="P12" s="192"/>
      <c r="Q12" s="907"/>
      <c r="R12" s="909"/>
      <c r="S12" s="893"/>
      <c r="T12" s="909"/>
      <c r="U12" s="893"/>
      <c r="V12" s="893"/>
      <c r="W12" s="893"/>
      <c r="X12" s="893"/>
      <c r="Y12" s="893"/>
      <c r="Z12" s="893"/>
      <c r="AA12" s="985"/>
    </row>
    <row r="13" spans="1:27" ht="32.25" customHeight="1" x14ac:dyDescent="0.25">
      <c r="A13" s="902"/>
      <c r="B13" s="905"/>
      <c r="C13" s="905"/>
      <c r="D13" s="335" t="s">
        <v>37</v>
      </c>
      <c r="E13" s="192"/>
      <c r="F13" s="192">
        <v>0</v>
      </c>
      <c r="G13" s="518"/>
      <c r="H13" s="192"/>
      <c r="I13" s="192"/>
      <c r="J13" s="192"/>
      <c r="K13" s="192"/>
      <c r="L13" s="192"/>
      <c r="M13" s="192"/>
      <c r="N13" s="236">
        <f t="shared" ref="N13:N76" si="0">L13-M13</f>
        <v>0</v>
      </c>
      <c r="O13" s="192"/>
      <c r="P13" s="192"/>
      <c r="Q13" s="907"/>
      <c r="R13" s="909"/>
      <c r="S13" s="893"/>
      <c r="T13" s="909"/>
      <c r="U13" s="893"/>
      <c r="V13" s="893"/>
      <c r="W13" s="893"/>
      <c r="X13" s="893"/>
      <c r="Y13" s="893"/>
      <c r="Z13" s="893"/>
      <c r="AA13" s="985"/>
    </row>
    <row r="14" spans="1:27" ht="32.25" customHeight="1" thickBot="1" x14ac:dyDescent="0.3">
      <c r="A14" s="903"/>
      <c r="B14" s="906"/>
      <c r="C14" s="906"/>
      <c r="D14" s="468" t="s">
        <v>38</v>
      </c>
      <c r="E14" s="520">
        <v>7061668</v>
      </c>
      <c r="F14" s="520">
        <v>5302667</v>
      </c>
      <c r="G14" s="521">
        <v>7061668</v>
      </c>
      <c r="H14" s="520">
        <v>7061668</v>
      </c>
      <c r="I14" s="194"/>
      <c r="J14" s="194"/>
      <c r="K14" s="194">
        <v>7061668</v>
      </c>
      <c r="L14" s="204">
        <v>7061668</v>
      </c>
      <c r="M14" s="204">
        <v>7061668</v>
      </c>
      <c r="N14" s="204">
        <f t="shared" si="0"/>
        <v>0</v>
      </c>
      <c r="O14" s="204"/>
      <c r="P14" s="194"/>
      <c r="Q14" s="944"/>
      <c r="R14" s="910"/>
      <c r="S14" s="894"/>
      <c r="T14" s="910"/>
      <c r="U14" s="894"/>
      <c r="V14" s="894"/>
      <c r="W14" s="894"/>
      <c r="X14" s="894"/>
      <c r="Y14" s="894"/>
      <c r="Z14" s="894"/>
      <c r="AA14" s="986"/>
    </row>
    <row r="15" spans="1:27" ht="31.5" customHeight="1" x14ac:dyDescent="0.25">
      <c r="A15" s="901">
        <v>3</v>
      </c>
      <c r="B15" s="904" t="s">
        <v>164</v>
      </c>
      <c r="C15" s="912" t="s">
        <v>233</v>
      </c>
      <c r="D15" s="467" t="s">
        <v>34</v>
      </c>
      <c r="E15" s="209">
        <v>62</v>
      </c>
      <c r="F15" s="209">
        <v>22</v>
      </c>
      <c r="G15" s="522">
        <v>62</v>
      </c>
      <c r="H15" s="476">
        <v>33.549999999999997</v>
      </c>
      <c r="I15" s="209"/>
      <c r="J15" s="291"/>
      <c r="K15" s="209">
        <f>22+0.085</f>
        <v>22.085000000000001</v>
      </c>
      <c r="L15" s="291">
        <v>23.21</v>
      </c>
      <c r="M15" s="291"/>
      <c r="N15" s="264">
        <f t="shared" si="0"/>
        <v>23.21</v>
      </c>
      <c r="O15" s="193"/>
      <c r="P15" s="193"/>
      <c r="Q15" s="930" t="s">
        <v>241</v>
      </c>
      <c r="R15" s="943"/>
      <c r="S15" s="892"/>
      <c r="T15" s="908"/>
      <c r="U15" s="892" t="s">
        <v>238</v>
      </c>
      <c r="V15" s="892">
        <f>99411+211224+330665+307600</f>
        <v>948900</v>
      </c>
      <c r="W15" s="892">
        <f>101314+215866+344806+321466</f>
        <v>983452</v>
      </c>
      <c r="X15" s="892" t="s">
        <v>231</v>
      </c>
      <c r="Y15" s="892" t="s">
        <v>225</v>
      </c>
      <c r="Z15" s="892" t="s">
        <v>232</v>
      </c>
      <c r="AA15" s="984">
        <f>+V15+W15</f>
        <v>1932352</v>
      </c>
    </row>
    <row r="16" spans="1:27" ht="31.5" customHeight="1" x14ac:dyDescent="0.25">
      <c r="A16" s="902"/>
      <c r="B16" s="905"/>
      <c r="C16" s="913"/>
      <c r="D16" s="335" t="s">
        <v>36</v>
      </c>
      <c r="E16" s="207">
        <f>200000000+487129625/4+100000000+1597350000/4</f>
        <v>821119906.25</v>
      </c>
      <c r="F16" s="207">
        <v>210197500</v>
      </c>
      <c r="G16" s="523">
        <f>200000000+487129625/4+100000000+1597350000/4</f>
        <v>821119906.25</v>
      </c>
      <c r="H16" s="508">
        <v>821119906.25</v>
      </c>
      <c r="I16" s="207"/>
      <c r="J16" s="191"/>
      <c r="K16" s="207">
        <f>1230983900/4</f>
        <v>307745975</v>
      </c>
      <c r="L16" s="191">
        <f>1668193247/4+754040875/3</f>
        <v>668395270.08333337</v>
      </c>
      <c r="M16" s="191"/>
      <c r="N16" s="236">
        <f t="shared" si="0"/>
        <v>668395270.08333337</v>
      </c>
      <c r="O16" s="192"/>
      <c r="P16" s="192"/>
      <c r="Q16" s="927"/>
      <c r="R16" s="909"/>
      <c r="S16" s="893"/>
      <c r="T16" s="909"/>
      <c r="U16" s="893"/>
      <c r="V16" s="893"/>
      <c r="W16" s="893"/>
      <c r="X16" s="893"/>
      <c r="Y16" s="893"/>
      <c r="Z16" s="893"/>
      <c r="AA16" s="985"/>
    </row>
    <row r="17" spans="1:27" ht="31.5" customHeight="1" x14ac:dyDescent="0.25">
      <c r="A17" s="902"/>
      <c r="B17" s="905"/>
      <c r="C17" s="913"/>
      <c r="D17" s="335" t="s">
        <v>37</v>
      </c>
      <c r="E17" s="205"/>
      <c r="F17" s="205"/>
      <c r="G17" s="524"/>
      <c r="H17" s="525"/>
      <c r="I17" s="205"/>
      <c r="J17" s="192"/>
      <c r="K17" s="205"/>
      <c r="L17" s="192"/>
      <c r="M17" s="192"/>
      <c r="N17" s="236">
        <f t="shared" si="0"/>
        <v>0</v>
      </c>
      <c r="O17" s="192"/>
      <c r="P17" s="192"/>
      <c r="Q17" s="927"/>
      <c r="R17" s="909"/>
      <c r="S17" s="893"/>
      <c r="T17" s="909"/>
      <c r="U17" s="893"/>
      <c r="V17" s="893"/>
      <c r="W17" s="893"/>
      <c r="X17" s="893"/>
      <c r="Y17" s="893"/>
      <c r="Z17" s="893"/>
      <c r="AA17" s="985"/>
    </row>
    <row r="18" spans="1:27" ht="31.5" customHeight="1" x14ac:dyDescent="0.25">
      <c r="A18" s="902"/>
      <c r="B18" s="905"/>
      <c r="C18" s="913"/>
      <c r="D18" s="335" t="s">
        <v>38</v>
      </c>
      <c r="E18" s="207">
        <f>124855333/4</f>
        <v>31213833.25</v>
      </c>
      <c r="F18" s="207">
        <v>170535896.75</v>
      </c>
      <c r="G18" s="523">
        <f>124855333/4</f>
        <v>31213833.25</v>
      </c>
      <c r="H18" s="508">
        <v>31213833.25</v>
      </c>
      <c r="I18" s="207"/>
      <c r="J18" s="192"/>
      <c r="K18" s="207">
        <f>67782331/4</f>
        <v>16945582.75</v>
      </c>
      <c r="L18" s="236">
        <v>22227666.25</v>
      </c>
      <c r="M18" s="236"/>
      <c r="N18" s="236">
        <f t="shared" si="0"/>
        <v>22227666.25</v>
      </c>
      <c r="O18" s="236"/>
      <c r="P18" s="236"/>
      <c r="Q18" s="927"/>
      <c r="R18" s="909"/>
      <c r="S18" s="893"/>
      <c r="T18" s="909"/>
      <c r="U18" s="893"/>
      <c r="V18" s="893"/>
      <c r="W18" s="893"/>
      <c r="X18" s="893"/>
      <c r="Y18" s="893"/>
      <c r="Z18" s="893"/>
      <c r="AA18" s="985"/>
    </row>
    <row r="19" spans="1:27" ht="31.5" customHeight="1" x14ac:dyDescent="0.25">
      <c r="A19" s="902"/>
      <c r="B19" s="905"/>
      <c r="C19" s="913" t="s">
        <v>234</v>
      </c>
      <c r="D19" s="471" t="s">
        <v>34</v>
      </c>
      <c r="E19" s="205">
        <v>86.01</v>
      </c>
      <c r="F19" s="205">
        <v>86</v>
      </c>
      <c r="G19" s="524">
        <v>86.01</v>
      </c>
      <c r="H19" s="525">
        <v>86.81</v>
      </c>
      <c r="I19" s="205"/>
      <c r="J19" s="192"/>
      <c r="K19" s="205">
        <v>86</v>
      </c>
      <c r="L19" s="526">
        <v>86.81</v>
      </c>
      <c r="M19" s="526"/>
      <c r="N19" s="236">
        <f t="shared" si="0"/>
        <v>86.81</v>
      </c>
      <c r="O19" s="192"/>
      <c r="P19" s="192"/>
      <c r="Q19" s="927" t="s">
        <v>237</v>
      </c>
      <c r="R19" s="909"/>
      <c r="S19" s="893"/>
      <c r="T19" s="909"/>
      <c r="U19" s="893" t="s">
        <v>238</v>
      </c>
      <c r="V19" s="893">
        <f>227071+64164</f>
        <v>291235</v>
      </c>
      <c r="W19" s="893">
        <f>262455+73117</f>
        <v>335572</v>
      </c>
      <c r="X19" s="893" t="s">
        <v>226</v>
      </c>
      <c r="Y19" s="893" t="s">
        <v>225</v>
      </c>
      <c r="Z19" s="893" t="s">
        <v>232</v>
      </c>
      <c r="AA19" s="985">
        <f>+V19+W19</f>
        <v>626807</v>
      </c>
    </row>
    <row r="20" spans="1:27" ht="31.5" customHeight="1" x14ac:dyDescent="0.25">
      <c r="A20" s="902"/>
      <c r="B20" s="905"/>
      <c r="C20" s="913"/>
      <c r="D20" s="335" t="s">
        <v>36</v>
      </c>
      <c r="E20" s="207">
        <f>814040875*5.8/12.2+500000000+487129625/4+400000000-500+1597350000/4</f>
        <v>1808122445.1844263</v>
      </c>
      <c r="F20" s="207">
        <v>210197500</v>
      </c>
      <c r="G20" s="523">
        <f>814040875*5.8/12.2+500000000+487129625/4+400000000-500+1597350000/4</f>
        <v>1808122445.1844263</v>
      </c>
      <c r="H20" s="508">
        <v>1628122945.1844263</v>
      </c>
      <c r="I20" s="207"/>
      <c r="J20" s="192"/>
      <c r="K20" s="207">
        <f>1230983900/4</f>
        <v>307745975</v>
      </c>
      <c r="L20" s="191">
        <f>1668193247/4+754040875/3</f>
        <v>668395270.08333337</v>
      </c>
      <c r="M20" s="191"/>
      <c r="N20" s="236">
        <f t="shared" si="0"/>
        <v>668395270.08333337</v>
      </c>
      <c r="O20" s="192"/>
      <c r="P20" s="192"/>
      <c r="Q20" s="927"/>
      <c r="R20" s="909"/>
      <c r="S20" s="893"/>
      <c r="T20" s="909"/>
      <c r="U20" s="893"/>
      <c r="V20" s="893"/>
      <c r="W20" s="893"/>
      <c r="X20" s="893"/>
      <c r="Y20" s="893"/>
      <c r="Z20" s="893"/>
      <c r="AA20" s="985"/>
    </row>
    <row r="21" spans="1:27" ht="31.5" customHeight="1" x14ac:dyDescent="0.25">
      <c r="A21" s="902"/>
      <c r="B21" s="905"/>
      <c r="C21" s="913"/>
      <c r="D21" s="335" t="s">
        <v>37</v>
      </c>
      <c r="E21" s="229"/>
      <c r="F21" s="229"/>
      <c r="G21" s="527"/>
      <c r="H21" s="525"/>
      <c r="I21" s="205"/>
      <c r="J21" s="192"/>
      <c r="K21" s="229"/>
      <c r="L21" s="192"/>
      <c r="M21" s="192"/>
      <c r="N21" s="236">
        <f t="shared" si="0"/>
        <v>0</v>
      </c>
      <c r="O21" s="192"/>
      <c r="P21" s="192"/>
      <c r="Q21" s="927"/>
      <c r="R21" s="909"/>
      <c r="S21" s="893"/>
      <c r="T21" s="909"/>
      <c r="U21" s="893"/>
      <c r="V21" s="893"/>
      <c r="W21" s="893"/>
      <c r="X21" s="893"/>
      <c r="Y21" s="893"/>
      <c r="Z21" s="893"/>
      <c r="AA21" s="985"/>
    </row>
    <row r="22" spans="1:27" ht="31.5" customHeight="1" x14ac:dyDescent="0.25">
      <c r="A22" s="902"/>
      <c r="B22" s="905"/>
      <c r="C22" s="913"/>
      <c r="D22" s="335" t="s">
        <v>38</v>
      </c>
      <c r="E22" s="253">
        <f>124855333/4</f>
        <v>31213833.25</v>
      </c>
      <c r="F22" s="253">
        <v>371096577.41666698</v>
      </c>
      <c r="G22" s="528">
        <f>124855333/4</f>
        <v>31213833.25</v>
      </c>
      <c r="H22" s="529">
        <v>115880499.916667</v>
      </c>
      <c r="I22" s="207"/>
      <c r="J22" s="192"/>
      <c r="K22" s="207">
        <f>67782331/4</f>
        <v>16945582.75</v>
      </c>
      <c r="L22" s="236">
        <f>22227666.25+254000000/3</f>
        <v>106894332.91666667</v>
      </c>
      <c r="M22" s="236"/>
      <c r="N22" s="236">
        <f t="shared" si="0"/>
        <v>106894332.91666667</v>
      </c>
      <c r="O22" s="236"/>
      <c r="P22" s="236"/>
      <c r="Q22" s="927"/>
      <c r="R22" s="909"/>
      <c r="S22" s="893"/>
      <c r="T22" s="909"/>
      <c r="U22" s="893"/>
      <c r="V22" s="893"/>
      <c r="W22" s="893"/>
      <c r="X22" s="893"/>
      <c r="Y22" s="893"/>
      <c r="Z22" s="893"/>
      <c r="AA22" s="985"/>
    </row>
    <row r="23" spans="1:27" ht="31.5" customHeight="1" x14ac:dyDescent="0.25">
      <c r="A23" s="902"/>
      <c r="B23" s="905"/>
      <c r="C23" s="913" t="s">
        <v>235</v>
      </c>
      <c r="D23" s="471" t="s">
        <v>34</v>
      </c>
      <c r="E23" s="205">
        <v>50.88</v>
      </c>
      <c r="F23" s="205">
        <v>89.1</v>
      </c>
      <c r="G23" s="524">
        <v>50.88</v>
      </c>
      <c r="H23" s="525">
        <v>88.29</v>
      </c>
      <c r="I23" s="205"/>
      <c r="J23" s="254"/>
      <c r="K23" s="205">
        <v>89.1</v>
      </c>
      <c r="L23" s="526">
        <v>88.29</v>
      </c>
      <c r="M23" s="526"/>
      <c r="N23" s="236">
        <f t="shared" si="0"/>
        <v>88.29</v>
      </c>
      <c r="O23" s="192"/>
      <c r="P23" s="254"/>
      <c r="Q23" s="927" t="s">
        <v>239</v>
      </c>
      <c r="R23" s="909"/>
      <c r="S23" s="893"/>
      <c r="T23" s="909"/>
      <c r="U23" s="893" t="s">
        <v>238</v>
      </c>
      <c r="V23" s="893">
        <f>227071+64164+55287+414666+544454+114441+69896</f>
        <v>1489979</v>
      </c>
      <c r="W23" s="893">
        <f>262455+73117+54687+452053+602531+123939+80340</f>
        <v>1649122</v>
      </c>
      <c r="X23" s="893" t="s">
        <v>226</v>
      </c>
      <c r="Y23" s="893" t="s">
        <v>225</v>
      </c>
      <c r="Z23" s="893" t="s">
        <v>232</v>
      </c>
      <c r="AA23" s="985">
        <f>+V23+W23</f>
        <v>3139101</v>
      </c>
    </row>
    <row r="24" spans="1:27" ht="31.5" customHeight="1" x14ac:dyDescent="0.25">
      <c r="A24" s="902"/>
      <c r="B24" s="905"/>
      <c r="C24" s="913"/>
      <c r="D24" s="335" t="s">
        <v>36</v>
      </c>
      <c r="E24" s="207">
        <f>814040875*6.4/12.2+487129625/4+500000000+1597350000/4</f>
        <v>1448157742.3155737</v>
      </c>
      <c r="F24" s="207">
        <v>309630283</v>
      </c>
      <c r="G24" s="523">
        <f>814040875*6.4/12.2+487129625/4+500000000+1597350000/4</f>
        <v>1448157742.3155737</v>
      </c>
      <c r="H24" s="508">
        <v>1298157742.3155701</v>
      </c>
      <c r="I24" s="207"/>
      <c r="J24" s="192"/>
      <c r="K24" s="207">
        <f>1230983900/4</f>
        <v>307745975</v>
      </c>
      <c r="L24" s="191">
        <f>1668193247/4+754040875/3</f>
        <v>668395270.08333337</v>
      </c>
      <c r="M24" s="191"/>
      <c r="N24" s="236">
        <f t="shared" si="0"/>
        <v>668395270.08333337</v>
      </c>
      <c r="O24" s="192"/>
      <c r="P24" s="192"/>
      <c r="Q24" s="927"/>
      <c r="R24" s="909"/>
      <c r="S24" s="893"/>
      <c r="T24" s="909"/>
      <c r="U24" s="893"/>
      <c r="V24" s="893"/>
      <c r="W24" s="893"/>
      <c r="X24" s="893"/>
      <c r="Y24" s="893"/>
      <c r="Z24" s="893"/>
      <c r="AA24" s="985"/>
    </row>
    <row r="25" spans="1:27" ht="31.5" customHeight="1" x14ac:dyDescent="0.25">
      <c r="A25" s="902"/>
      <c r="B25" s="905"/>
      <c r="C25" s="913"/>
      <c r="D25" s="335" t="s">
        <v>37</v>
      </c>
      <c r="E25" s="229"/>
      <c r="F25" s="229"/>
      <c r="G25" s="527"/>
      <c r="H25" s="506"/>
      <c r="I25" s="205"/>
      <c r="J25" s="192"/>
      <c r="K25" s="229"/>
      <c r="L25" s="192"/>
      <c r="M25" s="192"/>
      <c r="N25" s="236">
        <f t="shared" si="0"/>
        <v>0</v>
      </c>
      <c r="O25" s="192"/>
      <c r="P25" s="192"/>
      <c r="Q25" s="927"/>
      <c r="R25" s="909"/>
      <c r="S25" s="893"/>
      <c r="T25" s="909"/>
      <c r="U25" s="893"/>
      <c r="V25" s="893"/>
      <c r="W25" s="893"/>
      <c r="X25" s="893"/>
      <c r="Y25" s="893"/>
      <c r="Z25" s="893"/>
      <c r="AA25" s="985"/>
    </row>
    <row r="26" spans="1:27" ht="31.5" customHeight="1" x14ac:dyDescent="0.25">
      <c r="A26" s="902"/>
      <c r="B26" s="905"/>
      <c r="C26" s="913"/>
      <c r="D26" s="335" t="s">
        <v>38</v>
      </c>
      <c r="E26" s="253">
        <f>254000000+124855333/4+85346473</f>
        <v>370560306.25</v>
      </c>
      <c r="F26" s="253">
        <v>524750370.08333302</v>
      </c>
      <c r="G26" s="528">
        <f>254000000+124855333/4+85346473</f>
        <v>370560306.25</v>
      </c>
      <c r="H26" s="529">
        <v>201226972.91666701</v>
      </c>
      <c r="I26" s="207"/>
      <c r="J26" s="192"/>
      <c r="K26" s="207">
        <f>67782331/4+56345240</f>
        <v>73290822.75</v>
      </c>
      <c r="L26" s="236">
        <f>22227666.25+254000000/3+56345240</f>
        <v>163239572.91666669</v>
      </c>
      <c r="M26" s="236"/>
      <c r="N26" s="236">
        <f t="shared" si="0"/>
        <v>163239572.91666669</v>
      </c>
      <c r="O26" s="236"/>
      <c r="P26" s="236"/>
      <c r="Q26" s="927"/>
      <c r="R26" s="909"/>
      <c r="S26" s="893"/>
      <c r="T26" s="909"/>
      <c r="U26" s="893"/>
      <c r="V26" s="893"/>
      <c r="W26" s="893"/>
      <c r="X26" s="893"/>
      <c r="Y26" s="893"/>
      <c r="Z26" s="893"/>
      <c r="AA26" s="985"/>
    </row>
    <row r="27" spans="1:27" ht="38.25" customHeight="1" x14ac:dyDescent="0.25">
      <c r="A27" s="902"/>
      <c r="B27" s="905"/>
      <c r="C27" s="913" t="s">
        <v>236</v>
      </c>
      <c r="D27" s="471" t="s">
        <v>34</v>
      </c>
      <c r="E27" s="205">
        <v>35.11</v>
      </c>
      <c r="F27" s="205">
        <v>20.11</v>
      </c>
      <c r="G27" s="524">
        <v>35.11</v>
      </c>
      <c r="H27" s="525">
        <v>25.64</v>
      </c>
      <c r="I27" s="205"/>
      <c r="J27" s="192"/>
      <c r="K27" s="205">
        <v>20.11</v>
      </c>
      <c r="L27" s="526">
        <v>20.11</v>
      </c>
      <c r="M27" s="526"/>
      <c r="N27" s="236">
        <f t="shared" si="0"/>
        <v>20.11</v>
      </c>
      <c r="O27" s="192"/>
      <c r="P27" s="192"/>
      <c r="Q27" s="941" t="s">
        <v>240</v>
      </c>
      <c r="R27" s="909"/>
      <c r="S27" s="893"/>
      <c r="T27" s="909"/>
      <c r="U27" s="893" t="s">
        <v>238</v>
      </c>
      <c r="V27" s="893">
        <f>198924+55287+12784+49712+184898+126417+69896+514716+175668</f>
        <v>1388302</v>
      </c>
      <c r="W27" s="893">
        <f>208492+54687+11356+48925+191162+131737+80340+540134+195308</f>
        <v>1462141</v>
      </c>
      <c r="X27" s="893" t="s">
        <v>226</v>
      </c>
      <c r="Y27" s="893" t="s">
        <v>225</v>
      </c>
      <c r="Z27" s="893" t="s">
        <v>232</v>
      </c>
      <c r="AA27" s="985">
        <f>+V27+W27</f>
        <v>2850443</v>
      </c>
    </row>
    <row r="28" spans="1:27" ht="38.25" customHeight="1" x14ac:dyDescent="0.25">
      <c r="A28" s="902"/>
      <c r="B28" s="905"/>
      <c r="C28" s="913"/>
      <c r="D28" s="335" t="s">
        <v>36</v>
      </c>
      <c r="E28" s="207">
        <f>300000000+487129625/4+400000000+1597350000/4</f>
        <v>1221119906.25</v>
      </c>
      <c r="F28" s="207">
        <v>357305487</v>
      </c>
      <c r="G28" s="523">
        <f>300000000+487129625/4+400000000+1597350000/4</f>
        <v>1221119906.25</v>
      </c>
      <c r="H28" s="508">
        <v>1031119906.25</v>
      </c>
      <c r="I28" s="207"/>
      <c r="J28" s="192"/>
      <c r="K28" s="207">
        <f>1230983900/4</f>
        <v>307745975</v>
      </c>
      <c r="L28" s="191">
        <f>1668193247/4+360000000</f>
        <v>777048311.75</v>
      </c>
      <c r="M28" s="191"/>
      <c r="N28" s="236">
        <f t="shared" si="0"/>
        <v>777048311.75</v>
      </c>
      <c r="O28" s="192"/>
      <c r="P28" s="192"/>
      <c r="Q28" s="941"/>
      <c r="R28" s="909"/>
      <c r="S28" s="893"/>
      <c r="T28" s="909"/>
      <c r="U28" s="893"/>
      <c r="V28" s="893"/>
      <c r="W28" s="893"/>
      <c r="X28" s="893"/>
      <c r="Y28" s="893"/>
      <c r="Z28" s="893"/>
      <c r="AA28" s="985"/>
    </row>
    <row r="29" spans="1:27" ht="38.25" customHeight="1" x14ac:dyDescent="0.25">
      <c r="A29" s="902"/>
      <c r="B29" s="905"/>
      <c r="C29" s="913"/>
      <c r="D29" s="335" t="s">
        <v>37</v>
      </c>
      <c r="E29" s="205"/>
      <c r="F29" s="205"/>
      <c r="G29" s="524"/>
      <c r="H29" s="525"/>
      <c r="I29" s="205"/>
      <c r="J29" s="192"/>
      <c r="K29" s="205"/>
      <c r="L29" s="192"/>
      <c r="M29" s="192"/>
      <c r="N29" s="236">
        <f t="shared" si="0"/>
        <v>0</v>
      </c>
      <c r="O29" s="192"/>
      <c r="P29" s="192"/>
      <c r="Q29" s="941"/>
      <c r="R29" s="909"/>
      <c r="S29" s="893"/>
      <c r="T29" s="909"/>
      <c r="U29" s="893"/>
      <c r="V29" s="893"/>
      <c r="W29" s="893"/>
      <c r="X29" s="893"/>
      <c r="Y29" s="893"/>
      <c r="Z29" s="893"/>
      <c r="AA29" s="985"/>
    </row>
    <row r="30" spans="1:27" ht="38.25" customHeight="1" x14ac:dyDescent="0.25">
      <c r="A30" s="902"/>
      <c r="B30" s="905"/>
      <c r="C30" s="913"/>
      <c r="D30" s="335" t="s">
        <v>38</v>
      </c>
      <c r="E30" s="255">
        <f>124855333/4+132397199</f>
        <v>163611032.25</v>
      </c>
      <c r="F30" s="255">
        <v>309124242.75</v>
      </c>
      <c r="G30" s="530">
        <f>124855333/4+132397199</f>
        <v>163611032.25</v>
      </c>
      <c r="H30" s="531">
        <v>248277698.91666701</v>
      </c>
      <c r="I30" s="207"/>
      <c r="J30" s="192"/>
      <c r="K30" s="207">
        <f>67782331/4+88264792</f>
        <v>105210374.75</v>
      </c>
      <c r="L30" s="236">
        <f>22227666.25+254000000/3+88264792</f>
        <v>195159124.91666669</v>
      </c>
      <c r="M30" s="236"/>
      <c r="N30" s="236">
        <f t="shared" si="0"/>
        <v>195159124.91666669</v>
      </c>
      <c r="O30" s="236"/>
      <c r="P30" s="236"/>
      <c r="Q30" s="941"/>
      <c r="R30" s="909"/>
      <c r="S30" s="893"/>
      <c r="T30" s="909"/>
      <c r="U30" s="893"/>
      <c r="V30" s="893"/>
      <c r="W30" s="893"/>
      <c r="X30" s="893"/>
      <c r="Y30" s="893"/>
      <c r="Z30" s="893"/>
      <c r="AA30" s="985"/>
    </row>
    <row r="31" spans="1:27" ht="38.25" customHeight="1" x14ac:dyDescent="0.25">
      <c r="A31" s="902"/>
      <c r="B31" s="905"/>
      <c r="C31" s="913" t="s">
        <v>391</v>
      </c>
      <c r="D31" s="471" t="s">
        <v>34</v>
      </c>
      <c r="E31" s="230">
        <f>E15+E19+E23+E27</f>
        <v>234</v>
      </c>
      <c r="F31" s="230">
        <v>217.20999999999998</v>
      </c>
      <c r="G31" s="532">
        <f>G15+G19+G23+G27</f>
        <v>234</v>
      </c>
      <c r="H31" s="533">
        <v>234.29000000000002</v>
      </c>
      <c r="I31" s="207"/>
      <c r="J31" s="192"/>
      <c r="K31" s="230">
        <f>K15+K19+K23+K27</f>
        <v>217.29500000000002</v>
      </c>
      <c r="L31" s="317">
        <f>L15+L19+L23+L27</f>
        <v>218.42000000000002</v>
      </c>
      <c r="M31" s="317">
        <v>218.42000000000002</v>
      </c>
      <c r="N31" s="236">
        <f t="shared" si="0"/>
        <v>0</v>
      </c>
      <c r="O31" s="207"/>
      <c r="P31" s="230"/>
      <c r="Q31" s="274"/>
      <c r="R31" s="274"/>
      <c r="S31" s="274"/>
      <c r="T31" s="274"/>
      <c r="U31" s="274"/>
      <c r="V31" s="274"/>
      <c r="W31" s="274"/>
      <c r="X31" s="274"/>
      <c r="Y31" s="274"/>
      <c r="Z31" s="274"/>
      <c r="AA31" s="275"/>
    </row>
    <row r="32" spans="1:27" ht="38.25" customHeight="1" x14ac:dyDescent="0.25">
      <c r="A32" s="902"/>
      <c r="B32" s="905"/>
      <c r="C32" s="913"/>
      <c r="D32" s="335" t="s">
        <v>36</v>
      </c>
      <c r="E32" s="207">
        <f>E16+E20+E24+E28</f>
        <v>5298520000</v>
      </c>
      <c r="F32" s="207">
        <v>1087330770</v>
      </c>
      <c r="G32" s="523">
        <f>G16+G20+G24+G28</f>
        <v>5298520000</v>
      </c>
      <c r="H32" s="508">
        <v>4778520499.9999962</v>
      </c>
      <c r="I32" s="207"/>
      <c r="J32" s="508"/>
      <c r="K32" s="207">
        <f>K16+K20+K24+K28</f>
        <v>1230983900</v>
      </c>
      <c r="L32" s="191">
        <f>L16+L20+L24+L28</f>
        <v>2782234122</v>
      </c>
      <c r="M32" s="191">
        <v>2782234122</v>
      </c>
      <c r="N32" s="236">
        <f t="shared" si="0"/>
        <v>0</v>
      </c>
      <c r="O32" s="207"/>
      <c r="P32" s="207"/>
      <c r="Q32" s="274"/>
      <c r="R32" s="274"/>
      <c r="S32" s="274"/>
      <c r="T32" s="274"/>
      <c r="U32" s="274"/>
      <c r="V32" s="274"/>
      <c r="W32" s="274"/>
      <c r="X32" s="274"/>
      <c r="Y32" s="274"/>
      <c r="Z32" s="274"/>
      <c r="AA32" s="275"/>
    </row>
    <row r="33" spans="1:27" ht="38.25" customHeight="1" x14ac:dyDescent="0.25">
      <c r="A33" s="902"/>
      <c r="B33" s="905"/>
      <c r="C33" s="913"/>
      <c r="D33" s="335" t="s">
        <v>37</v>
      </c>
      <c r="E33" s="207">
        <f t="shared" ref="E33:G34" si="1">E17+E21+E25+E29</f>
        <v>0</v>
      </c>
      <c r="F33" s="207"/>
      <c r="G33" s="523">
        <f t="shared" si="1"/>
        <v>0</v>
      </c>
      <c r="H33" s="508">
        <v>0</v>
      </c>
      <c r="I33" s="207"/>
      <c r="J33" s="292"/>
      <c r="K33" s="207">
        <f t="shared" ref="K33:L34" si="2">K17+K21+K25+K29</f>
        <v>0</v>
      </c>
      <c r="L33" s="236"/>
      <c r="M33" s="236"/>
      <c r="N33" s="236">
        <f t="shared" si="0"/>
        <v>0</v>
      </c>
      <c r="O33" s="207"/>
      <c r="P33" s="230"/>
      <c r="Q33" s="274"/>
      <c r="R33" s="274"/>
      <c r="S33" s="274"/>
      <c r="T33" s="274"/>
      <c r="U33" s="274"/>
      <c r="V33" s="274"/>
      <c r="W33" s="274"/>
      <c r="X33" s="274"/>
      <c r="Y33" s="274"/>
      <c r="Z33" s="274"/>
      <c r="AA33" s="275"/>
    </row>
    <row r="34" spans="1:27" ht="38.25" customHeight="1" thickBot="1" x14ac:dyDescent="0.3">
      <c r="A34" s="903"/>
      <c r="B34" s="906"/>
      <c r="C34" s="942"/>
      <c r="D34" s="468" t="s">
        <v>38</v>
      </c>
      <c r="E34" s="477">
        <f t="shared" si="1"/>
        <v>596599005</v>
      </c>
      <c r="F34" s="477">
        <v>1375507087</v>
      </c>
      <c r="G34" s="534">
        <f t="shared" si="1"/>
        <v>596599005</v>
      </c>
      <c r="H34" s="535">
        <v>596599005.00000036</v>
      </c>
      <c r="I34" s="208"/>
      <c r="J34" s="293"/>
      <c r="K34" s="477">
        <f t="shared" si="2"/>
        <v>212392363</v>
      </c>
      <c r="L34" s="477">
        <f t="shared" si="2"/>
        <v>487520697.00000006</v>
      </c>
      <c r="M34" s="477">
        <v>487520697</v>
      </c>
      <c r="N34" s="204">
        <f t="shared" si="0"/>
        <v>0</v>
      </c>
      <c r="O34" s="208"/>
      <c r="P34" s="294"/>
      <c r="Q34" s="276"/>
      <c r="R34" s="276"/>
      <c r="S34" s="276"/>
      <c r="T34" s="276"/>
      <c r="U34" s="276"/>
      <c r="V34" s="276"/>
      <c r="W34" s="276"/>
      <c r="X34" s="276"/>
      <c r="Y34" s="276"/>
      <c r="Z34" s="276"/>
      <c r="AA34" s="277"/>
    </row>
    <row r="35" spans="1:27" ht="48" customHeight="1" x14ac:dyDescent="0.25">
      <c r="A35" s="901">
        <v>4</v>
      </c>
      <c r="B35" s="904" t="s">
        <v>165</v>
      </c>
      <c r="C35" s="904" t="s">
        <v>242</v>
      </c>
      <c r="D35" s="467" t="s">
        <v>34</v>
      </c>
      <c r="E35" s="209">
        <f>69.93+26</f>
        <v>95.93</v>
      </c>
      <c r="F35" s="209">
        <v>69.929999999999993</v>
      </c>
      <c r="G35" s="522">
        <f>69.93+26</f>
        <v>95.93</v>
      </c>
      <c r="H35" s="476">
        <v>95.93</v>
      </c>
      <c r="I35" s="209"/>
      <c r="J35" s="209"/>
      <c r="K35" s="209">
        <v>74.430000000000007</v>
      </c>
      <c r="L35" s="209">
        <v>85.93</v>
      </c>
      <c r="M35" s="209">
        <v>85.93</v>
      </c>
      <c r="N35" s="264">
        <f t="shared" si="0"/>
        <v>0</v>
      </c>
      <c r="O35" s="209"/>
      <c r="P35" s="209"/>
      <c r="Q35" s="938" t="s">
        <v>377</v>
      </c>
      <c r="R35" s="963"/>
      <c r="S35" s="963"/>
      <c r="T35" s="963"/>
      <c r="U35" s="938" t="s">
        <v>378</v>
      </c>
      <c r="V35" s="938" t="s">
        <v>379</v>
      </c>
      <c r="W35" s="938" t="s">
        <v>380</v>
      </c>
      <c r="X35" s="934" t="s">
        <v>231</v>
      </c>
      <c r="Y35" s="934" t="s">
        <v>225</v>
      </c>
      <c r="Z35" s="934" t="s">
        <v>232</v>
      </c>
      <c r="AA35" s="987" t="s">
        <v>381</v>
      </c>
    </row>
    <row r="36" spans="1:27" ht="48" customHeight="1" x14ac:dyDescent="0.25">
      <c r="A36" s="902"/>
      <c r="B36" s="905"/>
      <c r="C36" s="905"/>
      <c r="D36" s="335" t="s">
        <v>36</v>
      </c>
      <c r="E36" s="207">
        <v>200938500</v>
      </c>
      <c r="F36" s="207">
        <v>407810000</v>
      </c>
      <c r="G36" s="523">
        <v>200938500</v>
      </c>
      <c r="H36" s="508">
        <v>280938000</v>
      </c>
      <c r="I36" s="207"/>
      <c r="J36" s="207"/>
      <c r="K36" s="207">
        <v>94955700</v>
      </c>
      <c r="L36" s="295">
        <v>271940600</v>
      </c>
      <c r="M36" s="295">
        <v>271940600</v>
      </c>
      <c r="N36" s="236">
        <f t="shared" si="0"/>
        <v>0</v>
      </c>
      <c r="O36" s="207"/>
      <c r="P36" s="207"/>
      <c r="Q36" s="939"/>
      <c r="R36" s="964"/>
      <c r="S36" s="964"/>
      <c r="T36" s="964"/>
      <c r="U36" s="939"/>
      <c r="V36" s="964"/>
      <c r="W36" s="964"/>
      <c r="X36" s="935"/>
      <c r="Y36" s="935"/>
      <c r="Z36" s="935"/>
      <c r="AA36" s="988"/>
    </row>
    <row r="37" spans="1:27" ht="48" customHeight="1" x14ac:dyDescent="0.25">
      <c r="A37" s="902"/>
      <c r="B37" s="905"/>
      <c r="C37" s="937"/>
      <c r="D37" s="335" t="s">
        <v>37</v>
      </c>
      <c r="E37" s="210"/>
      <c r="F37" s="210">
        <v>0</v>
      </c>
      <c r="G37" s="536"/>
      <c r="H37" s="537"/>
      <c r="I37" s="210"/>
      <c r="J37" s="296"/>
      <c r="K37" s="210"/>
      <c r="L37" s="296"/>
      <c r="M37" s="296"/>
      <c r="N37" s="236">
        <f t="shared" si="0"/>
        <v>0</v>
      </c>
      <c r="O37" s="210"/>
      <c r="P37" s="205"/>
      <c r="Q37" s="939"/>
      <c r="R37" s="964"/>
      <c r="S37" s="964"/>
      <c r="T37" s="964"/>
      <c r="U37" s="939"/>
      <c r="V37" s="964"/>
      <c r="W37" s="964"/>
      <c r="X37" s="935"/>
      <c r="Y37" s="935"/>
      <c r="Z37" s="935"/>
      <c r="AA37" s="988"/>
    </row>
    <row r="38" spans="1:27" ht="48" customHeight="1" thickBot="1" x14ac:dyDescent="0.3">
      <c r="A38" s="903"/>
      <c r="B38" s="920"/>
      <c r="C38" s="920"/>
      <c r="D38" s="470" t="s">
        <v>38</v>
      </c>
      <c r="E38" s="472">
        <v>102153108.33</v>
      </c>
      <c r="F38" s="472">
        <v>105696611</v>
      </c>
      <c r="G38" s="538">
        <v>102153108.33</v>
      </c>
      <c r="H38" s="539">
        <v>102153108.33</v>
      </c>
      <c r="I38" s="211"/>
      <c r="J38" s="473"/>
      <c r="K38" s="472">
        <v>64344442</v>
      </c>
      <c r="L38" s="473">
        <v>100397108.33</v>
      </c>
      <c r="M38" s="473">
        <v>100397108.33</v>
      </c>
      <c r="N38" s="252">
        <f t="shared" si="0"/>
        <v>0</v>
      </c>
      <c r="O38" s="211"/>
      <c r="P38" s="211"/>
      <c r="Q38" s="940"/>
      <c r="R38" s="965"/>
      <c r="S38" s="965"/>
      <c r="T38" s="965"/>
      <c r="U38" s="940"/>
      <c r="V38" s="965"/>
      <c r="W38" s="965"/>
      <c r="X38" s="936"/>
      <c r="Y38" s="936"/>
      <c r="Z38" s="936"/>
      <c r="AA38" s="989"/>
    </row>
    <row r="39" spans="1:27" ht="48" customHeight="1" x14ac:dyDescent="0.25">
      <c r="A39" s="922">
        <v>5</v>
      </c>
      <c r="B39" s="901" t="s">
        <v>368</v>
      </c>
      <c r="C39" s="933" t="s">
        <v>244</v>
      </c>
      <c r="D39" s="467" t="s">
        <v>34</v>
      </c>
      <c r="E39" s="212">
        <v>1</v>
      </c>
      <c r="F39" s="212">
        <v>1</v>
      </c>
      <c r="G39" s="212">
        <v>1</v>
      </c>
      <c r="H39" s="540">
        <v>1</v>
      </c>
      <c r="I39" s="212"/>
      <c r="J39" s="212"/>
      <c r="K39" s="212">
        <v>1</v>
      </c>
      <c r="L39" s="212">
        <v>1</v>
      </c>
      <c r="M39" s="212"/>
      <c r="N39" s="264">
        <f t="shared" si="0"/>
        <v>1</v>
      </c>
      <c r="O39" s="212"/>
      <c r="P39" s="212"/>
      <c r="Q39" s="895" t="s">
        <v>253</v>
      </c>
      <c r="R39" s="895" t="s">
        <v>254</v>
      </c>
      <c r="S39" s="966"/>
      <c r="T39" s="968" t="s">
        <v>252</v>
      </c>
      <c r="U39" s="968" t="s">
        <v>243</v>
      </c>
      <c r="V39" s="969">
        <v>54330</v>
      </c>
      <c r="W39" s="969">
        <v>59465</v>
      </c>
      <c r="X39" s="892" t="s">
        <v>231</v>
      </c>
      <c r="Y39" s="892" t="s">
        <v>225</v>
      </c>
      <c r="Z39" s="892" t="s">
        <v>232</v>
      </c>
      <c r="AA39" s="984">
        <f>+V39+W39</f>
        <v>113795</v>
      </c>
    </row>
    <row r="40" spans="1:27" ht="48" customHeight="1" x14ac:dyDescent="0.25">
      <c r="A40" s="923"/>
      <c r="B40" s="902"/>
      <c r="C40" s="899"/>
      <c r="D40" s="335" t="s">
        <v>36</v>
      </c>
      <c r="E40" s="214">
        <f>100000000+236500000+41962200</f>
        <v>378462200</v>
      </c>
      <c r="F40" s="214">
        <v>427024134</v>
      </c>
      <c r="G40" s="214">
        <f>100000000+236500000+41962200</f>
        <v>378462200</v>
      </c>
      <c r="H40" s="541">
        <v>378462200</v>
      </c>
      <c r="I40" s="214"/>
      <c r="J40" s="214"/>
      <c r="K40" s="214">
        <v>104109960</v>
      </c>
      <c r="L40" s="207">
        <f>93034750+235195350/8+212000000+64394000/8</f>
        <v>342483418.75</v>
      </c>
      <c r="M40" s="207"/>
      <c r="N40" s="236">
        <f t="shared" si="0"/>
        <v>342483418.75</v>
      </c>
      <c r="O40" s="207"/>
      <c r="P40" s="207"/>
      <c r="Q40" s="891"/>
      <c r="R40" s="891"/>
      <c r="S40" s="967"/>
      <c r="T40" s="961"/>
      <c r="U40" s="961"/>
      <c r="V40" s="962"/>
      <c r="W40" s="962"/>
      <c r="X40" s="893"/>
      <c r="Y40" s="893"/>
      <c r="Z40" s="893"/>
      <c r="AA40" s="985"/>
    </row>
    <row r="41" spans="1:27" ht="48" customHeight="1" x14ac:dyDescent="0.25">
      <c r="A41" s="923"/>
      <c r="B41" s="902"/>
      <c r="C41" s="899"/>
      <c r="D41" s="335" t="s">
        <v>37</v>
      </c>
      <c r="E41" s="215"/>
      <c r="F41" s="215"/>
      <c r="G41" s="215"/>
      <c r="H41" s="509"/>
      <c r="I41" s="215"/>
      <c r="J41" s="221"/>
      <c r="K41" s="207"/>
      <c r="L41" s="207"/>
      <c r="M41" s="207"/>
      <c r="N41" s="236">
        <f t="shared" si="0"/>
        <v>0</v>
      </c>
      <c r="O41" s="207"/>
      <c r="P41" s="207"/>
      <c r="Q41" s="891"/>
      <c r="R41" s="891"/>
      <c r="S41" s="967"/>
      <c r="T41" s="961"/>
      <c r="U41" s="961"/>
      <c r="V41" s="962"/>
      <c r="W41" s="962"/>
      <c r="X41" s="893"/>
      <c r="Y41" s="893"/>
      <c r="Z41" s="893"/>
      <c r="AA41" s="985"/>
    </row>
    <row r="42" spans="1:27" ht="48" customHeight="1" x14ac:dyDescent="0.25">
      <c r="A42" s="923"/>
      <c r="B42" s="902"/>
      <c r="C42" s="899"/>
      <c r="D42" s="335" t="s">
        <v>38</v>
      </c>
      <c r="E42" s="214">
        <v>202070599</v>
      </c>
      <c r="F42" s="214">
        <v>510363744.66666669</v>
      </c>
      <c r="G42" s="214">
        <v>202070599</v>
      </c>
      <c r="H42" s="541">
        <v>202070599</v>
      </c>
      <c r="I42" s="214"/>
      <c r="J42" s="207"/>
      <c r="K42" s="207">
        <v>94045350</v>
      </c>
      <c r="L42" s="207">
        <f>169984055+19118628+4942667</f>
        <v>194045350</v>
      </c>
      <c r="M42" s="207"/>
      <c r="N42" s="236">
        <f t="shared" si="0"/>
        <v>194045350</v>
      </c>
      <c r="O42" s="207"/>
      <c r="P42" s="207"/>
      <c r="Q42" s="891"/>
      <c r="R42" s="891"/>
      <c r="S42" s="967"/>
      <c r="T42" s="961"/>
      <c r="U42" s="961"/>
      <c r="V42" s="962"/>
      <c r="W42" s="962"/>
      <c r="X42" s="893"/>
      <c r="Y42" s="893"/>
      <c r="Z42" s="893"/>
      <c r="AA42" s="985"/>
    </row>
    <row r="43" spans="1:27" ht="48" customHeight="1" x14ac:dyDescent="0.25">
      <c r="A43" s="923"/>
      <c r="B43" s="902"/>
      <c r="C43" s="899" t="s">
        <v>245</v>
      </c>
      <c r="D43" s="471" t="s">
        <v>34</v>
      </c>
      <c r="E43" s="216">
        <v>0</v>
      </c>
      <c r="F43" s="216">
        <v>0.2</v>
      </c>
      <c r="G43" s="216">
        <v>0</v>
      </c>
      <c r="H43" s="542">
        <v>0</v>
      </c>
      <c r="I43" s="216"/>
      <c r="J43" s="221"/>
      <c r="K43" s="216"/>
      <c r="L43" s="216"/>
      <c r="M43" s="216"/>
      <c r="N43" s="236">
        <f t="shared" si="0"/>
        <v>0</v>
      </c>
      <c r="O43" s="221"/>
      <c r="P43" s="221"/>
      <c r="Q43" s="891" t="s">
        <v>255</v>
      </c>
      <c r="R43" s="891" t="s">
        <v>256</v>
      </c>
      <c r="S43" s="961" t="s">
        <v>257</v>
      </c>
      <c r="T43" s="961" t="s">
        <v>258</v>
      </c>
      <c r="U43" s="961" t="s">
        <v>271</v>
      </c>
      <c r="V43" s="962">
        <v>129501</v>
      </c>
      <c r="W43" s="962">
        <v>136560</v>
      </c>
      <c r="X43" s="893" t="s">
        <v>231</v>
      </c>
      <c r="Y43" s="893" t="s">
        <v>225</v>
      </c>
      <c r="Z43" s="893" t="s">
        <v>232</v>
      </c>
      <c r="AA43" s="985">
        <f>+V43+W43</f>
        <v>266061</v>
      </c>
    </row>
    <row r="44" spans="1:27" ht="48" customHeight="1" x14ac:dyDescent="0.25">
      <c r="A44" s="923"/>
      <c r="B44" s="902"/>
      <c r="C44" s="899"/>
      <c r="D44" s="335" t="s">
        <v>36</v>
      </c>
      <c r="E44" s="214">
        <v>0</v>
      </c>
      <c r="F44" s="214">
        <v>12410000</v>
      </c>
      <c r="G44" s="214"/>
      <c r="H44" s="541">
        <v>0</v>
      </c>
      <c r="I44" s="214"/>
      <c r="J44" s="214"/>
      <c r="K44" s="207"/>
      <c r="L44" s="207"/>
      <c r="M44" s="207"/>
      <c r="N44" s="236">
        <f t="shared" si="0"/>
        <v>0</v>
      </c>
      <c r="O44" s="207"/>
      <c r="P44" s="207"/>
      <c r="Q44" s="891"/>
      <c r="R44" s="891"/>
      <c r="S44" s="961"/>
      <c r="T44" s="961"/>
      <c r="U44" s="961"/>
      <c r="V44" s="962"/>
      <c r="W44" s="962"/>
      <c r="X44" s="893"/>
      <c r="Y44" s="893"/>
      <c r="Z44" s="893"/>
      <c r="AA44" s="985"/>
    </row>
    <row r="45" spans="1:27" ht="48" customHeight="1" x14ac:dyDescent="0.25">
      <c r="A45" s="923"/>
      <c r="B45" s="902"/>
      <c r="C45" s="899"/>
      <c r="D45" s="335" t="s">
        <v>37</v>
      </c>
      <c r="E45" s="217"/>
      <c r="F45" s="217"/>
      <c r="G45" s="217"/>
      <c r="H45" s="543"/>
      <c r="I45" s="217"/>
      <c r="J45" s="221"/>
      <c r="K45" s="207"/>
      <c r="L45" s="207"/>
      <c r="M45" s="207"/>
      <c r="N45" s="236">
        <f t="shared" si="0"/>
        <v>0</v>
      </c>
      <c r="O45" s="207"/>
      <c r="P45" s="207"/>
      <c r="Q45" s="891"/>
      <c r="R45" s="891"/>
      <c r="S45" s="961"/>
      <c r="T45" s="961"/>
      <c r="U45" s="961"/>
      <c r="V45" s="962"/>
      <c r="W45" s="962"/>
      <c r="X45" s="893"/>
      <c r="Y45" s="893"/>
      <c r="Z45" s="893"/>
      <c r="AA45" s="985"/>
    </row>
    <row r="46" spans="1:27" ht="48" customHeight="1" x14ac:dyDescent="0.25">
      <c r="A46" s="923"/>
      <c r="B46" s="902"/>
      <c r="C46" s="899"/>
      <c r="D46" s="335" t="s">
        <v>38</v>
      </c>
      <c r="E46" s="218"/>
      <c r="F46" s="218">
        <v>18977273.86514667</v>
      </c>
      <c r="G46" s="218"/>
      <c r="H46" s="544"/>
      <c r="I46" s="218"/>
      <c r="J46" s="218"/>
      <c r="K46" s="207"/>
      <c r="L46" s="207"/>
      <c r="M46" s="207"/>
      <c r="N46" s="236">
        <f t="shared" si="0"/>
        <v>0</v>
      </c>
      <c r="O46" s="207"/>
      <c r="P46" s="207"/>
      <c r="Q46" s="891"/>
      <c r="R46" s="891"/>
      <c r="S46" s="961"/>
      <c r="T46" s="961"/>
      <c r="U46" s="961"/>
      <c r="V46" s="962"/>
      <c r="W46" s="962"/>
      <c r="X46" s="893"/>
      <c r="Y46" s="893"/>
      <c r="Z46" s="893"/>
      <c r="AA46" s="985"/>
    </row>
    <row r="47" spans="1:27" ht="48" customHeight="1" x14ac:dyDescent="0.25">
      <c r="A47" s="923"/>
      <c r="B47" s="902"/>
      <c r="C47" s="899" t="s">
        <v>504</v>
      </c>
      <c r="D47" s="471" t="s">
        <v>34</v>
      </c>
      <c r="E47" s="216">
        <v>1</v>
      </c>
      <c r="F47" s="216">
        <v>0.61</v>
      </c>
      <c r="G47" s="216">
        <v>1</v>
      </c>
      <c r="H47" s="542">
        <v>1</v>
      </c>
      <c r="I47" s="256"/>
      <c r="J47" s="221"/>
      <c r="K47" s="216">
        <v>0.61</v>
      </c>
      <c r="L47" s="221">
        <v>1</v>
      </c>
      <c r="M47" s="216"/>
      <c r="N47" s="236">
        <f t="shared" si="0"/>
        <v>1</v>
      </c>
      <c r="O47" s="257"/>
      <c r="P47" s="216"/>
      <c r="Q47" s="891" t="s">
        <v>260</v>
      </c>
      <c r="R47" s="891" t="s">
        <v>262</v>
      </c>
      <c r="S47" s="961" t="s">
        <v>259</v>
      </c>
      <c r="T47" s="961" t="s">
        <v>261</v>
      </c>
      <c r="U47" s="961" t="s">
        <v>271</v>
      </c>
      <c r="V47" s="962">
        <f>29826+37771</f>
        <v>67597</v>
      </c>
      <c r="W47" s="962">
        <f>33500+39660</f>
        <v>73160</v>
      </c>
      <c r="X47" s="893" t="s">
        <v>231</v>
      </c>
      <c r="Y47" s="893" t="s">
        <v>225</v>
      </c>
      <c r="Z47" s="893" t="s">
        <v>232</v>
      </c>
      <c r="AA47" s="985">
        <f>+V47+W47</f>
        <v>140757</v>
      </c>
    </row>
    <row r="48" spans="1:27" ht="48" customHeight="1" x14ac:dyDescent="0.25">
      <c r="A48" s="923"/>
      <c r="B48" s="902"/>
      <c r="C48" s="899"/>
      <c r="D48" s="335" t="s">
        <v>36</v>
      </c>
      <c r="E48" s="214">
        <v>94405500</v>
      </c>
      <c r="F48" s="214">
        <v>79076666.666666701</v>
      </c>
      <c r="G48" s="214">
        <v>94405500</v>
      </c>
      <c r="H48" s="541">
        <v>94405500</v>
      </c>
      <c r="I48" s="214"/>
      <c r="J48" s="214"/>
      <c r="K48" s="207"/>
      <c r="L48" s="207">
        <f>235195350/8+93034750+64394000/8</f>
        <v>130483418.75</v>
      </c>
      <c r="M48" s="207"/>
      <c r="N48" s="236">
        <f t="shared" si="0"/>
        <v>130483418.75</v>
      </c>
      <c r="O48" s="207"/>
      <c r="P48" s="207"/>
      <c r="Q48" s="891"/>
      <c r="R48" s="891"/>
      <c r="S48" s="961"/>
      <c r="T48" s="961"/>
      <c r="U48" s="961"/>
      <c r="V48" s="962"/>
      <c r="W48" s="962"/>
      <c r="X48" s="893"/>
      <c r="Y48" s="893"/>
      <c r="Z48" s="893"/>
      <c r="AA48" s="985"/>
    </row>
    <row r="49" spans="1:27" ht="48" customHeight="1" x14ac:dyDescent="0.25">
      <c r="A49" s="923"/>
      <c r="B49" s="902"/>
      <c r="C49" s="899"/>
      <c r="D49" s="335" t="s">
        <v>37</v>
      </c>
      <c r="E49" s="218"/>
      <c r="F49" s="218"/>
      <c r="G49" s="218"/>
      <c r="H49" s="544"/>
      <c r="I49" s="218"/>
      <c r="J49" s="221"/>
      <c r="K49" s="207"/>
      <c r="L49" s="207"/>
      <c r="M49" s="207"/>
      <c r="N49" s="236">
        <f t="shared" si="0"/>
        <v>0</v>
      </c>
      <c r="O49" s="207"/>
      <c r="P49" s="207"/>
      <c r="Q49" s="891"/>
      <c r="R49" s="891"/>
      <c r="S49" s="961"/>
      <c r="T49" s="961"/>
      <c r="U49" s="961"/>
      <c r="V49" s="962"/>
      <c r="W49" s="962"/>
      <c r="X49" s="893"/>
      <c r="Y49" s="893"/>
      <c r="Z49" s="893"/>
      <c r="AA49" s="985"/>
    </row>
    <row r="50" spans="1:27" ht="48" customHeight="1" x14ac:dyDescent="0.25">
      <c r="A50" s="923"/>
      <c r="B50" s="902"/>
      <c r="C50" s="899"/>
      <c r="D50" s="335" t="s">
        <v>38</v>
      </c>
      <c r="E50" s="218">
        <v>50000000</v>
      </c>
      <c r="F50" s="218"/>
      <c r="G50" s="218">
        <v>50000000</v>
      </c>
      <c r="H50" s="544">
        <v>50000000</v>
      </c>
      <c r="I50" s="218"/>
      <c r="J50" s="221"/>
      <c r="K50" s="207">
        <v>50000000</v>
      </c>
      <c r="L50" s="207">
        <v>50000000</v>
      </c>
      <c r="M50" s="207"/>
      <c r="N50" s="236">
        <f t="shared" si="0"/>
        <v>50000000</v>
      </c>
      <c r="O50" s="207"/>
      <c r="P50" s="207"/>
      <c r="Q50" s="891"/>
      <c r="R50" s="891"/>
      <c r="S50" s="961"/>
      <c r="T50" s="961"/>
      <c r="U50" s="961"/>
      <c r="V50" s="962"/>
      <c r="W50" s="962"/>
      <c r="X50" s="893"/>
      <c r="Y50" s="893"/>
      <c r="Z50" s="893"/>
      <c r="AA50" s="985"/>
    </row>
    <row r="51" spans="1:27" ht="48" customHeight="1" x14ac:dyDescent="0.25">
      <c r="A51" s="923"/>
      <c r="B51" s="902"/>
      <c r="C51" s="899" t="s">
        <v>246</v>
      </c>
      <c r="D51" s="471" t="s">
        <v>34</v>
      </c>
      <c r="E51" s="321">
        <v>1</v>
      </c>
      <c r="F51" s="321">
        <v>0.3</v>
      </c>
      <c r="G51" s="321">
        <v>1</v>
      </c>
      <c r="H51" s="545">
        <v>1</v>
      </c>
      <c r="I51" s="216"/>
      <c r="J51" s="221"/>
      <c r="K51" s="221">
        <v>0.3</v>
      </c>
      <c r="L51" s="216">
        <v>0.3</v>
      </c>
      <c r="M51" s="216"/>
      <c r="N51" s="236">
        <f t="shared" si="0"/>
        <v>0.3</v>
      </c>
      <c r="O51" s="225"/>
      <c r="P51" s="216"/>
      <c r="Q51" s="891" t="s">
        <v>263</v>
      </c>
      <c r="R51" s="891" t="s">
        <v>264</v>
      </c>
      <c r="S51" s="891" t="s">
        <v>265</v>
      </c>
      <c r="T51" s="961" t="s">
        <v>268</v>
      </c>
      <c r="U51" s="961" t="s">
        <v>271</v>
      </c>
      <c r="V51" s="962">
        <v>16624</v>
      </c>
      <c r="W51" s="962">
        <v>17767</v>
      </c>
      <c r="X51" s="893" t="s">
        <v>231</v>
      </c>
      <c r="Y51" s="893" t="s">
        <v>225</v>
      </c>
      <c r="Z51" s="893" t="s">
        <v>232</v>
      </c>
      <c r="AA51" s="985">
        <f>+V51+W51</f>
        <v>34391</v>
      </c>
    </row>
    <row r="52" spans="1:27" ht="48" customHeight="1" x14ac:dyDescent="0.25">
      <c r="A52" s="923"/>
      <c r="B52" s="902"/>
      <c r="C52" s="899"/>
      <c r="D52" s="335" t="s">
        <v>36</v>
      </c>
      <c r="E52" s="214">
        <v>94405500</v>
      </c>
      <c r="F52" s="214">
        <v>79076666.666666701</v>
      </c>
      <c r="G52" s="214">
        <v>94405500</v>
      </c>
      <c r="H52" s="541">
        <v>94405500</v>
      </c>
      <c r="I52" s="214"/>
      <c r="J52" s="214"/>
      <c r="K52" s="207"/>
      <c r="L52" s="207">
        <f>93034750+235195350/8+64394000/8</f>
        <v>130483418.75</v>
      </c>
      <c r="M52" s="207"/>
      <c r="N52" s="236">
        <f t="shared" si="0"/>
        <v>130483418.75</v>
      </c>
      <c r="O52" s="207"/>
      <c r="P52" s="207"/>
      <c r="Q52" s="891"/>
      <c r="R52" s="891"/>
      <c r="S52" s="891"/>
      <c r="T52" s="961"/>
      <c r="U52" s="961"/>
      <c r="V52" s="962"/>
      <c r="W52" s="962"/>
      <c r="X52" s="893"/>
      <c r="Y52" s="893"/>
      <c r="Z52" s="893"/>
      <c r="AA52" s="985"/>
    </row>
    <row r="53" spans="1:27" ht="48" customHeight="1" x14ac:dyDescent="0.25">
      <c r="A53" s="923"/>
      <c r="B53" s="902"/>
      <c r="C53" s="899"/>
      <c r="D53" s="335" t="s">
        <v>37</v>
      </c>
      <c r="E53" s="220"/>
      <c r="F53" s="220"/>
      <c r="G53" s="220"/>
      <c r="H53" s="546"/>
      <c r="I53" s="220"/>
      <c r="J53" s="221"/>
      <c r="K53" s="207"/>
      <c r="L53" s="207"/>
      <c r="M53" s="207"/>
      <c r="N53" s="236">
        <f t="shared" si="0"/>
        <v>0</v>
      </c>
      <c r="O53" s="207"/>
      <c r="P53" s="207"/>
      <c r="Q53" s="891"/>
      <c r="R53" s="891"/>
      <c r="S53" s="891"/>
      <c r="T53" s="961"/>
      <c r="U53" s="961"/>
      <c r="V53" s="962"/>
      <c r="W53" s="962"/>
      <c r="X53" s="893"/>
      <c r="Y53" s="893"/>
      <c r="Z53" s="893"/>
      <c r="AA53" s="985"/>
    </row>
    <row r="54" spans="1:27" ht="48" customHeight="1" x14ac:dyDescent="0.25">
      <c r="A54" s="923"/>
      <c r="B54" s="902"/>
      <c r="C54" s="899"/>
      <c r="D54" s="335" t="s">
        <v>38</v>
      </c>
      <c r="E54" s="220">
        <v>50000000</v>
      </c>
      <c r="F54" s="220"/>
      <c r="G54" s="220">
        <v>50000000</v>
      </c>
      <c r="H54" s="546">
        <v>50000000</v>
      </c>
      <c r="I54" s="220"/>
      <c r="J54" s="221"/>
      <c r="K54" s="207">
        <v>50000000</v>
      </c>
      <c r="L54" s="207">
        <v>50000000</v>
      </c>
      <c r="M54" s="207"/>
      <c r="N54" s="236">
        <f t="shared" si="0"/>
        <v>50000000</v>
      </c>
      <c r="O54" s="207"/>
      <c r="P54" s="207"/>
      <c r="Q54" s="891"/>
      <c r="R54" s="891"/>
      <c r="S54" s="891"/>
      <c r="T54" s="961"/>
      <c r="U54" s="961"/>
      <c r="V54" s="962"/>
      <c r="W54" s="962"/>
      <c r="X54" s="893"/>
      <c r="Y54" s="893"/>
      <c r="Z54" s="893"/>
      <c r="AA54" s="985"/>
    </row>
    <row r="55" spans="1:27" ht="48" customHeight="1" x14ac:dyDescent="0.25">
      <c r="A55" s="923"/>
      <c r="B55" s="902"/>
      <c r="C55" s="899" t="s">
        <v>247</v>
      </c>
      <c r="D55" s="471" t="s">
        <v>34</v>
      </c>
      <c r="E55" s="221">
        <v>1</v>
      </c>
      <c r="F55" s="221">
        <v>0.61</v>
      </c>
      <c r="G55" s="221">
        <v>1</v>
      </c>
      <c r="H55" s="547">
        <v>1</v>
      </c>
      <c r="I55" s="221"/>
      <c r="J55" s="221"/>
      <c r="K55" s="221">
        <v>0.7</v>
      </c>
      <c r="L55" s="221">
        <v>0.7</v>
      </c>
      <c r="M55" s="221"/>
      <c r="N55" s="236">
        <f t="shared" si="0"/>
        <v>0.7</v>
      </c>
      <c r="O55" s="257"/>
      <c r="P55" s="216"/>
      <c r="Q55" s="891" t="s">
        <v>35</v>
      </c>
      <c r="R55" s="891" t="s">
        <v>266</v>
      </c>
      <c r="S55" s="891" t="s">
        <v>267</v>
      </c>
      <c r="T55" s="891" t="s">
        <v>269</v>
      </c>
      <c r="U55" s="961" t="s">
        <v>271</v>
      </c>
      <c r="V55" s="891">
        <v>48841</v>
      </c>
      <c r="W55" s="891">
        <v>54170</v>
      </c>
      <c r="X55" s="893" t="s">
        <v>231</v>
      </c>
      <c r="Y55" s="893" t="s">
        <v>225</v>
      </c>
      <c r="Z55" s="893" t="s">
        <v>232</v>
      </c>
      <c r="AA55" s="985">
        <f>+V55+W55</f>
        <v>103011</v>
      </c>
    </row>
    <row r="56" spans="1:27" ht="48" customHeight="1" x14ac:dyDescent="0.25">
      <c r="A56" s="923"/>
      <c r="B56" s="902"/>
      <c r="C56" s="899"/>
      <c r="D56" s="335" t="s">
        <v>36</v>
      </c>
      <c r="E56" s="214">
        <v>94405500</v>
      </c>
      <c r="F56" s="214">
        <v>79076666.666666701</v>
      </c>
      <c r="G56" s="214">
        <v>94405500</v>
      </c>
      <c r="H56" s="541">
        <v>94405500</v>
      </c>
      <c r="I56" s="214"/>
      <c r="J56" s="214"/>
      <c r="K56" s="207"/>
      <c r="L56" s="207">
        <f>93034750+235195350/8+64394000/8</f>
        <v>130483418.75</v>
      </c>
      <c r="M56" s="207"/>
      <c r="N56" s="236">
        <f t="shared" si="0"/>
        <v>130483418.75</v>
      </c>
      <c r="O56" s="207"/>
      <c r="P56" s="207"/>
      <c r="Q56" s="891"/>
      <c r="R56" s="891"/>
      <c r="S56" s="891"/>
      <c r="T56" s="891"/>
      <c r="U56" s="961"/>
      <c r="V56" s="891"/>
      <c r="W56" s="891"/>
      <c r="X56" s="893"/>
      <c r="Y56" s="893"/>
      <c r="Z56" s="893"/>
      <c r="AA56" s="985"/>
    </row>
    <row r="57" spans="1:27" ht="48" customHeight="1" x14ac:dyDescent="0.25">
      <c r="A57" s="923"/>
      <c r="B57" s="902"/>
      <c r="C57" s="899"/>
      <c r="D57" s="335" t="s">
        <v>37</v>
      </c>
      <c r="E57" s="220"/>
      <c r="F57" s="220"/>
      <c r="G57" s="220"/>
      <c r="H57" s="546"/>
      <c r="I57" s="220"/>
      <c r="J57" s="221"/>
      <c r="K57" s="207"/>
      <c r="L57" s="207"/>
      <c r="M57" s="207"/>
      <c r="N57" s="236">
        <f t="shared" si="0"/>
        <v>0</v>
      </c>
      <c r="O57" s="207"/>
      <c r="P57" s="207"/>
      <c r="Q57" s="891"/>
      <c r="R57" s="891"/>
      <c r="S57" s="891"/>
      <c r="T57" s="891"/>
      <c r="U57" s="961"/>
      <c r="V57" s="891"/>
      <c r="W57" s="891"/>
      <c r="X57" s="893"/>
      <c r="Y57" s="893"/>
      <c r="Z57" s="893"/>
      <c r="AA57" s="985"/>
    </row>
    <row r="58" spans="1:27" ht="48" customHeight="1" x14ac:dyDescent="0.25">
      <c r="A58" s="923"/>
      <c r="B58" s="902"/>
      <c r="C58" s="899"/>
      <c r="D58" s="335" t="s">
        <v>38</v>
      </c>
      <c r="E58" s="220">
        <v>50000000</v>
      </c>
      <c r="F58" s="220"/>
      <c r="G58" s="220">
        <v>50000000</v>
      </c>
      <c r="H58" s="546">
        <v>50000000</v>
      </c>
      <c r="I58" s="220"/>
      <c r="J58" s="221"/>
      <c r="K58" s="207">
        <v>50000000</v>
      </c>
      <c r="L58" s="207">
        <v>50000000</v>
      </c>
      <c r="M58" s="207"/>
      <c r="N58" s="236">
        <f t="shared" si="0"/>
        <v>50000000</v>
      </c>
      <c r="O58" s="207"/>
      <c r="P58" s="207"/>
      <c r="Q58" s="891"/>
      <c r="R58" s="891"/>
      <c r="S58" s="891"/>
      <c r="T58" s="891"/>
      <c r="U58" s="961"/>
      <c r="V58" s="891"/>
      <c r="W58" s="891"/>
      <c r="X58" s="893"/>
      <c r="Y58" s="893"/>
      <c r="Z58" s="893"/>
      <c r="AA58" s="985"/>
    </row>
    <row r="59" spans="1:27" ht="48" customHeight="1" x14ac:dyDescent="0.25">
      <c r="A59" s="923"/>
      <c r="B59" s="902"/>
      <c r="C59" s="913" t="s">
        <v>248</v>
      </c>
      <c r="D59" s="471" t="s">
        <v>34</v>
      </c>
      <c r="E59" s="222">
        <v>0.25</v>
      </c>
      <c r="F59" s="222">
        <v>0.4</v>
      </c>
      <c r="G59" s="222">
        <v>0.25</v>
      </c>
      <c r="H59" s="548">
        <v>0.25</v>
      </c>
      <c r="I59" s="222"/>
      <c r="J59" s="221"/>
      <c r="K59" s="222">
        <v>0.7</v>
      </c>
      <c r="L59" s="222">
        <v>0.25</v>
      </c>
      <c r="M59" s="222"/>
      <c r="N59" s="236">
        <f t="shared" si="0"/>
        <v>0.25</v>
      </c>
      <c r="O59" s="225"/>
      <c r="P59" s="230"/>
      <c r="Q59" s="891" t="s">
        <v>392</v>
      </c>
      <c r="R59" s="891"/>
      <c r="S59" s="891" t="s">
        <v>270</v>
      </c>
      <c r="T59" s="891" t="s">
        <v>273</v>
      </c>
      <c r="U59" s="891" t="s">
        <v>272</v>
      </c>
      <c r="V59" s="891">
        <v>48841</v>
      </c>
      <c r="W59" s="891">
        <v>54170</v>
      </c>
      <c r="X59" s="893" t="s">
        <v>231</v>
      </c>
      <c r="Y59" s="893" t="s">
        <v>225</v>
      </c>
      <c r="Z59" s="893" t="s">
        <v>232</v>
      </c>
      <c r="AA59" s="985">
        <f>+V59+W59</f>
        <v>103011</v>
      </c>
    </row>
    <row r="60" spans="1:27" ht="48" customHeight="1" x14ac:dyDescent="0.25">
      <c r="A60" s="923"/>
      <c r="B60" s="902"/>
      <c r="C60" s="913"/>
      <c r="D60" s="335" t="s">
        <v>249</v>
      </c>
      <c r="E60" s="214">
        <f>300000000/4+284276575</f>
        <v>359276575</v>
      </c>
      <c r="F60" s="214">
        <v>32490000</v>
      </c>
      <c r="G60" s="214">
        <f>300000000/4+284276575</f>
        <v>359276575</v>
      </c>
      <c r="H60" s="541">
        <v>359276575</v>
      </c>
      <c r="I60" s="214"/>
      <c r="J60" s="214"/>
      <c r="K60" s="207">
        <f>716970297*0.29</f>
        <v>207921386.13</v>
      </c>
      <c r="L60" s="207">
        <f>185953797+235195350/8+64394000/8</f>
        <v>223402465.75</v>
      </c>
      <c r="M60" s="207"/>
      <c r="N60" s="236">
        <f t="shared" si="0"/>
        <v>223402465.75</v>
      </c>
      <c r="O60" s="207"/>
      <c r="P60" s="207"/>
      <c r="Q60" s="891"/>
      <c r="R60" s="891"/>
      <c r="S60" s="891"/>
      <c r="T60" s="891"/>
      <c r="U60" s="891"/>
      <c r="V60" s="891"/>
      <c r="W60" s="891"/>
      <c r="X60" s="893"/>
      <c r="Y60" s="893"/>
      <c r="Z60" s="893"/>
      <c r="AA60" s="985"/>
    </row>
    <row r="61" spans="1:27" ht="48" customHeight="1" x14ac:dyDescent="0.25">
      <c r="A61" s="923"/>
      <c r="B61" s="902"/>
      <c r="C61" s="913"/>
      <c r="D61" s="335" t="s">
        <v>37</v>
      </c>
      <c r="E61" s="223"/>
      <c r="F61" s="223"/>
      <c r="G61" s="223"/>
      <c r="H61" s="549"/>
      <c r="I61" s="223"/>
      <c r="J61" s="221"/>
      <c r="K61" s="207"/>
      <c r="L61" s="207"/>
      <c r="M61" s="207"/>
      <c r="N61" s="236">
        <f t="shared" si="0"/>
        <v>0</v>
      </c>
      <c r="O61" s="207"/>
      <c r="P61" s="207"/>
      <c r="Q61" s="891"/>
      <c r="R61" s="891"/>
      <c r="S61" s="891"/>
      <c r="T61" s="891"/>
      <c r="U61" s="891"/>
      <c r="V61" s="891"/>
      <c r="W61" s="891"/>
      <c r="X61" s="893"/>
      <c r="Y61" s="893"/>
      <c r="Z61" s="893"/>
      <c r="AA61" s="985"/>
    </row>
    <row r="62" spans="1:27" ht="48" customHeight="1" x14ac:dyDescent="0.25">
      <c r="A62" s="923"/>
      <c r="B62" s="902"/>
      <c r="C62" s="913"/>
      <c r="D62" s="335" t="s">
        <v>38</v>
      </c>
      <c r="E62" s="207">
        <f>50000000/4+38838333/4</f>
        <v>22209583.25</v>
      </c>
      <c r="F62" s="207">
        <v>48986857.616666675</v>
      </c>
      <c r="G62" s="207">
        <f>50000000/4+38838333/4</f>
        <v>22209583.25</v>
      </c>
      <c r="H62" s="508">
        <v>22209583.25</v>
      </c>
      <c r="I62" s="207"/>
      <c r="J62" s="207"/>
      <c r="K62" s="207">
        <f>50000000/4+27571333/4</f>
        <v>19392833.25</v>
      </c>
      <c r="L62" s="207">
        <f>50000000/4+7285999.75</f>
        <v>19785999.75</v>
      </c>
      <c r="M62" s="207"/>
      <c r="N62" s="236">
        <f t="shared" si="0"/>
        <v>19785999.75</v>
      </c>
      <c r="O62" s="207"/>
      <c r="P62" s="207"/>
      <c r="Q62" s="891"/>
      <c r="R62" s="891"/>
      <c r="S62" s="891"/>
      <c r="T62" s="891"/>
      <c r="U62" s="891"/>
      <c r="V62" s="891"/>
      <c r="W62" s="891"/>
      <c r="X62" s="893"/>
      <c r="Y62" s="893"/>
      <c r="Z62" s="893"/>
      <c r="AA62" s="985"/>
    </row>
    <row r="63" spans="1:27" ht="48" customHeight="1" x14ac:dyDescent="0.25">
      <c r="A63" s="923"/>
      <c r="B63" s="902"/>
      <c r="C63" s="913" t="s">
        <v>224</v>
      </c>
      <c r="D63" s="471" t="s">
        <v>34</v>
      </c>
      <c r="E63" s="221">
        <v>0.25</v>
      </c>
      <c r="F63" s="221">
        <v>0.42</v>
      </c>
      <c r="G63" s="221">
        <v>0.25</v>
      </c>
      <c r="H63" s="547">
        <v>0.25</v>
      </c>
      <c r="I63" s="221"/>
      <c r="J63" s="221"/>
      <c r="K63" s="222">
        <v>0.7</v>
      </c>
      <c r="L63" s="222">
        <v>0.25</v>
      </c>
      <c r="M63" s="222"/>
      <c r="N63" s="236">
        <f t="shared" si="0"/>
        <v>0.25</v>
      </c>
      <c r="O63" s="221"/>
      <c r="P63" s="221"/>
      <c r="Q63" s="891" t="s">
        <v>263</v>
      </c>
      <c r="R63" s="891" t="s">
        <v>278</v>
      </c>
      <c r="S63" s="891" t="s">
        <v>277</v>
      </c>
      <c r="T63" s="891" t="s">
        <v>276</v>
      </c>
      <c r="U63" s="891" t="s">
        <v>272</v>
      </c>
      <c r="V63" s="891">
        <v>114440</v>
      </c>
      <c r="W63" s="891">
        <v>120036</v>
      </c>
      <c r="X63" s="893" t="s">
        <v>231</v>
      </c>
      <c r="Y63" s="893" t="s">
        <v>225</v>
      </c>
      <c r="Z63" s="893" t="s">
        <v>232</v>
      </c>
      <c r="AA63" s="985">
        <f>+V63+W63</f>
        <v>234476</v>
      </c>
    </row>
    <row r="64" spans="1:27" ht="48" customHeight="1" x14ac:dyDescent="0.25">
      <c r="A64" s="923"/>
      <c r="B64" s="902"/>
      <c r="C64" s="913"/>
      <c r="D64" s="335" t="s">
        <v>36</v>
      </c>
      <c r="E64" s="214">
        <f>300000000/4+284276575</f>
        <v>359276575</v>
      </c>
      <c r="F64" s="214">
        <v>32490000</v>
      </c>
      <c r="G64" s="214">
        <f>300000000/4+284276575</f>
        <v>359276575</v>
      </c>
      <c r="H64" s="541">
        <v>359276575</v>
      </c>
      <c r="I64" s="214"/>
      <c r="J64" s="214"/>
      <c r="K64" s="207">
        <f>716970297*0.29</f>
        <v>207921386.13</v>
      </c>
      <c r="L64" s="207">
        <f>36446550+235195350/8+64394000/8</f>
        <v>73895218.75</v>
      </c>
      <c r="M64" s="207"/>
      <c r="N64" s="236">
        <f t="shared" si="0"/>
        <v>73895218.75</v>
      </c>
      <c r="O64" s="207"/>
      <c r="P64" s="207"/>
      <c r="Q64" s="891"/>
      <c r="R64" s="891"/>
      <c r="S64" s="891"/>
      <c r="T64" s="891"/>
      <c r="U64" s="891"/>
      <c r="V64" s="891"/>
      <c r="W64" s="891"/>
      <c r="X64" s="893"/>
      <c r="Y64" s="893"/>
      <c r="Z64" s="893"/>
      <c r="AA64" s="985"/>
    </row>
    <row r="65" spans="1:27" ht="48" customHeight="1" x14ac:dyDescent="0.25">
      <c r="A65" s="923"/>
      <c r="B65" s="902"/>
      <c r="C65" s="913"/>
      <c r="D65" s="335" t="s">
        <v>37</v>
      </c>
      <c r="E65" s="224"/>
      <c r="F65" s="224"/>
      <c r="G65" s="224"/>
      <c r="H65" s="550"/>
      <c r="I65" s="224"/>
      <c r="J65" s="221"/>
      <c r="K65" s="474"/>
      <c r="L65" s="207"/>
      <c r="M65" s="207"/>
      <c r="N65" s="236">
        <f t="shared" si="0"/>
        <v>0</v>
      </c>
      <c r="O65" s="207"/>
      <c r="P65" s="207"/>
      <c r="Q65" s="891"/>
      <c r="R65" s="891"/>
      <c r="S65" s="891"/>
      <c r="T65" s="891"/>
      <c r="U65" s="891"/>
      <c r="V65" s="891"/>
      <c r="W65" s="891"/>
      <c r="X65" s="893"/>
      <c r="Y65" s="893"/>
      <c r="Z65" s="893"/>
      <c r="AA65" s="985"/>
    </row>
    <row r="66" spans="1:27" ht="48" customHeight="1" x14ac:dyDescent="0.25">
      <c r="A66" s="923"/>
      <c r="B66" s="902"/>
      <c r="C66" s="913"/>
      <c r="D66" s="335" t="s">
        <v>38</v>
      </c>
      <c r="E66" s="207">
        <f>50000000/4+38838333/4</f>
        <v>22209583.25</v>
      </c>
      <c r="F66" s="207">
        <v>48986857.618186578</v>
      </c>
      <c r="G66" s="207">
        <f>50000000/4+38838333/4</f>
        <v>22209583.25</v>
      </c>
      <c r="H66" s="508">
        <v>22209583.25</v>
      </c>
      <c r="I66" s="207"/>
      <c r="J66" s="207"/>
      <c r="K66" s="207">
        <f>50000000/4+27571333/4</f>
        <v>19392833.25</v>
      </c>
      <c r="L66" s="207">
        <f>50000000/4+7285999.75</f>
        <v>19785999.75</v>
      </c>
      <c r="M66" s="207"/>
      <c r="N66" s="236">
        <f t="shared" si="0"/>
        <v>19785999.75</v>
      </c>
      <c r="O66" s="475"/>
      <c r="P66" s="207"/>
      <c r="Q66" s="891"/>
      <c r="R66" s="891"/>
      <c r="S66" s="891"/>
      <c r="T66" s="891"/>
      <c r="U66" s="891"/>
      <c r="V66" s="891"/>
      <c r="W66" s="891"/>
      <c r="X66" s="893"/>
      <c r="Y66" s="893"/>
      <c r="Z66" s="893"/>
      <c r="AA66" s="985"/>
    </row>
    <row r="67" spans="1:27" ht="48" customHeight="1" x14ac:dyDescent="0.25">
      <c r="A67" s="923"/>
      <c r="B67" s="902"/>
      <c r="C67" s="913" t="s">
        <v>250</v>
      </c>
      <c r="D67" s="471" t="s">
        <v>34</v>
      </c>
      <c r="E67" s="222">
        <v>0.25</v>
      </c>
      <c r="F67" s="222">
        <v>0.22500000000000001</v>
      </c>
      <c r="G67" s="222">
        <v>0.25</v>
      </c>
      <c r="H67" s="548">
        <v>0.25</v>
      </c>
      <c r="I67" s="222"/>
      <c r="J67" s="297"/>
      <c r="K67" s="222">
        <v>0.22500000000000001</v>
      </c>
      <c r="L67" s="222">
        <v>0.25</v>
      </c>
      <c r="M67" s="222"/>
      <c r="N67" s="236">
        <f t="shared" si="0"/>
        <v>0.25</v>
      </c>
      <c r="O67" s="222"/>
      <c r="P67" s="222"/>
      <c r="Q67" s="907" t="s">
        <v>274</v>
      </c>
      <c r="R67" s="909" t="s">
        <v>284</v>
      </c>
      <c r="S67" s="893" t="s">
        <v>283</v>
      </c>
      <c r="T67" s="909" t="s">
        <v>282</v>
      </c>
      <c r="U67" s="891" t="s">
        <v>272</v>
      </c>
      <c r="V67" s="893">
        <f>8668+38533+24072</f>
        <v>71273</v>
      </c>
      <c r="W67" s="893">
        <f>9452+42984+27094</f>
        <v>79530</v>
      </c>
      <c r="X67" s="893" t="s">
        <v>231</v>
      </c>
      <c r="Y67" s="893" t="s">
        <v>225</v>
      </c>
      <c r="Z67" s="893" t="s">
        <v>232</v>
      </c>
      <c r="AA67" s="985">
        <f>+V67+W67</f>
        <v>150803</v>
      </c>
    </row>
    <row r="68" spans="1:27" ht="48" customHeight="1" x14ac:dyDescent="0.25">
      <c r="A68" s="923"/>
      <c r="B68" s="902"/>
      <c r="C68" s="913"/>
      <c r="D68" s="335" t="s">
        <v>36</v>
      </c>
      <c r="E68" s="214">
        <f>300000000/4+284276575</f>
        <v>359276575</v>
      </c>
      <c r="F68" s="214">
        <v>32490000</v>
      </c>
      <c r="G68" s="214">
        <f>300000000/4+284276575</f>
        <v>359276575</v>
      </c>
      <c r="H68" s="541">
        <v>359276575</v>
      </c>
      <c r="I68" s="214"/>
      <c r="J68" s="214"/>
      <c r="K68" s="207">
        <f>716970297*0.09</f>
        <v>64527326.729999997</v>
      </c>
      <c r="L68" s="207">
        <f>267666100+235195350/8+64394000/8</f>
        <v>305114768.75</v>
      </c>
      <c r="M68" s="207"/>
      <c r="N68" s="236">
        <f t="shared" si="0"/>
        <v>305114768.75</v>
      </c>
      <c r="O68" s="207"/>
      <c r="P68" s="207"/>
      <c r="Q68" s="907"/>
      <c r="R68" s="909"/>
      <c r="S68" s="893"/>
      <c r="T68" s="909"/>
      <c r="U68" s="891"/>
      <c r="V68" s="893"/>
      <c r="W68" s="893"/>
      <c r="X68" s="893"/>
      <c r="Y68" s="893"/>
      <c r="Z68" s="893"/>
      <c r="AA68" s="985"/>
    </row>
    <row r="69" spans="1:27" ht="48" customHeight="1" x14ac:dyDescent="0.25">
      <c r="A69" s="923"/>
      <c r="B69" s="902"/>
      <c r="C69" s="913"/>
      <c r="D69" s="335" t="s">
        <v>37</v>
      </c>
      <c r="E69" s="207"/>
      <c r="F69" s="207"/>
      <c r="G69" s="207"/>
      <c r="H69" s="508"/>
      <c r="I69" s="207"/>
      <c r="J69" s="221"/>
      <c r="K69" s="207"/>
      <c r="L69" s="207"/>
      <c r="M69" s="207"/>
      <c r="N69" s="236">
        <f t="shared" si="0"/>
        <v>0</v>
      </c>
      <c r="O69" s="207"/>
      <c r="P69" s="207"/>
      <c r="Q69" s="907"/>
      <c r="R69" s="909"/>
      <c r="S69" s="893"/>
      <c r="T69" s="909"/>
      <c r="U69" s="891"/>
      <c r="V69" s="893"/>
      <c r="W69" s="893"/>
      <c r="X69" s="893"/>
      <c r="Y69" s="893"/>
      <c r="Z69" s="893"/>
      <c r="AA69" s="985"/>
    </row>
    <row r="70" spans="1:27" ht="48" customHeight="1" x14ac:dyDescent="0.25">
      <c r="A70" s="923"/>
      <c r="B70" s="902"/>
      <c r="C70" s="913"/>
      <c r="D70" s="335" t="s">
        <v>38</v>
      </c>
      <c r="E70" s="207">
        <f>50000000/4+38838333/4</f>
        <v>22209583.25</v>
      </c>
      <c r="F70" s="207">
        <v>48986857.616666675</v>
      </c>
      <c r="G70" s="207">
        <f>50000000/4+38838333/4</f>
        <v>22209583.25</v>
      </c>
      <c r="H70" s="508">
        <v>22209583.25</v>
      </c>
      <c r="I70" s="207"/>
      <c r="J70" s="207"/>
      <c r="K70" s="207">
        <f>50000000/4+27571333/4</f>
        <v>19392833.25</v>
      </c>
      <c r="L70" s="207">
        <f>50000000/4+7285999.75</f>
        <v>19785999.75</v>
      </c>
      <c r="M70" s="207"/>
      <c r="N70" s="236">
        <f t="shared" si="0"/>
        <v>19785999.75</v>
      </c>
      <c r="O70" s="258"/>
      <c r="P70" s="207"/>
      <c r="Q70" s="907"/>
      <c r="R70" s="909"/>
      <c r="S70" s="893"/>
      <c r="T70" s="909"/>
      <c r="U70" s="891"/>
      <c r="V70" s="893"/>
      <c r="W70" s="893"/>
      <c r="X70" s="893"/>
      <c r="Y70" s="893"/>
      <c r="Z70" s="893"/>
      <c r="AA70" s="985"/>
    </row>
    <row r="71" spans="1:27" ht="48" customHeight="1" x14ac:dyDescent="0.25">
      <c r="A71" s="923"/>
      <c r="B71" s="902"/>
      <c r="C71" s="913" t="s">
        <v>251</v>
      </c>
      <c r="D71" s="471" t="s">
        <v>34</v>
      </c>
      <c r="E71" s="222">
        <v>0.25</v>
      </c>
      <c r="F71" s="222">
        <v>0.21</v>
      </c>
      <c r="G71" s="222">
        <v>0.25</v>
      </c>
      <c r="H71" s="548">
        <v>0.25</v>
      </c>
      <c r="I71" s="222"/>
      <c r="J71" s="221"/>
      <c r="K71" s="222">
        <v>0.8</v>
      </c>
      <c r="L71" s="222">
        <v>0.25</v>
      </c>
      <c r="M71" s="222"/>
      <c r="N71" s="236">
        <f t="shared" si="0"/>
        <v>0.25</v>
      </c>
      <c r="O71" s="222"/>
      <c r="P71" s="222"/>
      <c r="Q71" s="907" t="s">
        <v>280</v>
      </c>
      <c r="R71" s="909" t="s">
        <v>275</v>
      </c>
      <c r="S71" s="893" t="s">
        <v>281</v>
      </c>
      <c r="T71" s="909" t="s">
        <v>279</v>
      </c>
      <c r="U71" s="891" t="s">
        <v>272</v>
      </c>
      <c r="V71" s="893">
        <f>73282+27761+42380</f>
        <v>143423</v>
      </c>
      <c r="W71" s="893">
        <f>34290+75387+48883</f>
        <v>158560</v>
      </c>
      <c r="X71" s="893" t="s">
        <v>231</v>
      </c>
      <c r="Y71" s="893" t="s">
        <v>225</v>
      </c>
      <c r="Z71" s="893" t="s">
        <v>232</v>
      </c>
      <c r="AA71" s="985">
        <f>+V71+W71</f>
        <v>301983</v>
      </c>
    </row>
    <row r="72" spans="1:27" ht="48" customHeight="1" x14ac:dyDescent="0.25">
      <c r="A72" s="923"/>
      <c r="B72" s="902"/>
      <c r="C72" s="913"/>
      <c r="D72" s="335" t="s">
        <v>36</v>
      </c>
      <c r="E72" s="214">
        <f>300000000/4+284276575</f>
        <v>359276575</v>
      </c>
      <c r="F72" s="214">
        <v>32490000</v>
      </c>
      <c r="G72" s="214">
        <f>300000000/4+284276575</f>
        <v>359276575</v>
      </c>
      <c r="H72" s="541">
        <v>359276575</v>
      </c>
      <c r="I72" s="214"/>
      <c r="J72" s="214"/>
      <c r="K72" s="207">
        <f>716970297*0.33</f>
        <v>236600198.01000002</v>
      </c>
      <c r="L72" s="207">
        <f>267666100+235195350/8+64394000/8</f>
        <v>305114768.75</v>
      </c>
      <c r="M72" s="207"/>
      <c r="N72" s="236">
        <f t="shared" si="0"/>
        <v>305114768.75</v>
      </c>
      <c r="O72" s="207"/>
      <c r="P72" s="207"/>
      <c r="Q72" s="907"/>
      <c r="R72" s="909"/>
      <c r="S72" s="893"/>
      <c r="T72" s="909"/>
      <c r="U72" s="891"/>
      <c r="V72" s="893"/>
      <c r="W72" s="893"/>
      <c r="X72" s="893"/>
      <c r="Y72" s="893"/>
      <c r="Z72" s="893"/>
      <c r="AA72" s="985"/>
    </row>
    <row r="73" spans="1:27" ht="48" customHeight="1" x14ac:dyDescent="0.25">
      <c r="A73" s="923"/>
      <c r="B73" s="902"/>
      <c r="C73" s="913"/>
      <c r="D73" s="335" t="s">
        <v>37</v>
      </c>
      <c r="E73" s="225"/>
      <c r="F73" s="225"/>
      <c r="G73" s="225"/>
      <c r="H73" s="551"/>
      <c r="I73" s="225"/>
      <c r="J73" s="221"/>
      <c r="K73" s="225"/>
      <c r="L73" s="207"/>
      <c r="M73" s="207"/>
      <c r="N73" s="236">
        <f t="shared" si="0"/>
        <v>0</v>
      </c>
      <c r="O73" s="207"/>
      <c r="P73" s="207"/>
      <c r="Q73" s="907"/>
      <c r="R73" s="909"/>
      <c r="S73" s="893"/>
      <c r="T73" s="909"/>
      <c r="U73" s="891"/>
      <c r="V73" s="893"/>
      <c r="W73" s="893"/>
      <c r="X73" s="893"/>
      <c r="Y73" s="893"/>
      <c r="Z73" s="893"/>
      <c r="AA73" s="985"/>
    </row>
    <row r="74" spans="1:27" ht="48" customHeight="1" x14ac:dyDescent="0.25">
      <c r="A74" s="923"/>
      <c r="B74" s="902"/>
      <c r="C74" s="913"/>
      <c r="D74" s="335" t="s">
        <v>38</v>
      </c>
      <c r="E74" s="207">
        <f>50000000/4+38838333/4</f>
        <v>22209583.25</v>
      </c>
      <c r="F74" s="207">
        <v>48986857.616666675</v>
      </c>
      <c r="G74" s="207">
        <f>50000000/4+38838333/4</f>
        <v>22209583.25</v>
      </c>
      <c r="H74" s="508">
        <v>22209583.25</v>
      </c>
      <c r="I74" s="207"/>
      <c r="J74" s="207"/>
      <c r="K74" s="207">
        <f>50000000/4+27571333/4</f>
        <v>19392833.25</v>
      </c>
      <c r="L74" s="207">
        <f>50000000/4+7285999.75</f>
        <v>19785999.75</v>
      </c>
      <c r="M74" s="207"/>
      <c r="N74" s="236">
        <f t="shared" si="0"/>
        <v>19785999.75</v>
      </c>
      <c r="O74" s="475"/>
      <c r="P74" s="207"/>
      <c r="Q74" s="907"/>
      <c r="R74" s="909"/>
      <c r="S74" s="893"/>
      <c r="T74" s="909"/>
      <c r="U74" s="891"/>
      <c r="V74" s="893"/>
      <c r="W74" s="893"/>
      <c r="X74" s="893"/>
      <c r="Y74" s="893"/>
      <c r="Z74" s="893"/>
      <c r="AA74" s="985"/>
    </row>
    <row r="75" spans="1:27" ht="48" customHeight="1" x14ac:dyDescent="0.25">
      <c r="A75" s="923"/>
      <c r="B75" s="902"/>
      <c r="C75" s="913" t="s">
        <v>393</v>
      </c>
      <c r="D75" s="471" t="s">
        <v>34</v>
      </c>
      <c r="E75" s="298">
        <f t="shared" ref="E75:G78" si="3">E71+E67+E63+E59+E55+E51+E47+E43+E39</f>
        <v>5</v>
      </c>
      <c r="F75" s="298">
        <v>3.9749999999999996</v>
      </c>
      <c r="G75" s="298">
        <f t="shared" si="3"/>
        <v>5</v>
      </c>
      <c r="H75" s="552">
        <v>5</v>
      </c>
      <c r="I75" s="298">
        <f t="shared" ref="I75:L78" si="4">I71+I67+I63+I59+I55+I51+I47+I43+I39</f>
        <v>0</v>
      </c>
      <c r="J75" s="298">
        <f t="shared" si="4"/>
        <v>0</v>
      </c>
      <c r="K75" s="298">
        <f t="shared" si="4"/>
        <v>5.0350000000000001</v>
      </c>
      <c r="L75" s="298">
        <f>L39+L43+L47+L51+L55+L59+L63+L67+L71</f>
        <v>4</v>
      </c>
      <c r="M75" s="298">
        <v>5</v>
      </c>
      <c r="N75" s="236">
        <f t="shared" si="0"/>
        <v>-1</v>
      </c>
      <c r="O75" s="298"/>
      <c r="P75" s="298"/>
      <c r="Q75" s="278"/>
      <c r="R75" s="278"/>
      <c r="S75" s="278"/>
      <c r="T75" s="278"/>
      <c r="U75" s="278"/>
      <c r="V75" s="278"/>
      <c r="W75" s="278"/>
      <c r="X75" s="278"/>
      <c r="Y75" s="278"/>
      <c r="Z75" s="278"/>
      <c r="AA75" s="279"/>
    </row>
    <row r="76" spans="1:27" ht="48" customHeight="1" x14ac:dyDescent="0.25">
      <c r="A76" s="923"/>
      <c r="B76" s="902"/>
      <c r="C76" s="913"/>
      <c r="D76" s="335" t="s">
        <v>36</v>
      </c>
      <c r="E76" s="298">
        <f t="shared" si="3"/>
        <v>2098785000</v>
      </c>
      <c r="F76" s="298">
        <v>806624134</v>
      </c>
      <c r="G76" s="298">
        <f t="shared" si="3"/>
        <v>2098785000</v>
      </c>
      <c r="H76" s="552">
        <v>2098785000</v>
      </c>
      <c r="I76" s="207"/>
      <c r="J76" s="207"/>
      <c r="K76" s="207">
        <f t="shared" si="4"/>
        <v>821080257</v>
      </c>
      <c r="L76" s="231">
        <f t="shared" si="4"/>
        <v>1641460897</v>
      </c>
      <c r="M76" s="207">
        <v>1641460897</v>
      </c>
      <c r="N76" s="236">
        <f t="shared" si="0"/>
        <v>0</v>
      </c>
      <c r="O76" s="207"/>
      <c r="P76" s="207"/>
      <c r="Q76" s="553"/>
      <c r="R76" s="278"/>
      <c r="S76" s="278"/>
      <c r="T76" s="278"/>
      <c r="U76" s="278"/>
      <c r="V76" s="278"/>
      <c r="W76" s="278"/>
      <c r="X76" s="278"/>
      <c r="Y76" s="278"/>
      <c r="Z76" s="278"/>
      <c r="AA76" s="279"/>
    </row>
    <row r="77" spans="1:27" ht="48" customHeight="1" x14ac:dyDescent="0.25">
      <c r="A77" s="923"/>
      <c r="B77" s="902"/>
      <c r="C77" s="913"/>
      <c r="D77" s="335" t="s">
        <v>37</v>
      </c>
      <c r="E77" s="298">
        <f t="shared" si="3"/>
        <v>0</v>
      </c>
      <c r="F77" s="298">
        <v>0</v>
      </c>
      <c r="G77" s="298">
        <f t="shared" si="3"/>
        <v>0</v>
      </c>
      <c r="H77" s="552">
        <v>0</v>
      </c>
      <c r="I77" s="207"/>
      <c r="J77" s="207"/>
      <c r="K77" s="207">
        <f t="shared" si="4"/>
        <v>0</v>
      </c>
      <c r="L77" s="207"/>
      <c r="M77" s="207"/>
      <c r="N77" s="236">
        <f t="shared" ref="N77:N137" si="5">L77-M77</f>
        <v>0</v>
      </c>
      <c r="O77" s="207"/>
      <c r="P77" s="207"/>
      <c r="Q77" s="278"/>
      <c r="R77" s="278"/>
      <c r="S77" s="278"/>
      <c r="T77" s="278"/>
      <c r="U77" s="278"/>
      <c r="V77" s="278"/>
      <c r="W77" s="278"/>
      <c r="X77" s="278"/>
      <c r="Y77" s="278"/>
      <c r="Z77" s="278"/>
      <c r="AA77" s="279"/>
    </row>
    <row r="78" spans="1:27" ht="48" customHeight="1" thickBot="1" x14ac:dyDescent="0.3">
      <c r="A78" s="924"/>
      <c r="B78" s="903"/>
      <c r="C78" s="942"/>
      <c r="D78" s="468" t="s">
        <v>38</v>
      </c>
      <c r="E78" s="294">
        <f t="shared" si="3"/>
        <v>440908932</v>
      </c>
      <c r="F78" s="294">
        <v>725288449</v>
      </c>
      <c r="G78" s="294">
        <f t="shared" si="3"/>
        <v>440908932</v>
      </c>
      <c r="H78" s="554">
        <v>440908932</v>
      </c>
      <c r="I78" s="208"/>
      <c r="J78" s="208"/>
      <c r="K78" s="208">
        <f t="shared" si="4"/>
        <v>321616683</v>
      </c>
      <c r="L78" s="208">
        <f t="shared" si="4"/>
        <v>423189349</v>
      </c>
      <c r="M78" s="208">
        <v>423189349</v>
      </c>
      <c r="N78" s="204">
        <f t="shared" si="5"/>
        <v>0</v>
      </c>
      <c r="O78" s="208"/>
      <c r="P78" s="208"/>
      <c r="Q78" s="280"/>
      <c r="R78" s="280"/>
      <c r="S78" s="280"/>
      <c r="T78" s="280"/>
      <c r="U78" s="280"/>
      <c r="V78" s="280"/>
      <c r="W78" s="280"/>
      <c r="X78" s="280"/>
      <c r="Y78" s="280"/>
      <c r="Z78" s="280"/>
      <c r="AA78" s="281"/>
    </row>
    <row r="79" spans="1:27" ht="48" customHeight="1" x14ac:dyDescent="0.25">
      <c r="A79" s="901">
        <v>6</v>
      </c>
      <c r="B79" s="916" t="s">
        <v>166</v>
      </c>
      <c r="C79" s="960" t="s">
        <v>394</v>
      </c>
      <c r="D79" s="469" t="s">
        <v>34</v>
      </c>
      <c r="E79" s="226">
        <v>0</v>
      </c>
      <c r="F79" s="226">
        <v>2.2999999999999998</v>
      </c>
      <c r="G79" s="555">
        <v>0</v>
      </c>
      <c r="H79" s="556">
        <v>0</v>
      </c>
      <c r="I79" s="226"/>
      <c r="J79" s="226"/>
      <c r="K79" s="206"/>
      <c r="L79" s="226"/>
      <c r="M79" s="226"/>
      <c r="N79" s="263">
        <f t="shared" si="5"/>
        <v>0</v>
      </c>
      <c r="O79" s="226"/>
      <c r="P79" s="226"/>
      <c r="Q79" s="926" t="s">
        <v>221</v>
      </c>
      <c r="R79" s="932" t="s">
        <v>388</v>
      </c>
      <c r="S79" s="919" t="s">
        <v>285</v>
      </c>
      <c r="T79" s="932" t="s">
        <v>370</v>
      </c>
      <c r="U79" s="970" t="s">
        <v>286</v>
      </c>
      <c r="V79" s="919">
        <v>69549</v>
      </c>
      <c r="W79" s="919">
        <v>76596</v>
      </c>
      <c r="X79" s="919" t="s">
        <v>231</v>
      </c>
      <c r="Y79" s="919" t="s">
        <v>225</v>
      </c>
      <c r="Z79" s="919" t="s">
        <v>232</v>
      </c>
      <c r="AA79" s="990">
        <f>+V79+W79</f>
        <v>146145</v>
      </c>
    </row>
    <row r="80" spans="1:27" ht="48" customHeight="1" x14ac:dyDescent="0.25">
      <c r="A80" s="914"/>
      <c r="B80" s="917"/>
      <c r="C80" s="913"/>
      <c r="D80" s="335" t="s">
        <v>36</v>
      </c>
      <c r="E80" s="207">
        <v>0</v>
      </c>
      <c r="F80" s="207">
        <v>55000000</v>
      </c>
      <c r="G80" s="523">
        <v>0</v>
      </c>
      <c r="H80" s="508">
        <v>0</v>
      </c>
      <c r="I80" s="207"/>
      <c r="J80" s="207"/>
      <c r="K80" s="207"/>
      <c r="L80" s="207"/>
      <c r="M80" s="207"/>
      <c r="N80" s="236">
        <f t="shared" si="5"/>
        <v>0</v>
      </c>
      <c r="O80" s="207"/>
      <c r="P80" s="207"/>
      <c r="Q80" s="927"/>
      <c r="R80" s="909"/>
      <c r="S80" s="893"/>
      <c r="T80" s="909"/>
      <c r="U80" s="941"/>
      <c r="V80" s="893"/>
      <c r="W80" s="893"/>
      <c r="X80" s="893"/>
      <c r="Y80" s="893"/>
      <c r="Z80" s="893"/>
      <c r="AA80" s="985"/>
    </row>
    <row r="81" spans="1:27" ht="48" customHeight="1" x14ac:dyDescent="0.25">
      <c r="A81" s="914"/>
      <c r="B81" s="917"/>
      <c r="C81" s="913"/>
      <c r="D81" s="335" t="s">
        <v>37</v>
      </c>
      <c r="E81" s="216">
        <v>1.7000000000000002</v>
      </c>
      <c r="F81" s="216"/>
      <c r="G81" s="557">
        <v>1.7000000000000002</v>
      </c>
      <c r="H81" s="542">
        <v>1.7000000000000002</v>
      </c>
      <c r="I81" s="207"/>
      <c r="J81" s="207"/>
      <c r="K81" s="233">
        <v>1.7</v>
      </c>
      <c r="L81" s="205">
        <v>1.7</v>
      </c>
      <c r="M81" s="205">
        <v>1.7</v>
      </c>
      <c r="N81" s="236">
        <f t="shared" si="5"/>
        <v>0</v>
      </c>
      <c r="O81" s="207"/>
      <c r="P81" s="207"/>
      <c r="Q81" s="927"/>
      <c r="R81" s="909"/>
      <c r="S81" s="893"/>
      <c r="T81" s="909"/>
      <c r="U81" s="941"/>
      <c r="V81" s="893"/>
      <c r="W81" s="893"/>
      <c r="X81" s="893"/>
      <c r="Y81" s="893"/>
      <c r="Z81" s="893"/>
      <c r="AA81" s="985"/>
    </row>
    <row r="82" spans="1:27" ht="48" customHeight="1" thickBot="1" x14ac:dyDescent="0.3">
      <c r="A82" s="915"/>
      <c r="B82" s="918"/>
      <c r="C82" s="942"/>
      <c r="D82" s="468" t="s">
        <v>38</v>
      </c>
      <c r="E82" s="208">
        <v>55000000</v>
      </c>
      <c r="F82" s="208"/>
      <c r="G82" s="558">
        <v>55000000</v>
      </c>
      <c r="H82" s="293">
        <v>55000000</v>
      </c>
      <c r="I82" s="208"/>
      <c r="J82" s="208"/>
      <c r="K82" s="208">
        <v>55000000</v>
      </c>
      <c r="L82" s="208">
        <v>55000000</v>
      </c>
      <c r="M82" s="208">
        <v>55000000</v>
      </c>
      <c r="N82" s="204">
        <f t="shared" si="5"/>
        <v>0</v>
      </c>
      <c r="O82" s="208"/>
      <c r="P82" s="208"/>
      <c r="Q82" s="928"/>
      <c r="R82" s="910"/>
      <c r="S82" s="894"/>
      <c r="T82" s="910"/>
      <c r="U82" s="971"/>
      <c r="V82" s="894"/>
      <c r="W82" s="894"/>
      <c r="X82" s="894"/>
      <c r="Y82" s="894"/>
      <c r="Z82" s="894"/>
      <c r="AA82" s="986"/>
    </row>
    <row r="83" spans="1:27" ht="48" customHeight="1" x14ac:dyDescent="0.25">
      <c r="A83" s="901">
        <v>7</v>
      </c>
      <c r="B83" s="904" t="s">
        <v>167</v>
      </c>
      <c r="C83" s="912" t="s">
        <v>285</v>
      </c>
      <c r="D83" s="467" t="s">
        <v>34</v>
      </c>
      <c r="E83" s="322">
        <v>100</v>
      </c>
      <c r="F83" s="322"/>
      <c r="G83" s="522">
        <v>100</v>
      </c>
      <c r="H83" s="559">
        <v>100</v>
      </c>
      <c r="I83" s="213"/>
      <c r="J83" s="213"/>
      <c r="K83" s="209">
        <v>88</v>
      </c>
      <c r="L83" s="260">
        <v>88</v>
      </c>
      <c r="M83" s="260">
        <v>0.875</v>
      </c>
      <c r="N83" s="264">
        <f t="shared" si="5"/>
        <v>87.125</v>
      </c>
      <c r="O83" s="213"/>
      <c r="P83" s="213"/>
      <c r="Q83" s="930" t="s">
        <v>221</v>
      </c>
      <c r="R83" s="908" t="s">
        <v>388</v>
      </c>
      <c r="S83" s="892" t="s">
        <v>285</v>
      </c>
      <c r="T83" s="908" t="s">
        <v>370</v>
      </c>
      <c r="U83" s="973" t="s">
        <v>286</v>
      </c>
      <c r="V83" s="892">
        <v>69549</v>
      </c>
      <c r="W83" s="892">
        <v>76596</v>
      </c>
      <c r="X83" s="892"/>
      <c r="Y83" s="892"/>
      <c r="Z83" s="892"/>
      <c r="AA83" s="984"/>
    </row>
    <row r="84" spans="1:27" ht="48" customHeight="1" x14ac:dyDescent="0.25">
      <c r="A84" s="902"/>
      <c r="B84" s="905"/>
      <c r="C84" s="913"/>
      <c r="D84" s="335" t="s">
        <v>36</v>
      </c>
      <c r="E84" s="207">
        <v>12000000</v>
      </c>
      <c r="F84" s="207"/>
      <c r="G84" s="523">
        <v>12000000</v>
      </c>
      <c r="H84" s="508">
        <v>12000000</v>
      </c>
      <c r="I84" s="207"/>
      <c r="J84" s="207"/>
      <c r="K84" s="207"/>
      <c r="L84" s="207"/>
      <c r="M84" s="207">
        <v>0</v>
      </c>
      <c r="N84" s="236">
        <f t="shared" si="5"/>
        <v>0</v>
      </c>
      <c r="O84" s="207"/>
      <c r="P84" s="207"/>
      <c r="Q84" s="927"/>
      <c r="R84" s="909"/>
      <c r="S84" s="893"/>
      <c r="T84" s="909"/>
      <c r="U84" s="941"/>
      <c r="V84" s="893"/>
      <c r="W84" s="893"/>
      <c r="X84" s="893"/>
      <c r="Y84" s="893"/>
      <c r="Z84" s="893"/>
      <c r="AA84" s="985"/>
    </row>
    <row r="85" spans="1:27" ht="48" customHeight="1" x14ac:dyDescent="0.25">
      <c r="A85" s="902"/>
      <c r="B85" s="905"/>
      <c r="C85" s="913"/>
      <c r="D85" s="335" t="s">
        <v>37</v>
      </c>
      <c r="E85" s="207"/>
      <c r="F85" s="207"/>
      <c r="G85" s="523"/>
      <c r="H85" s="508"/>
      <c r="I85" s="207"/>
      <c r="J85" s="207"/>
      <c r="K85" s="207"/>
      <c r="L85" s="207"/>
      <c r="M85" s="207"/>
      <c r="N85" s="236">
        <f t="shared" si="5"/>
        <v>0</v>
      </c>
      <c r="O85" s="207"/>
      <c r="P85" s="207"/>
      <c r="Q85" s="927"/>
      <c r="R85" s="909"/>
      <c r="S85" s="893"/>
      <c r="T85" s="909"/>
      <c r="U85" s="941"/>
      <c r="V85" s="893"/>
      <c r="W85" s="893"/>
      <c r="X85" s="893"/>
      <c r="Y85" s="893"/>
      <c r="Z85" s="893"/>
      <c r="AA85" s="985"/>
    </row>
    <row r="86" spans="1:27" ht="48" customHeight="1" thickBot="1" x14ac:dyDescent="0.3">
      <c r="A86" s="903"/>
      <c r="B86" s="920"/>
      <c r="C86" s="929"/>
      <c r="D86" s="470" t="s">
        <v>38</v>
      </c>
      <c r="E86" s="211"/>
      <c r="F86" s="211"/>
      <c r="G86" s="560"/>
      <c r="H86" s="561"/>
      <c r="I86" s="211"/>
      <c r="J86" s="211"/>
      <c r="K86" s="211"/>
      <c r="L86" s="211"/>
      <c r="M86" s="211"/>
      <c r="N86" s="252">
        <f t="shared" si="5"/>
        <v>0</v>
      </c>
      <c r="O86" s="211"/>
      <c r="P86" s="211"/>
      <c r="Q86" s="931"/>
      <c r="R86" s="972"/>
      <c r="S86" s="921"/>
      <c r="T86" s="972"/>
      <c r="U86" s="974"/>
      <c r="V86" s="921"/>
      <c r="W86" s="921"/>
      <c r="X86" s="921"/>
      <c r="Y86" s="921"/>
      <c r="Z86" s="921"/>
      <c r="AA86" s="991"/>
    </row>
    <row r="87" spans="1:27" ht="48" customHeight="1" x14ac:dyDescent="0.25">
      <c r="A87" s="922">
        <v>8</v>
      </c>
      <c r="B87" s="901" t="s">
        <v>168</v>
      </c>
      <c r="C87" s="904" t="s">
        <v>287</v>
      </c>
      <c r="D87" s="467" t="s">
        <v>34</v>
      </c>
      <c r="E87" s="209">
        <v>0.75</v>
      </c>
      <c r="F87" s="209">
        <v>0.5</v>
      </c>
      <c r="G87" s="209">
        <v>0.75</v>
      </c>
      <c r="H87" s="476">
        <v>1</v>
      </c>
      <c r="I87" s="209"/>
      <c r="J87" s="209"/>
      <c r="K87" s="209">
        <v>0.5</v>
      </c>
      <c r="L87" s="209">
        <v>0.6</v>
      </c>
      <c r="M87" s="209"/>
      <c r="N87" s="264">
        <f t="shared" si="5"/>
        <v>0.6</v>
      </c>
      <c r="O87" s="562"/>
      <c r="P87" s="209"/>
      <c r="Q87" s="925" t="s">
        <v>289</v>
      </c>
      <c r="R87" s="908" t="s">
        <v>290</v>
      </c>
      <c r="S87" s="892" t="s">
        <v>291</v>
      </c>
      <c r="T87" s="908"/>
      <c r="U87" s="895" t="s">
        <v>292</v>
      </c>
      <c r="V87" s="892">
        <v>1357</v>
      </c>
      <c r="W87" s="892">
        <v>1226</v>
      </c>
      <c r="X87" s="892" t="s">
        <v>231</v>
      </c>
      <c r="Y87" s="892" t="s">
        <v>225</v>
      </c>
      <c r="Z87" s="892" t="s">
        <v>232</v>
      </c>
      <c r="AA87" s="984">
        <f>+V87+W87</f>
        <v>2583</v>
      </c>
    </row>
    <row r="88" spans="1:27" ht="48" customHeight="1" x14ac:dyDescent="0.25">
      <c r="A88" s="923"/>
      <c r="B88" s="902"/>
      <c r="C88" s="905"/>
      <c r="D88" s="335" t="s">
        <v>36</v>
      </c>
      <c r="E88" s="207">
        <f>256766000/4</f>
        <v>64191500</v>
      </c>
      <c r="F88" s="207">
        <v>95920000</v>
      </c>
      <c r="G88" s="207">
        <f>256766000/4</f>
        <v>64191500</v>
      </c>
      <c r="H88" s="508">
        <v>64191500</v>
      </c>
      <c r="I88" s="207"/>
      <c r="J88" s="207"/>
      <c r="K88" s="207">
        <f>82734750/4+83275500/3</f>
        <v>48442187.5</v>
      </c>
      <c r="L88" s="207">
        <f>136737650/3+41962200/4</f>
        <v>56069766.666666664</v>
      </c>
      <c r="M88" s="207"/>
      <c r="N88" s="236">
        <f t="shared" si="5"/>
        <v>56069766.666666664</v>
      </c>
      <c r="O88" s="207"/>
      <c r="P88" s="207"/>
      <c r="Q88" s="907"/>
      <c r="R88" s="909"/>
      <c r="S88" s="893"/>
      <c r="T88" s="909"/>
      <c r="U88" s="891"/>
      <c r="V88" s="893"/>
      <c r="W88" s="893"/>
      <c r="X88" s="893"/>
      <c r="Y88" s="893"/>
      <c r="Z88" s="893"/>
      <c r="AA88" s="985"/>
    </row>
    <row r="89" spans="1:27" ht="48" customHeight="1" x14ac:dyDescent="0.25">
      <c r="A89" s="923"/>
      <c r="B89" s="902"/>
      <c r="C89" s="905"/>
      <c r="D89" s="335" t="s">
        <v>37</v>
      </c>
      <c r="E89" s="227"/>
      <c r="F89" s="227"/>
      <c r="G89" s="227"/>
      <c r="H89" s="563"/>
      <c r="I89" s="207"/>
      <c r="J89" s="207"/>
      <c r="K89" s="207"/>
      <c r="L89" s="207"/>
      <c r="M89" s="207"/>
      <c r="N89" s="236">
        <f t="shared" si="5"/>
        <v>0</v>
      </c>
      <c r="O89" s="207"/>
      <c r="P89" s="207"/>
      <c r="Q89" s="907"/>
      <c r="R89" s="909"/>
      <c r="S89" s="893"/>
      <c r="T89" s="909"/>
      <c r="U89" s="891"/>
      <c r="V89" s="893"/>
      <c r="W89" s="893"/>
      <c r="X89" s="893"/>
      <c r="Y89" s="893"/>
      <c r="Z89" s="893"/>
      <c r="AA89" s="985"/>
    </row>
    <row r="90" spans="1:27" ht="48" customHeight="1" x14ac:dyDescent="0.25">
      <c r="A90" s="923"/>
      <c r="B90" s="902"/>
      <c r="C90" s="905"/>
      <c r="D90" s="335" t="s">
        <v>38</v>
      </c>
      <c r="E90" s="207">
        <f>155143334/4</f>
        <v>38785833.5</v>
      </c>
      <c r="F90" s="207">
        <v>24201323.5</v>
      </c>
      <c r="G90" s="207">
        <f>155143334/4</f>
        <v>38785833.5</v>
      </c>
      <c r="H90" s="508">
        <v>38785833.5</v>
      </c>
      <c r="I90" s="207"/>
      <c r="J90" s="207"/>
      <c r="K90" s="207">
        <f>12164333/4+18788001/3</f>
        <v>9303750.25</v>
      </c>
      <c r="L90" s="207">
        <v>11025917</v>
      </c>
      <c r="M90" s="207"/>
      <c r="N90" s="236">
        <f t="shared" si="5"/>
        <v>11025917</v>
      </c>
      <c r="O90" s="207"/>
      <c r="P90" s="207"/>
      <c r="Q90" s="907"/>
      <c r="R90" s="909"/>
      <c r="S90" s="893"/>
      <c r="T90" s="909"/>
      <c r="U90" s="891"/>
      <c r="V90" s="893"/>
      <c r="W90" s="893"/>
      <c r="X90" s="893"/>
      <c r="Y90" s="893"/>
      <c r="Z90" s="893"/>
      <c r="AA90" s="985"/>
    </row>
    <row r="91" spans="1:27" ht="48" customHeight="1" x14ac:dyDescent="0.25">
      <c r="A91" s="923"/>
      <c r="B91" s="902"/>
      <c r="C91" s="905" t="s">
        <v>288</v>
      </c>
      <c r="D91" s="471" t="s">
        <v>34</v>
      </c>
      <c r="E91" s="205">
        <v>1</v>
      </c>
      <c r="F91" s="205">
        <v>0.5</v>
      </c>
      <c r="G91" s="205">
        <v>1</v>
      </c>
      <c r="H91" s="525">
        <v>1</v>
      </c>
      <c r="I91" s="205"/>
      <c r="J91" s="205"/>
      <c r="K91" s="205">
        <v>0.75</v>
      </c>
      <c r="L91" s="205">
        <v>1</v>
      </c>
      <c r="M91" s="205"/>
      <c r="N91" s="236">
        <f t="shared" si="5"/>
        <v>1</v>
      </c>
      <c r="O91" s="259"/>
      <c r="P91" s="205"/>
      <c r="Q91" s="907" t="s">
        <v>322</v>
      </c>
      <c r="R91" s="909" t="s">
        <v>294</v>
      </c>
      <c r="S91" s="893" t="s">
        <v>293</v>
      </c>
      <c r="T91" s="909" t="s">
        <v>295</v>
      </c>
      <c r="U91" s="891" t="s">
        <v>298</v>
      </c>
      <c r="V91" s="893">
        <v>37165</v>
      </c>
      <c r="W91" s="893">
        <v>38660</v>
      </c>
      <c r="X91" s="893" t="s">
        <v>231</v>
      </c>
      <c r="Y91" s="893" t="s">
        <v>225</v>
      </c>
      <c r="Z91" s="893" t="s">
        <v>232</v>
      </c>
      <c r="AA91" s="985">
        <f>+V91+W91</f>
        <v>75825</v>
      </c>
    </row>
    <row r="92" spans="1:27" ht="48" customHeight="1" x14ac:dyDescent="0.25">
      <c r="A92" s="923"/>
      <c r="B92" s="902"/>
      <c r="C92" s="905"/>
      <c r="D92" s="335" t="s">
        <v>36</v>
      </c>
      <c r="E92" s="207">
        <f>256766000/4</f>
        <v>64191500</v>
      </c>
      <c r="F92" s="207">
        <v>95920000</v>
      </c>
      <c r="G92" s="207">
        <f>256766000/4</f>
        <v>64191500</v>
      </c>
      <c r="H92" s="508">
        <v>64191500</v>
      </c>
      <c r="I92" s="207"/>
      <c r="J92" s="207"/>
      <c r="K92" s="207">
        <f>82734750/4+83275500/3</f>
        <v>48442187.5</v>
      </c>
      <c r="L92" s="207">
        <f>136737650/3+41962200/4</f>
        <v>56069766.666666664</v>
      </c>
      <c r="M92" s="207"/>
      <c r="N92" s="236">
        <f t="shared" si="5"/>
        <v>56069766.666666664</v>
      </c>
      <c r="O92" s="207"/>
      <c r="P92" s="207"/>
      <c r="Q92" s="907"/>
      <c r="R92" s="909"/>
      <c r="S92" s="893"/>
      <c r="T92" s="909"/>
      <c r="U92" s="891"/>
      <c r="V92" s="893"/>
      <c r="W92" s="893"/>
      <c r="X92" s="893"/>
      <c r="Y92" s="893"/>
      <c r="Z92" s="893"/>
      <c r="AA92" s="985"/>
    </row>
    <row r="93" spans="1:27" ht="48" customHeight="1" x14ac:dyDescent="0.25">
      <c r="A93" s="923"/>
      <c r="B93" s="902"/>
      <c r="C93" s="905"/>
      <c r="D93" s="335" t="s">
        <v>37</v>
      </c>
      <c r="E93" s="228"/>
      <c r="F93" s="228"/>
      <c r="G93" s="228"/>
      <c r="H93" s="564"/>
      <c r="I93" s="207"/>
      <c r="J93" s="207"/>
      <c r="K93" s="207"/>
      <c r="L93" s="207"/>
      <c r="M93" s="207"/>
      <c r="N93" s="236">
        <f t="shared" si="5"/>
        <v>0</v>
      </c>
      <c r="O93" s="207"/>
      <c r="P93" s="207"/>
      <c r="Q93" s="907"/>
      <c r="R93" s="909"/>
      <c r="S93" s="893"/>
      <c r="T93" s="909"/>
      <c r="U93" s="891"/>
      <c r="V93" s="893"/>
      <c r="W93" s="893"/>
      <c r="X93" s="893"/>
      <c r="Y93" s="893"/>
      <c r="Z93" s="893"/>
      <c r="AA93" s="985"/>
    </row>
    <row r="94" spans="1:27" ht="48" customHeight="1" x14ac:dyDescent="0.25">
      <c r="A94" s="923"/>
      <c r="B94" s="902"/>
      <c r="C94" s="905"/>
      <c r="D94" s="335" t="s">
        <v>38</v>
      </c>
      <c r="E94" s="207">
        <v>38785833.5</v>
      </c>
      <c r="F94" s="207">
        <v>24201323.5</v>
      </c>
      <c r="G94" s="207">
        <v>38785833.5</v>
      </c>
      <c r="H94" s="508">
        <v>38785833.5</v>
      </c>
      <c r="I94" s="207"/>
      <c r="J94" s="207"/>
      <c r="K94" s="207">
        <f>12164333/4+18788001/3</f>
        <v>9303750.25</v>
      </c>
      <c r="L94" s="207">
        <v>11025917</v>
      </c>
      <c r="M94" s="207"/>
      <c r="N94" s="236">
        <f t="shared" si="5"/>
        <v>11025917</v>
      </c>
      <c r="O94" s="207"/>
      <c r="P94" s="207"/>
      <c r="Q94" s="907"/>
      <c r="R94" s="909"/>
      <c r="S94" s="893"/>
      <c r="T94" s="909"/>
      <c r="U94" s="891"/>
      <c r="V94" s="893"/>
      <c r="W94" s="893"/>
      <c r="X94" s="893"/>
      <c r="Y94" s="893"/>
      <c r="Z94" s="893"/>
      <c r="AA94" s="985"/>
    </row>
    <row r="95" spans="1:27" ht="48" customHeight="1" x14ac:dyDescent="0.25">
      <c r="A95" s="923"/>
      <c r="B95" s="902"/>
      <c r="C95" s="913" t="s">
        <v>516</v>
      </c>
      <c r="D95" s="471" t="s">
        <v>34</v>
      </c>
      <c r="E95" s="216">
        <v>0.5</v>
      </c>
      <c r="F95" s="216">
        <v>0.25</v>
      </c>
      <c r="G95" s="216">
        <v>0.5</v>
      </c>
      <c r="H95" s="525">
        <v>0.5</v>
      </c>
      <c r="I95" s="207"/>
      <c r="J95" s="216"/>
      <c r="K95" s="216">
        <v>0.25</v>
      </c>
      <c r="L95" s="230">
        <v>0.5</v>
      </c>
      <c r="M95" s="230"/>
      <c r="N95" s="236">
        <f t="shared" si="5"/>
        <v>0.5</v>
      </c>
      <c r="O95" s="207"/>
      <c r="P95" s="216"/>
      <c r="Q95" s="913" t="s">
        <v>289</v>
      </c>
      <c r="R95" s="913"/>
      <c r="S95" s="913" t="s">
        <v>309</v>
      </c>
      <c r="T95" s="913" t="s">
        <v>310</v>
      </c>
      <c r="U95" s="913" t="s">
        <v>311</v>
      </c>
      <c r="V95" s="913">
        <v>211224</v>
      </c>
      <c r="W95" s="913">
        <v>215866</v>
      </c>
      <c r="X95" s="893" t="s">
        <v>231</v>
      </c>
      <c r="Y95" s="893" t="s">
        <v>225</v>
      </c>
      <c r="Z95" s="893" t="s">
        <v>232</v>
      </c>
      <c r="AA95" s="985">
        <f>+V95+W95</f>
        <v>427090</v>
      </c>
    </row>
    <row r="96" spans="1:27" ht="48" customHeight="1" x14ac:dyDescent="0.25">
      <c r="A96" s="923"/>
      <c r="B96" s="902"/>
      <c r="C96" s="913"/>
      <c r="D96" s="335" t="s">
        <v>36</v>
      </c>
      <c r="E96" s="207">
        <f>256766000/4</f>
        <v>64191500</v>
      </c>
      <c r="F96" s="207">
        <v>42000000</v>
      </c>
      <c r="G96" s="207">
        <f>256766000/4</f>
        <v>64191500</v>
      </c>
      <c r="H96" s="508">
        <v>64191500</v>
      </c>
      <c r="I96" s="207"/>
      <c r="J96" s="207"/>
      <c r="K96" s="207">
        <f>82734750/4</f>
        <v>20683687.5</v>
      </c>
      <c r="L96" s="207">
        <f>24766350+41962200/4</f>
        <v>35256900</v>
      </c>
      <c r="M96" s="207"/>
      <c r="N96" s="236">
        <f t="shared" si="5"/>
        <v>35256900</v>
      </c>
      <c r="O96" s="207"/>
      <c r="P96" s="207"/>
      <c r="Q96" s="913"/>
      <c r="R96" s="913"/>
      <c r="S96" s="913"/>
      <c r="T96" s="913"/>
      <c r="U96" s="913"/>
      <c r="V96" s="913"/>
      <c r="W96" s="913"/>
      <c r="X96" s="893"/>
      <c r="Y96" s="893"/>
      <c r="Z96" s="893"/>
      <c r="AA96" s="985"/>
    </row>
    <row r="97" spans="1:27" ht="48" customHeight="1" x14ac:dyDescent="0.25">
      <c r="A97" s="923"/>
      <c r="B97" s="902"/>
      <c r="C97" s="913"/>
      <c r="D97" s="335" t="s">
        <v>37</v>
      </c>
      <c r="E97" s="207"/>
      <c r="F97" s="207"/>
      <c r="G97" s="207"/>
      <c r="H97" s="508"/>
      <c r="I97" s="207"/>
      <c r="J97" s="207"/>
      <c r="K97" s="207"/>
      <c r="L97" s="207"/>
      <c r="M97" s="207"/>
      <c r="N97" s="236">
        <f t="shared" si="5"/>
        <v>0</v>
      </c>
      <c r="O97" s="207"/>
      <c r="P97" s="207"/>
      <c r="Q97" s="913"/>
      <c r="R97" s="913"/>
      <c r="S97" s="913"/>
      <c r="T97" s="913"/>
      <c r="U97" s="913"/>
      <c r="V97" s="913"/>
      <c r="W97" s="913"/>
      <c r="X97" s="893"/>
      <c r="Y97" s="893"/>
      <c r="Z97" s="893"/>
      <c r="AA97" s="985"/>
    </row>
    <row r="98" spans="1:27" ht="48" customHeight="1" x14ac:dyDescent="0.25">
      <c r="A98" s="923"/>
      <c r="B98" s="902"/>
      <c r="C98" s="913"/>
      <c r="D98" s="335" t="s">
        <v>38</v>
      </c>
      <c r="E98" s="207">
        <v>38785833.5</v>
      </c>
      <c r="F98" s="207"/>
      <c r="G98" s="207">
        <v>38785833.5</v>
      </c>
      <c r="H98" s="508">
        <v>38785833</v>
      </c>
      <c r="I98" s="207"/>
      <c r="J98" s="207"/>
      <c r="K98" s="207">
        <f>12164333/4</f>
        <v>3041083.25</v>
      </c>
      <c r="L98" s="207">
        <v>11025917</v>
      </c>
      <c r="M98" s="207"/>
      <c r="N98" s="236">
        <f t="shared" si="5"/>
        <v>11025917</v>
      </c>
      <c r="O98" s="207"/>
      <c r="P98" s="207"/>
      <c r="Q98" s="913"/>
      <c r="R98" s="913"/>
      <c r="S98" s="913"/>
      <c r="T98" s="913"/>
      <c r="U98" s="913"/>
      <c r="V98" s="913"/>
      <c r="W98" s="913"/>
      <c r="X98" s="893"/>
      <c r="Y98" s="893"/>
      <c r="Z98" s="893"/>
      <c r="AA98" s="985"/>
    </row>
    <row r="99" spans="1:27" ht="48" customHeight="1" x14ac:dyDescent="0.25">
      <c r="A99" s="923"/>
      <c r="B99" s="902"/>
      <c r="C99" s="905" t="s">
        <v>395</v>
      </c>
      <c r="D99" s="471" t="s">
        <v>34</v>
      </c>
      <c r="E99" s="230">
        <v>0.5</v>
      </c>
      <c r="F99" s="230">
        <v>0.25</v>
      </c>
      <c r="G99" s="230">
        <v>0.5</v>
      </c>
      <c r="H99" s="525">
        <v>0.5</v>
      </c>
      <c r="I99" s="207"/>
      <c r="J99" s="216"/>
      <c r="K99" s="216">
        <v>0.5</v>
      </c>
      <c r="L99" s="216">
        <v>1</v>
      </c>
      <c r="M99" s="216"/>
      <c r="N99" s="236">
        <f t="shared" si="5"/>
        <v>1</v>
      </c>
      <c r="O99" s="207"/>
      <c r="P99" s="216"/>
      <c r="Q99" s="907" t="s">
        <v>396</v>
      </c>
      <c r="R99" s="907" t="s">
        <v>397</v>
      </c>
      <c r="S99" s="907" t="s">
        <v>398</v>
      </c>
      <c r="T99" s="909" t="s">
        <v>399</v>
      </c>
      <c r="U99" s="891" t="s">
        <v>400</v>
      </c>
      <c r="V99" s="975">
        <v>3754</v>
      </c>
      <c r="W99" s="975">
        <v>3515</v>
      </c>
      <c r="X99" s="893" t="s">
        <v>401</v>
      </c>
      <c r="Y99" s="893" t="s">
        <v>401</v>
      </c>
      <c r="Z99" s="893" t="s">
        <v>402</v>
      </c>
      <c r="AA99" s="992">
        <f>+V99+W99</f>
        <v>7269</v>
      </c>
    </row>
    <row r="100" spans="1:27" ht="48" customHeight="1" x14ac:dyDescent="0.25">
      <c r="A100" s="923"/>
      <c r="B100" s="902"/>
      <c r="C100" s="905"/>
      <c r="D100" s="335" t="s">
        <v>36</v>
      </c>
      <c r="E100" s="207">
        <f>256766000/4</f>
        <v>64191500</v>
      </c>
      <c r="F100" s="207">
        <v>42000000</v>
      </c>
      <c r="G100" s="207">
        <f>256766000/4</f>
        <v>64191500</v>
      </c>
      <c r="H100" s="508">
        <v>64191500</v>
      </c>
      <c r="I100" s="207"/>
      <c r="J100" s="207"/>
      <c r="K100" s="207">
        <f>82734750/4+83275500/3</f>
        <v>48442187.5</v>
      </c>
      <c r="L100" s="207">
        <f>136737650/3+41962200/4</f>
        <v>56069766.666666664</v>
      </c>
      <c r="M100" s="207"/>
      <c r="N100" s="236">
        <f t="shared" si="5"/>
        <v>56069766.666666664</v>
      </c>
      <c r="O100" s="207"/>
      <c r="P100" s="207"/>
      <c r="Q100" s="907"/>
      <c r="R100" s="907"/>
      <c r="S100" s="907"/>
      <c r="T100" s="909"/>
      <c r="U100" s="891"/>
      <c r="V100" s="975"/>
      <c r="W100" s="975"/>
      <c r="X100" s="893"/>
      <c r="Y100" s="893"/>
      <c r="Z100" s="893"/>
      <c r="AA100" s="992"/>
    </row>
    <row r="101" spans="1:27" ht="48" customHeight="1" x14ac:dyDescent="0.25">
      <c r="A101" s="923"/>
      <c r="B101" s="902"/>
      <c r="C101" s="905"/>
      <c r="D101" s="335" t="s">
        <v>37</v>
      </c>
      <c r="E101" s="207"/>
      <c r="F101" s="207"/>
      <c r="G101" s="207"/>
      <c r="H101" s="508"/>
      <c r="I101" s="207"/>
      <c r="J101" s="207"/>
      <c r="K101" s="207"/>
      <c r="L101" s="207"/>
      <c r="M101" s="207"/>
      <c r="N101" s="236">
        <f t="shared" si="5"/>
        <v>0</v>
      </c>
      <c r="O101" s="207"/>
      <c r="P101" s="207"/>
      <c r="Q101" s="907"/>
      <c r="R101" s="907"/>
      <c r="S101" s="907"/>
      <c r="T101" s="909"/>
      <c r="U101" s="891"/>
      <c r="V101" s="975"/>
      <c r="W101" s="975"/>
      <c r="X101" s="893"/>
      <c r="Y101" s="893"/>
      <c r="Z101" s="893"/>
      <c r="AA101" s="992"/>
    </row>
    <row r="102" spans="1:27" ht="48" customHeight="1" x14ac:dyDescent="0.25">
      <c r="A102" s="923"/>
      <c r="B102" s="902"/>
      <c r="C102" s="905"/>
      <c r="D102" s="335" t="s">
        <v>38</v>
      </c>
      <c r="E102" s="207">
        <v>38785833.5</v>
      </c>
      <c r="F102" s="207"/>
      <c r="G102" s="207">
        <v>38785833.5</v>
      </c>
      <c r="H102" s="508">
        <v>38785833</v>
      </c>
      <c r="I102" s="207"/>
      <c r="J102" s="207"/>
      <c r="K102" s="207">
        <f>12164333/4+18788001/3</f>
        <v>9303750.25</v>
      </c>
      <c r="L102" s="207">
        <v>11025917</v>
      </c>
      <c r="M102" s="207"/>
      <c r="N102" s="236">
        <f t="shared" si="5"/>
        <v>11025917</v>
      </c>
      <c r="O102" s="207"/>
      <c r="P102" s="207"/>
      <c r="Q102" s="907"/>
      <c r="R102" s="907"/>
      <c r="S102" s="907"/>
      <c r="T102" s="909"/>
      <c r="U102" s="891"/>
      <c r="V102" s="975"/>
      <c r="W102" s="975"/>
      <c r="X102" s="893"/>
      <c r="Y102" s="893"/>
      <c r="Z102" s="893"/>
      <c r="AA102" s="992"/>
    </row>
    <row r="103" spans="1:27" ht="48" customHeight="1" x14ac:dyDescent="0.25">
      <c r="A103" s="923"/>
      <c r="B103" s="902"/>
      <c r="C103" s="905" t="s">
        <v>403</v>
      </c>
      <c r="D103" s="471" t="s">
        <v>34</v>
      </c>
      <c r="E103" s="300">
        <f>+E87+E91+E95+E99</f>
        <v>2.75</v>
      </c>
      <c r="F103" s="300">
        <v>1.5</v>
      </c>
      <c r="G103" s="300">
        <f>+G87+G91+G95+G99</f>
        <v>2.75</v>
      </c>
      <c r="H103" s="542">
        <v>3</v>
      </c>
      <c r="I103" s="299"/>
      <c r="J103" s="299"/>
      <c r="K103" s="300">
        <f>+K87+K91+K95+K99</f>
        <v>2</v>
      </c>
      <c r="L103" s="300">
        <f>+L87+L91+L95+L99</f>
        <v>3.1</v>
      </c>
      <c r="M103" s="300">
        <v>3.1</v>
      </c>
      <c r="N103" s="236">
        <f t="shared" si="5"/>
        <v>0</v>
      </c>
      <c r="O103" s="299"/>
      <c r="P103" s="300"/>
      <c r="Q103" s="278"/>
      <c r="R103" s="278"/>
      <c r="S103" s="278"/>
      <c r="T103" s="278"/>
      <c r="U103" s="278"/>
      <c r="V103" s="278"/>
      <c r="W103" s="278"/>
      <c r="X103" s="278"/>
      <c r="Y103" s="278"/>
      <c r="Z103" s="278"/>
      <c r="AA103" s="279"/>
    </row>
    <row r="104" spans="1:27" ht="48" customHeight="1" x14ac:dyDescent="0.25">
      <c r="A104" s="923"/>
      <c r="B104" s="902"/>
      <c r="C104" s="905"/>
      <c r="D104" s="335" t="s">
        <v>36</v>
      </c>
      <c r="E104" s="300">
        <f>+E88+E92+E96+E100</f>
        <v>256766000</v>
      </c>
      <c r="F104" s="300">
        <v>275840000</v>
      </c>
      <c r="G104" s="300">
        <f>+G88+G92+G96+G100</f>
        <v>256766000</v>
      </c>
      <c r="H104" s="542">
        <v>256766000</v>
      </c>
      <c r="I104" s="278"/>
      <c r="J104" s="278"/>
      <c r="K104" s="300">
        <f>+K88+K92+K96+K100</f>
        <v>166010250</v>
      </c>
      <c r="L104" s="300">
        <f>+L88+L92+L96+L100</f>
        <v>203466199.99999997</v>
      </c>
      <c r="M104" s="300">
        <v>203466200</v>
      </c>
      <c r="N104" s="236">
        <f t="shared" si="5"/>
        <v>0</v>
      </c>
      <c r="O104" s="278"/>
      <c r="P104" s="300"/>
      <c r="Q104" s="278"/>
      <c r="R104" s="278"/>
      <c r="S104" s="278"/>
      <c r="T104" s="278"/>
      <c r="U104" s="278"/>
      <c r="V104" s="278"/>
      <c r="W104" s="278"/>
      <c r="X104" s="278"/>
      <c r="Y104" s="278"/>
      <c r="Z104" s="278"/>
      <c r="AA104" s="279"/>
    </row>
    <row r="105" spans="1:27" ht="48" customHeight="1" x14ac:dyDescent="0.25">
      <c r="A105" s="923"/>
      <c r="B105" s="902"/>
      <c r="C105" s="905"/>
      <c r="D105" s="335" t="s">
        <v>37</v>
      </c>
      <c r="E105" s="278"/>
      <c r="F105" s="278"/>
      <c r="G105" s="278"/>
      <c r="H105" s="508"/>
      <c r="I105" s="278"/>
      <c r="J105" s="278"/>
      <c r="K105" s="278"/>
      <c r="L105" s="278"/>
      <c r="M105" s="278"/>
      <c r="N105" s="236">
        <f t="shared" si="5"/>
        <v>0</v>
      </c>
      <c r="O105" s="278"/>
      <c r="P105" s="278"/>
      <c r="Q105" s="278"/>
      <c r="R105" s="278"/>
      <c r="S105" s="278"/>
      <c r="T105" s="278"/>
      <c r="U105" s="278"/>
      <c r="V105" s="278"/>
      <c r="W105" s="278"/>
      <c r="X105" s="278"/>
      <c r="Y105" s="278"/>
      <c r="Z105" s="278"/>
      <c r="AA105" s="279"/>
    </row>
    <row r="106" spans="1:27" ht="48" customHeight="1" thickBot="1" x14ac:dyDescent="0.3">
      <c r="A106" s="924"/>
      <c r="B106" s="903"/>
      <c r="C106" s="906"/>
      <c r="D106" s="468" t="s">
        <v>38</v>
      </c>
      <c r="E106" s="565">
        <f>+E90+E94+E98+E102</f>
        <v>155143334</v>
      </c>
      <c r="F106" s="565">
        <v>48402647</v>
      </c>
      <c r="G106" s="565">
        <f>+G90+G94+G98+G102</f>
        <v>155143334</v>
      </c>
      <c r="H106" s="566">
        <v>155143333</v>
      </c>
      <c r="I106" s="280"/>
      <c r="J106" s="280"/>
      <c r="K106" s="565">
        <f>+K90+K94+K98+K102</f>
        <v>30952334</v>
      </c>
      <c r="L106" s="565">
        <f>+L90+L94+L98+L102</f>
        <v>44103668</v>
      </c>
      <c r="M106" s="565">
        <v>44103668</v>
      </c>
      <c r="N106" s="204">
        <f t="shared" si="5"/>
        <v>0</v>
      </c>
      <c r="O106" s="280"/>
      <c r="P106" s="280"/>
      <c r="Q106" s="280"/>
      <c r="R106" s="280"/>
      <c r="S106" s="280"/>
      <c r="T106" s="280"/>
      <c r="U106" s="280"/>
      <c r="V106" s="280"/>
      <c r="W106" s="280"/>
      <c r="X106" s="280"/>
      <c r="Y106" s="280"/>
      <c r="Z106" s="280"/>
      <c r="AA106" s="281"/>
    </row>
    <row r="107" spans="1:27" ht="48" customHeight="1" x14ac:dyDescent="0.25">
      <c r="A107" s="901">
        <v>9</v>
      </c>
      <c r="B107" s="904" t="s">
        <v>169</v>
      </c>
      <c r="C107" s="912" t="s">
        <v>296</v>
      </c>
      <c r="D107" s="467" t="s">
        <v>34</v>
      </c>
      <c r="E107" s="212">
        <v>50</v>
      </c>
      <c r="F107" s="212">
        <v>38.28</v>
      </c>
      <c r="G107" s="212">
        <v>50</v>
      </c>
      <c r="H107" s="540">
        <v>50</v>
      </c>
      <c r="I107" s="212"/>
      <c r="J107" s="212"/>
      <c r="K107" s="212">
        <v>16.45</v>
      </c>
      <c r="L107" s="476">
        <v>15.7</v>
      </c>
      <c r="M107" s="476">
        <v>15.7</v>
      </c>
      <c r="N107" s="264">
        <f t="shared" si="5"/>
        <v>0</v>
      </c>
      <c r="O107" s="260"/>
      <c r="P107" s="212"/>
      <c r="Q107" s="925" t="s">
        <v>289</v>
      </c>
      <c r="R107" s="908" t="s">
        <v>290</v>
      </c>
      <c r="S107" s="892" t="s">
        <v>291</v>
      </c>
      <c r="T107" s="908" t="s">
        <v>299</v>
      </c>
      <c r="U107" s="895" t="s">
        <v>297</v>
      </c>
      <c r="V107" s="892">
        <v>1357</v>
      </c>
      <c r="W107" s="892">
        <v>1226</v>
      </c>
      <c r="X107" s="892" t="s">
        <v>231</v>
      </c>
      <c r="Y107" s="892" t="s">
        <v>225</v>
      </c>
      <c r="Z107" s="892" t="s">
        <v>232</v>
      </c>
      <c r="AA107" s="984">
        <f>+V107+W107</f>
        <v>2583</v>
      </c>
    </row>
    <row r="108" spans="1:27" ht="48" customHeight="1" x14ac:dyDescent="0.25">
      <c r="A108" s="902"/>
      <c r="B108" s="905"/>
      <c r="C108" s="913"/>
      <c r="D108" s="335" t="s">
        <v>36</v>
      </c>
      <c r="E108" s="207">
        <v>1310402000</v>
      </c>
      <c r="F108" s="207">
        <v>282452000</v>
      </c>
      <c r="G108" s="207">
        <v>1310402000</v>
      </c>
      <c r="H108" s="508">
        <v>1310402000</v>
      </c>
      <c r="I108" s="207"/>
      <c r="J108" s="207"/>
      <c r="K108" s="207">
        <v>249934650</v>
      </c>
      <c r="L108" s="207">
        <v>297328383</v>
      </c>
      <c r="M108" s="207">
        <v>297328383</v>
      </c>
      <c r="N108" s="236">
        <f t="shared" si="5"/>
        <v>0</v>
      </c>
      <c r="O108" s="207"/>
      <c r="P108" s="207"/>
      <c r="Q108" s="907"/>
      <c r="R108" s="909"/>
      <c r="S108" s="893"/>
      <c r="T108" s="909"/>
      <c r="U108" s="891"/>
      <c r="V108" s="893"/>
      <c r="W108" s="893"/>
      <c r="X108" s="893"/>
      <c r="Y108" s="893"/>
      <c r="Z108" s="893"/>
      <c r="AA108" s="985"/>
    </row>
    <row r="109" spans="1:27" ht="48" customHeight="1" x14ac:dyDescent="0.25">
      <c r="A109" s="902"/>
      <c r="B109" s="905"/>
      <c r="C109" s="913"/>
      <c r="D109" s="335" t="s">
        <v>37</v>
      </c>
      <c r="E109" s="229"/>
      <c r="F109" s="229"/>
      <c r="G109" s="229"/>
      <c r="H109" s="506"/>
      <c r="I109" s="229"/>
      <c r="J109" s="229"/>
      <c r="K109" s="229"/>
      <c r="L109" s="229"/>
      <c r="M109" s="229"/>
      <c r="N109" s="236">
        <f t="shared" si="5"/>
        <v>0</v>
      </c>
      <c r="O109" s="207"/>
      <c r="P109" s="207"/>
      <c r="Q109" s="907"/>
      <c r="R109" s="909"/>
      <c r="S109" s="893"/>
      <c r="T109" s="909"/>
      <c r="U109" s="891"/>
      <c r="V109" s="893"/>
      <c r="W109" s="893"/>
      <c r="X109" s="893"/>
      <c r="Y109" s="893"/>
      <c r="Z109" s="893"/>
      <c r="AA109" s="985"/>
    </row>
    <row r="110" spans="1:27" ht="48" customHeight="1" thickBot="1" x14ac:dyDescent="0.3">
      <c r="A110" s="903"/>
      <c r="B110" s="906"/>
      <c r="C110" s="942"/>
      <c r="D110" s="468" t="s">
        <v>38</v>
      </c>
      <c r="E110" s="477">
        <v>73979001</v>
      </c>
      <c r="F110" s="477">
        <v>215383280</v>
      </c>
      <c r="G110" s="477">
        <v>73979001</v>
      </c>
      <c r="H110" s="535">
        <v>73979001</v>
      </c>
      <c r="I110" s="208"/>
      <c r="J110" s="208"/>
      <c r="K110" s="477">
        <v>26108334</v>
      </c>
      <c r="L110" s="208">
        <v>53118921</v>
      </c>
      <c r="M110" s="208">
        <v>53118921</v>
      </c>
      <c r="N110" s="204">
        <f t="shared" si="5"/>
        <v>0</v>
      </c>
      <c r="O110" s="208"/>
      <c r="P110" s="208"/>
      <c r="Q110" s="944"/>
      <c r="R110" s="910"/>
      <c r="S110" s="894"/>
      <c r="T110" s="910"/>
      <c r="U110" s="911"/>
      <c r="V110" s="894"/>
      <c r="W110" s="894"/>
      <c r="X110" s="894"/>
      <c r="Y110" s="894"/>
      <c r="Z110" s="894"/>
      <c r="AA110" s="986"/>
    </row>
    <row r="111" spans="1:27" ht="48" customHeight="1" x14ac:dyDescent="0.25">
      <c r="A111" s="993">
        <v>10</v>
      </c>
      <c r="B111" s="996" t="s">
        <v>205</v>
      </c>
      <c r="C111" s="912" t="s">
        <v>300</v>
      </c>
      <c r="D111" s="467" t="s">
        <v>34</v>
      </c>
      <c r="E111" s="212">
        <v>32.5</v>
      </c>
      <c r="F111" s="212">
        <v>32.5</v>
      </c>
      <c r="G111" s="212">
        <v>32.5</v>
      </c>
      <c r="H111" s="540">
        <v>32.5</v>
      </c>
      <c r="I111" s="212"/>
      <c r="J111" s="212"/>
      <c r="K111" s="212">
        <v>32.5</v>
      </c>
      <c r="L111" s="212">
        <v>32.5</v>
      </c>
      <c r="M111" s="212"/>
      <c r="N111" s="264">
        <f t="shared" si="5"/>
        <v>32.5</v>
      </c>
      <c r="O111" s="260"/>
      <c r="P111" s="260"/>
      <c r="Q111" s="912" t="s">
        <v>289</v>
      </c>
      <c r="R111" s="912"/>
      <c r="S111" s="912" t="s">
        <v>306</v>
      </c>
      <c r="T111" s="912" t="s">
        <v>308</v>
      </c>
      <c r="U111" s="912" t="s">
        <v>307</v>
      </c>
      <c r="V111" s="912">
        <v>211224</v>
      </c>
      <c r="W111" s="912">
        <v>215866</v>
      </c>
      <c r="X111" s="892" t="s">
        <v>231</v>
      </c>
      <c r="Y111" s="892" t="s">
        <v>225</v>
      </c>
      <c r="Z111" s="892" t="s">
        <v>232</v>
      </c>
      <c r="AA111" s="984">
        <f>+V111+W111</f>
        <v>427090</v>
      </c>
    </row>
    <row r="112" spans="1:27" ht="48" customHeight="1" x14ac:dyDescent="0.25">
      <c r="A112" s="994"/>
      <c r="B112" s="997"/>
      <c r="C112" s="913"/>
      <c r="D112" s="335" t="s">
        <v>36</v>
      </c>
      <c r="E112" s="231"/>
      <c r="F112" s="231">
        <v>83515277.888888896</v>
      </c>
      <c r="G112" s="231"/>
      <c r="H112" s="567"/>
      <c r="I112" s="207"/>
      <c r="J112" s="207"/>
      <c r="K112" s="231"/>
      <c r="L112" s="207"/>
      <c r="M112" s="207"/>
      <c r="N112" s="236">
        <f t="shared" si="5"/>
        <v>0</v>
      </c>
      <c r="O112" s="207"/>
      <c r="P112" s="207"/>
      <c r="Q112" s="913"/>
      <c r="R112" s="913"/>
      <c r="S112" s="913"/>
      <c r="T112" s="913"/>
      <c r="U112" s="913"/>
      <c r="V112" s="913"/>
      <c r="W112" s="913"/>
      <c r="X112" s="893"/>
      <c r="Y112" s="893"/>
      <c r="Z112" s="893"/>
      <c r="AA112" s="985"/>
    </row>
    <row r="113" spans="1:27" ht="48" customHeight="1" x14ac:dyDescent="0.25">
      <c r="A113" s="994"/>
      <c r="B113" s="997"/>
      <c r="C113" s="913"/>
      <c r="D113" s="335" t="s">
        <v>37</v>
      </c>
      <c r="E113" s="225"/>
      <c r="F113" s="225"/>
      <c r="G113" s="225"/>
      <c r="H113" s="551"/>
      <c r="I113" s="207"/>
      <c r="J113" s="207"/>
      <c r="K113" s="207"/>
      <c r="L113" s="207"/>
      <c r="M113" s="207"/>
      <c r="N113" s="236">
        <f t="shared" si="5"/>
        <v>0</v>
      </c>
      <c r="O113" s="207"/>
      <c r="P113" s="207"/>
      <c r="Q113" s="913"/>
      <c r="R113" s="913"/>
      <c r="S113" s="913"/>
      <c r="T113" s="913"/>
      <c r="U113" s="913"/>
      <c r="V113" s="913"/>
      <c r="W113" s="913"/>
      <c r="X113" s="893"/>
      <c r="Y113" s="893"/>
      <c r="Z113" s="893"/>
      <c r="AA113" s="985"/>
    </row>
    <row r="114" spans="1:27" ht="48" customHeight="1" x14ac:dyDescent="0.25">
      <c r="A114" s="994"/>
      <c r="B114" s="997"/>
      <c r="C114" s="913"/>
      <c r="D114" s="335" t="s">
        <v>38</v>
      </c>
      <c r="E114" s="478">
        <f>80336723.3333333/4</f>
        <v>20084180.833333325</v>
      </c>
      <c r="F114" s="478">
        <v>39626686.171110407</v>
      </c>
      <c r="G114" s="478">
        <v>20084180.833333325</v>
      </c>
      <c r="H114" s="568">
        <v>20084180.833333325</v>
      </c>
      <c r="I114" s="207"/>
      <c r="J114" s="207"/>
      <c r="K114" s="207"/>
      <c r="L114" s="214">
        <v>15072277.866666701</v>
      </c>
      <c r="M114" s="207"/>
      <c r="N114" s="236">
        <f t="shared" si="5"/>
        <v>15072277.866666701</v>
      </c>
      <c r="O114" s="207"/>
      <c r="P114" s="207"/>
      <c r="Q114" s="913"/>
      <c r="R114" s="913"/>
      <c r="S114" s="913"/>
      <c r="T114" s="913"/>
      <c r="U114" s="913"/>
      <c r="V114" s="913"/>
      <c r="W114" s="913"/>
      <c r="X114" s="893"/>
      <c r="Y114" s="893"/>
      <c r="Z114" s="893"/>
      <c r="AA114" s="985"/>
    </row>
    <row r="115" spans="1:27" ht="48" customHeight="1" x14ac:dyDescent="0.25">
      <c r="A115" s="994"/>
      <c r="B115" s="997"/>
      <c r="C115" s="913" t="s">
        <v>301</v>
      </c>
      <c r="D115" s="471" t="s">
        <v>34</v>
      </c>
      <c r="E115" s="221" t="e">
        <f>+#REF!</f>
        <v>#REF!</v>
      </c>
      <c r="F115" s="221">
        <v>72.3</v>
      </c>
      <c r="G115" s="221">
        <v>72.5</v>
      </c>
      <c r="H115" s="547">
        <v>72.3</v>
      </c>
      <c r="I115" s="221"/>
      <c r="J115" s="221"/>
      <c r="K115" s="216">
        <v>72.3</v>
      </c>
      <c r="L115" s="216">
        <v>72.3</v>
      </c>
      <c r="M115" s="216"/>
      <c r="N115" s="236">
        <f t="shared" si="5"/>
        <v>72.3</v>
      </c>
      <c r="O115" s="221"/>
      <c r="P115" s="221"/>
      <c r="Q115" s="913" t="s">
        <v>289</v>
      </c>
      <c r="R115" s="913"/>
      <c r="S115" s="913" t="s">
        <v>309</v>
      </c>
      <c r="T115" s="913" t="s">
        <v>310</v>
      </c>
      <c r="U115" s="913" t="s">
        <v>311</v>
      </c>
      <c r="V115" s="913">
        <v>211224</v>
      </c>
      <c r="W115" s="913">
        <v>215866</v>
      </c>
      <c r="X115" s="893" t="s">
        <v>231</v>
      </c>
      <c r="Y115" s="893" t="s">
        <v>225</v>
      </c>
      <c r="Z115" s="893" t="s">
        <v>232</v>
      </c>
      <c r="AA115" s="985">
        <f>+V115+W115</f>
        <v>427090</v>
      </c>
    </row>
    <row r="116" spans="1:27" ht="48" customHeight="1" x14ac:dyDescent="0.25">
      <c r="A116" s="994"/>
      <c r="B116" s="997"/>
      <c r="C116" s="913"/>
      <c r="D116" s="335" t="s">
        <v>36</v>
      </c>
      <c r="E116" s="207">
        <f>32336850+332333400/4</f>
        <v>115420200</v>
      </c>
      <c r="F116" s="207">
        <v>83515277.888888896</v>
      </c>
      <c r="G116" s="207">
        <v>115420200</v>
      </c>
      <c r="H116" s="508">
        <v>119917562.5</v>
      </c>
      <c r="I116" s="207"/>
      <c r="J116" s="207"/>
      <c r="K116" s="207">
        <f>324568450/4</f>
        <v>81142112.5</v>
      </c>
      <c r="L116" s="207">
        <v>113338625</v>
      </c>
      <c r="M116" s="207"/>
      <c r="N116" s="236">
        <f t="shared" si="5"/>
        <v>113338625</v>
      </c>
      <c r="O116" s="207"/>
      <c r="P116" s="207"/>
      <c r="Q116" s="913"/>
      <c r="R116" s="913"/>
      <c r="S116" s="913"/>
      <c r="T116" s="913"/>
      <c r="U116" s="913"/>
      <c r="V116" s="913"/>
      <c r="W116" s="913"/>
      <c r="X116" s="893"/>
      <c r="Y116" s="893"/>
      <c r="Z116" s="893"/>
      <c r="AA116" s="985"/>
    </row>
    <row r="117" spans="1:27" ht="48" customHeight="1" x14ac:dyDescent="0.25">
      <c r="A117" s="994"/>
      <c r="B117" s="997"/>
      <c r="C117" s="913"/>
      <c r="D117" s="335" t="s">
        <v>37</v>
      </c>
      <c r="E117" s="229"/>
      <c r="F117" s="229"/>
      <c r="G117" s="229"/>
      <c r="H117" s="506"/>
      <c r="I117" s="229"/>
      <c r="J117" s="207"/>
      <c r="K117" s="207"/>
      <c r="L117" s="207"/>
      <c r="M117" s="207"/>
      <c r="N117" s="236">
        <f t="shared" si="5"/>
        <v>0</v>
      </c>
      <c r="O117" s="207"/>
      <c r="P117" s="207"/>
      <c r="Q117" s="913"/>
      <c r="R117" s="913"/>
      <c r="S117" s="913"/>
      <c r="T117" s="913"/>
      <c r="U117" s="913"/>
      <c r="V117" s="913"/>
      <c r="W117" s="913"/>
      <c r="X117" s="893"/>
      <c r="Y117" s="893"/>
      <c r="Z117" s="893"/>
      <c r="AA117" s="985"/>
    </row>
    <row r="118" spans="1:27" ht="48" customHeight="1" x14ac:dyDescent="0.25">
      <c r="A118" s="994"/>
      <c r="B118" s="997"/>
      <c r="C118" s="913"/>
      <c r="D118" s="335" t="s">
        <v>38</v>
      </c>
      <c r="E118" s="207">
        <f>80336723.3333333/4</f>
        <v>20084180.833333325</v>
      </c>
      <c r="F118" s="207">
        <v>84608357.126500905</v>
      </c>
      <c r="G118" s="207">
        <v>20084180.833333325</v>
      </c>
      <c r="H118" s="508">
        <v>20084180.833333325</v>
      </c>
      <c r="I118" s="207"/>
      <c r="J118" s="207"/>
      <c r="K118" s="207">
        <f>48250056/4</f>
        <v>12062514</v>
      </c>
      <c r="L118" s="207">
        <v>15072277.866666701</v>
      </c>
      <c r="M118" s="207"/>
      <c r="N118" s="236">
        <f t="shared" si="5"/>
        <v>15072277.866666701</v>
      </c>
      <c r="O118" s="207"/>
      <c r="P118" s="207"/>
      <c r="Q118" s="913"/>
      <c r="R118" s="913"/>
      <c r="S118" s="913"/>
      <c r="T118" s="913"/>
      <c r="U118" s="913"/>
      <c r="V118" s="913"/>
      <c r="W118" s="913"/>
      <c r="X118" s="893"/>
      <c r="Y118" s="893"/>
      <c r="Z118" s="893"/>
      <c r="AA118" s="985"/>
    </row>
    <row r="119" spans="1:27" ht="48" customHeight="1" x14ac:dyDescent="0.25">
      <c r="A119" s="994"/>
      <c r="B119" s="997"/>
      <c r="C119" s="913" t="s">
        <v>302</v>
      </c>
      <c r="D119" s="471" t="s">
        <v>34</v>
      </c>
      <c r="E119" s="205">
        <f>86.71+7.79</f>
        <v>94.5</v>
      </c>
      <c r="F119" s="205">
        <v>86.71</v>
      </c>
      <c r="G119" s="205">
        <v>94.5</v>
      </c>
      <c r="H119" s="525">
        <v>92.1</v>
      </c>
      <c r="I119" s="205"/>
      <c r="J119" s="205"/>
      <c r="K119" s="230">
        <v>86.71</v>
      </c>
      <c r="L119" s="230">
        <v>92.1</v>
      </c>
      <c r="M119" s="230"/>
      <c r="N119" s="236">
        <f t="shared" si="5"/>
        <v>92.1</v>
      </c>
      <c r="O119" s="205"/>
      <c r="P119" s="205"/>
      <c r="Q119" s="907" t="s">
        <v>289</v>
      </c>
      <c r="R119" s="909" t="s">
        <v>290</v>
      </c>
      <c r="S119" s="893" t="s">
        <v>291</v>
      </c>
      <c r="T119" s="909" t="s">
        <v>299</v>
      </c>
      <c r="U119" s="891" t="s">
        <v>297</v>
      </c>
      <c r="V119" s="893">
        <v>1357</v>
      </c>
      <c r="W119" s="893">
        <v>1226</v>
      </c>
      <c r="X119" s="893" t="s">
        <v>231</v>
      </c>
      <c r="Y119" s="893" t="s">
        <v>225</v>
      </c>
      <c r="Z119" s="893" t="s">
        <v>232</v>
      </c>
      <c r="AA119" s="985">
        <f>+V119+W119</f>
        <v>2583</v>
      </c>
    </row>
    <row r="120" spans="1:27" ht="48" customHeight="1" x14ac:dyDescent="0.25">
      <c r="A120" s="994"/>
      <c r="B120" s="997"/>
      <c r="C120" s="913"/>
      <c r="D120" s="335" t="s">
        <v>36</v>
      </c>
      <c r="E120" s="207">
        <f>462500000+332333400/4</f>
        <v>545583350</v>
      </c>
      <c r="F120" s="207">
        <v>83515277.888888896</v>
      </c>
      <c r="G120" s="207">
        <v>545583350</v>
      </c>
      <c r="H120" s="508">
        <v>461796838.5</v>
      </c>
      <c r="I120" s="207"/>
      <c r="J120" s="207"/>
      <c r="K120" s="207">
        <f>324568450/4</f>
        <v>81142112.5</v>
      </c>
      <c r="L120" s="207">
        <v>113338625</v>
      </c>
      <c r="M120" s="207"/>
      <c r="N120" s="236">
        <f t="shared" si="5"/>
        <v>113338625</v>
      </c>
      <c r="O120" s="207"/>
      <c r="P120" s="207"/>
      <c r="Q120" s="907"/>
      <c r="R120" s="909"/>
      <c r="S120" s="893"/>
      <c r="T120" s="909"/>
      <c r="U120" s="891"/>
      <c r="V120" s="893"/>
      <c r="W120" s="893"/>
      <c r="X120" s="893"/>
      <c r="Y120" s="893"/>
      <c r="Z120" s="893"/>
      <c r="AA120" s="985"/>
    </row>
    <row r="121" spans="1:27" ht="48" customHeight="1" x14ac:dyDescent="0.25">
      <c r="A121" s="994"/>
      <c r="B121" s="997"/>
      <c r="C121" s="913"/>
      <c r="D121" s="335" t="s">
        <v>37</v>
      </c>
      <c r="E121" s="229"/>
      <c r="F121" s="229"/>
      <c r="G121" s="229"/>
      <c r="H121" s="506"/>
      <c r="I121" s="207"/>
      <c r="J121" s="207"/>
      <c r="K121" s="207"/>
      <c r="L121" s="207"/>
      <c r="M121" s="207"/>
      <c r="N121" s="236">
        <f t="shared" si="5"/>
        <v>0</v>
      </c>
      <c r="O121" s="207"/>
      <c r="P121" s="207"/>
      <c r="Q121" s="907"/>
      <c r="R121" s="909"/>
      <c r="S121" s="893"/>
      <c r="T121" s="909"/>
      <c r="U121" s="891"/>
      <c r="V121" s="893"/>
      <c r="W121" s="893"/>
      <c r="X121" s="893"/>
      <c r="Y121" s="893"/>
      <c r="Z121" s="893"/>
      <c r="AA121" s="985"/>
    </row>
    <row r="122" spans="1:27" ht="48" customHeight="1" x14ac:dyDescent="0.25">
      <c r="A122" s="994"/>
      <c r="B122" s="997"/>
      <c r="C122" s="913"/>
      <c r="D122" s="335" t="s">
        <v>38</v>
      </c>
      <c r="E122" s="207">
        <f>80336723.3333333/4</f>
        <v>20084180.833333325</v>
      </c>
      <c r="F122" s="207">
        <v>100894434.4749224</v>
      </c>
      <c r="G122" s="207">
        <v>20084180.833333325</v>
      </c>
      <c r="H122" s="508">
        <v>20084180.833333325</v>
      </c>
      <c r="I122" s="207"/>
      <c r="J122" s="207"/>
      <c r="K122" s="207">
        <f>48250056/4</f>
        <v>12062514</v>
      </c>
      <c r="L122" s="207">
        <v>15072277.866666701</v>
      </c>
      <c r="M122" s="207"/>
      <c r="N122" s="236">
        <f t="shared" si="5"/>
        <v>15072277.866666701</v>
      </c>
      <c r="O122" s="207"/>
      <c r="P122" s="207"/>
      <c r="Q122" s="907"/>
      <c r="R122" s="909"/>
      <c r="S122" s="893"/>
      <c r="T122" s="909"/>
      <c r="U122" s="891"/>
      <c r="V122" s="893"/>
      <c r="W122" s="893"/>
      <c r="X122" s="893"/>
      <c r="Y122" s="893"/>
      <c r="Z122" s="893"/>
      <c r="AA122" s="985"/>
    </row>
    <row r="123" spans="1:27" ht="48" customHeight="1" x14ac:dyDescent="0.25">
      <c r="A123" s="994"/>
      <c r="B123" s="997"/>
      <c r="C123" s="891" t="s">
        <v>303</v>
      </c>
      <c r="D123" s="471" t="s">
        <v>34</v>
      </c>
      <c r="E123" s="205" t="e">
        <f>+#REF!+224.5</f>
        <v>#REF!</v>
      </c>
      <c r="F123" s="205">
        <v>30</v>
      </c>
      <c r="G123" s="205">
        <v>221.4</v>
      </c>
      <c r="H123" s="525">
        <v>30</v>
      </c>
      <c r="I123" s="205"/>
      <c r="J123" s="205"/>
      <c r="K123" s="205">
        <v>30</v>
      </c>
      <c r="L123" s="205">
        <v>30</v>
      </c>
      <c r="M123" s="205"/>
      <c r="N123" s="236">
        <f t="shared" si="5"/>
        <v>30</v>
      </c>
      <c r="O123" s="205"/>
      <c r="P123" s="205"/>
      <c r="Q123" s="907" t="s">
        <v>312</v>
      </c>
      <c r="R123" s="909" t="s">
        <v>313</v>
      </c>
      <c r="S123" s="893"/>
      <c r="T123" s="909" t="s">
        <v>314</v>
      </c>
      <c r="U123" s="891" t="s">
        <v>297</v>
      </c>
      <c r="V123" s="893">
        <f>25783+90671+55281</f>
        <v>171735</v>
      </c>
      <c r="W123" s="893">
        <f>26161+94442+57747</f>
        <v>178350</v>
      </c>
      <c r="X123" s="893" t="s">
        <v>231</v>
      </c>
      <c r="Y123" s="893" t="s">
        <v>225</v>
      </c>
      <c r="Z123" s="893" t="s">
        <v>232</v>
      </c>
      <c r="AA123" s="985">
        <f>+V123+W123</f>
        <v>350085</v>
      </c>
    </row>
    <row r="124" spans="1:27" ht="48" customHeight="1" x14ac:dyDescent="0.25">
      <c r="A124" s="994"/>
      <c r="B124" s="997"/>
      <c r="C124" s="891"/>
      <c r="D124" s="335" t="s">
        <v>36</v>
      </c>
      <c r="E124" s="231">
        <f>332333400/4</f>
        <v>83083350</v>
      </c>
      <c r="F124" s="231">
        <v>186791666.66666669</v>
      </c>
      <c r="G124" s="231">
        <v>83083350</v>
      </c>
      <c r="H124" s="508">
        <v>119917562.5</v>
      </c>
      <c r="I124" s="207"/>
      <c r="J124" s="207"/>
      <c r="K124" s="207">
        <f>324568450/4</f>
        <v>81142112.5</v>
      </c>
      <c r="L124" s="207">
        <f>113338625+388000</f>
        <v>113726625</v>
      </c>
      <c r="M124" s="207"/>
      <c r="N124" s="236">
        <f t="shared" si="5"/>
        <v>113726625</v>
      </c>
      <c r="O124" s="207"/>
      <c r="P124" s="207"/>
      <c r="Q124" s="907"/>
      <c r="R124" s="909"/>
      <c r="S124" s="893"/>
      <c r="T124" s="909"/>
      <c r="U124" s="891"/>
      <c r="V124" s="893"/>
      <c r="W124" s="893"/>
      <c r="X124" s="893"/>
      <c r="Y124" s="893"/>
      <c r="Z124" s="893"/>
      <c r="AA124" s="985"/>
    </row>
    <row r="125" spans="1:27" ht="48" customHeight="1" x14ac:dyDescent="0.25">
      <c r="A125" s="994"/>
      <c r="B125" s="997"/>
      <c r="C125" s="891"/>
      <c r="D125" s="335" t="s">
        <v>37</v>
      </c>
      <c r="E125" s="229"/>
      <c r="F125" s="229"/>
      <c r="G125" s="229"/>
      <c r="H125" s="506"/>
      <c r="I125" s="207"/>
      <c r="J125" s="207"/>
      <c r="K125" s="207"/>
      <c r="L125" s="207"/>
      <c r="M125" s="207"/>
      <c r="N125" s="236">
        <f t="shared" si="5"/>
        <v>0</v>
      </c>
      <c r="O125" s="207"/>
      <c r="P125" s="207"/>
      <c r="Q125" s="907"/>
      <c r="R125" s="909"/>
      <c r="S125" s="893"/>
      <c r="T125" s="909"/>
      <c r="U125" s="891"/>
      <c r="V125" s="893"/>
      <c r="W125" s="893"/>
      <c r="X125" s="893"/>
      <c r="Y125" s="893"/>
      <c r="Z125" s="893"/>
      <c r="AA125" s="985"/>
    </row>
    <row r="126" spans="1:27" ht="48" customHeight="1" x14ac:dyDescent="0.25">
      <c r="A126" s="994"/>
      <c r="B126" s="997"/>
      <c r="C126" s="891"/>
      <c r="D126" s="335" t="s">
        <v>38</v>
      </c>
      <c r="E126" s="207">
        <f>388000+250000000</f>
        <v>250388000</v>
      </c>
      <c r="F126" s="207">
        <v>61469204.327178806</v>
      </c>
      <c r="G126" s="207">
        <v>250388000</v>
      </c>
      <c r="H126" s="508">
        <v>250388000</v>
      </c>
      <c r="I126" s="207"/>
      <c r="J126" s="207"/>
      <c r="K126" s="207">
        <f>12062514+2949438</f>
        <v>15011952</v>
      </c>
      <c r="L126" s="207">
        <v>107495385.866667</v>
      </c>
      <c r="M126" s="207"/>
      <c r="N126" s="236">
        <f t="shared" si="5"/>
        <v>107495385.866667</v>
      </c>
      <c r="O126" s="207"/>
      <c r="P126" s="207"/>
      <c r="Q126" s="907"/>
      <c r="R126" s="909"/>
      <c r="S126" s="893"/>
      <c r="T126" s="909"/>
      <c r="U126" s="891"/>
      <c r="V126" s="893"/>
      <c r="W126" s="893"/>
      <c r="X126" s="893"/>
      <c r="Y126" s="893"/>
      <c r="Z126" s="893"/>
      <c r="AA126" s="985"/>
    </row>
    <row r="127" spans="1:27" ht="48" customHeight="1" x14ac:dyDescent="0.25">
      <c r="A127" s="994"/>
      <c r="B127" s="997"/>
      <c r="C127" s="899" t="s">
        <v>304</v>
      </c>
      <c r="D127" s="471" t="s">
        <v>34</v>
      </c>
      <c r="E127" s="205" t="e">
        <f>+#REF!+7</f>
        <v>#REF!</v>
      </c>
      <c r="F127" s="205">
        <v>33.39</v>
      </c>
      <c r="G127" s="205">
        <v>46</v>
      </c>
      <c r="H127" s="525">
        <v>46</v>
      </c>
      <c r="I127" s="205"/>
      <c r="J127" s="230"/>
      <c r="K127" s="205">
        <v>33.39</v>
      </c>
      <c r="L127" s="205">
        <v>46</v>
      </c>
      <c r="M127" s="205"/>
      <c r="N127" s="236">
        <f t="shared" si="5"/>
        <v>46</v>
      </c>
      <c r="O127" s="230"/>
      <c r="P127" s="230"/>
      <c r="Q127" s="907" t="s">
        <v>316</v>
      </c>
      <c r="R127" s="909"/>
      <c r="S127" s="893"/>
      <c r="T127" s="909" t="s">
        <v>315</v>
      </c>
      <c r="U127" s="891" t="s">
        <v>297</v>
      </c>
      <c r="V127" s="893">
        <f>25783+90671+55281</f>
        <v>171735</v>
      </c>
      <c r="W127" s="893">
        <f>26161+94442+57747</f>
        <v>178350</v>
      </c>
      <c r="X127" s="893" t="s">
        <v>231</v>
      </c>
      <c r="Y127" s="893" t="s">
        <v>225</v>
      </c>
      <c r="Z127" s="893" t="s">
        <v>232</v>
      </c>
      <c r="AA127" s="985">
        <f>+V127+W127</f>
        <v>350085</v>
      </c>
    </row>
    <row r="128" spans="1:27" ht="48" customHeight="1" x14ac:dyDescent="0.25">
      <c r="A128" s="994"/>
      <c r="B128" s="997"/>
      <c r="C128" s="899"/>
      <c r="D128" s="335" t="s">
        <v>36</v>
      </c>
      <c r="E128" s="231">
        <f>78408750+332333400/4</f>
        <v>161492100</v>
      </c>
      <c r="F128" s="231">
        <v>549161666.66666675</v>
      </c>
      <c r="G128" s="231">
        <v>161492100</v>
      </c>
      <c r="H128" s="508">
        <v>198326312.5</v>
      </c>
      <c r="I128" s="207"/>
      <c r="J128" s="207"/>
      <c r="K128" s="207">
        <f>324568450/4</f>
        <v>81142112.5</v>
      </c>
      <c r="L128" s="207">
        <f>113338625+78408750</f>
        <v>191747375</v>
      </c>
      <c r="M128" s="207"/>
      <c r="N128" s="236">
        <f t="shared" si="5"/>
        <v>191747375</v>
      </c>
      <c r="O128" s="207"/>
      <c r="P128" s="207"/>
      <c r="Q128" s="907"/>
      <c r="R128" s="909"/>
      <c r="S128" s="893"/>
      <c r="T128" s="909"/>
      <c r="U128" s="891"/>
      <c r="V128" s="893"/>
      <c r="W128" s="893"/>
      <c r="X128" s="893"/>
      <c r="Y128" s="893"/>
      <c r="Z128" s="893"/>
      <c r="AA128" s="985"/>
    </row>
    <row r="129" spans="1:27" ht="48" customHeight="1" x14ac:dyDescent="0.25">
      <c r="A129" s="994"/>
      <c r="B129" s="997"/>
      <c r="C129" s="899"/>
      <c r="D129" s="335" t="s">
        <v>37</v>
      </c>
      <c r="E129" s="207"/>
      <c r="F129" s="207"/>
      <c r="G129" s="207"/>
      <c r="H129" s="508"/>
      <c r="I129" s="207"/>
      <c r="J129" s="207"/>
      <c r="K129" s="207"/>
      <c r="L129" s="207"/>
      <c r="M129" s="207"/>
      <c r="N129" s="236">
        <f t="shared" si="5"/>
        <v>0</v>
      </c>
      <c r="O129" s="207"/>
      <c r="P129" s="207"/>
      <c r="Q129" s="907"/>
      <c r="R129" s="909"/>
      <c r="S129" s="893"/>
      <c r="T129" s="909"/>
      <c r="U129" s="891"/>
      <c r="V129" s="893"/>
      <c r="W129" s="893"/>
      <c r="X129" s="893"/>
      <c r="Y129" s="893"/>
      <c r="Z129" s="893"/>
      <c r="AA129" s="985"/>
    </row>
    <row r="130" spans="1:27" ht="48" customHeight="1" x14ac:dyDescent="0.25">
      <c r="A130" s="994"/>
      <c r="B130" s="997"/>
      <c r="C130" s="899"/>
      <c r="D130" s="335" t="s">
        <v>38</v>
      </c>
      <c r="E130" s="232">
        <f>80336723.3333333/4+300000000+8700000</f>
        <v>328784180.83333331</v>
      </c>
      <c r="F130" s="232">
        <v>104854021.9002876</v>
      </c>
      <c r="G130" s="232">
        <v>328784180.83333331</v>
      </c>
      <c r="H130" s="507">
        <v>328784180.83333331</v>
      </c>
      <c r="I130" s="232"/>
      <c r="J130" s="207"/>
      <c r="K130" s="207">
        <f>12062514+8700000</f>
        <v>20762514</v>
      </c>
      <c r="L130" s="207">
        <v>23772277.866666701</v>
      </c>
      <c r="M130" s="207"/>
      <c r="N130" s="236">
        <f t="shared" si="5"/>
        <v>23772277.866666701</v>
      </c>
      <c r="O130" s="207"/>
      <c r="P130" s="207"/>
      <c r="Q130" s="907"/>
      <c r="R130" s="909"/>
      <c r="S130" s="893"/>
      <c r="T130" s="909"/>
      <c r="U130" s="891"/>
      <c r="V130" s="893"/>
      <c r="W130" s="893"/>
      <c r="X130" s="893"/>
      <c r="Y130" s="893"/>
      <c r="Z130" s="893"/>
      <c r="AA130" s="985"/>
    </row>
    <row r="131" spans="1:27" ht="48" customHeight="1" x14ac:dyDescent="0.25">
      <c r="A131" s="994"/>
      <c r="B131" s="997"/>
      <c r="C131" s="913" t="s">
        <v>305</v>
      </c>
      <c r="D131" s="471" t="s">
        <v>34</v>
      </c>
      <c r="E131" s="229"/>
      <c r="F131" s="229"/>
      <c r="G131" s="229"/>
      <c r="H131" s="506"/>
      <c r="I131" s="229"/>
      <c r="J131" s="261"/>
      <c r="K131" s="229"/>
      <c r="L131" s="207"/>
      <c r="M131" s="207"/>
      <c r="N131" s="236">
        <f t="shared" si="5"/>
        <v>0</v>
      </c>
      <c r="O131" s="261"/>
      <c r="P131" s="207"/>
      <c r="Q131" s="907" t="s">
        <v>312</v>
      </c>
      <c r="R131" s="909"/>
      <c r="S131" s="893" t="s">
        <v>317</v>
      </c>
      <c r="T131" s="909" t="s">
        <v>319</v>
      </c>
      <c r="U131" s="891" t="s">
        <v>318</v>
      </c>
      <c r="V131" s="893">
        <v>961</v>
      </c>
      <c r="W131" s="893">
        <v>884</v>
      </c>
      <c r="X131" s="893" t="s">
        <v>231</v>
      </c>
      <c r="Y131" s="893" t="s">
        <v>225</v>
      </c>
      <c r="Z131" s="893" t="s">
        <v>232</v>
      </c>
      <c r="AA131" s="985">
        <f>+V131+W131</f>
        <v>1845</v>
      </c>
    </row>
    <row r="132" spans="1:27" ht="48" customHeight="1" x14ac:dyDescent="0.25">
      <c r="A132" s="994"/>
      <c r="B132" s="997"/>
      <c r="C132" s="913"/>
      <c r="D132" s="335" t="s">
        <v>36</v>
      </c>
      <c r="E132" s="207"/>
      <c r="F132" s="207">
        <v>51000833</v>
      </c>
      <c r="G132" s="207"/>
      <c r="H132" s="508"/>
      <c r="I132" s="207"/>
      <c r="J132" s="207"/>
      <c r="K132" s="207"/>
      <c r="L132" s="207"/>
      <c r="M132" s="207"/>
      <c r="N132" s="236">
        <f t="shared" si="5"/>
        <v>0</v>
      </c>
      <c r="O132" s="207"/>
      <c r="P132" s="207"/>
      <c r="Q132" s="907"/>
      <c r="R132" s="909"/>
      <c r="S132" s="893"/>
      <c r="T132" s="909"/>
      <c r="U132" s="891"/>
      <c r="V132" s="893"/>
      <c r="W132" s="893"/>
      <c r="X132" s="893"/>
      <c r="Y132" s="893"/>
      <c r="Z132" s="893"/>
      <c r="AA132" s="985"/>
    </row>
    <row r="133" spans="1:27" ht="48" customHeight="1" x14ac:dyDescent="0.25">
      <c r="A133" s="994"/>
      <c r="B133" s="997"/>
      <c r="C133" s="913"/>
      <c r="D133" s="335" t="s">
        <v>37</v>
      </c>
      <c r="E133" s="233"/>
      <c r="F133" s="233"/>
      <c r="G133" s="233"/>
      <c r="H133" s="317"/>
      <c r="I133" s="207"/>
      <c r="J133" s="207"/>
      <c r="K133" s="207"/>
      <c r="L133" s="207"/>
      <c r="M133" s="207"/>
      <c r="N133" s="236">
        <f t="shared" si="5"/>
        <v>0</v>
      </c>
      <c r="O133" s="207"/>
      <c r="P133" s="207"/>
      <c r="Q133" s="907"/>
      <c r="R133" s="909"/>
      <c r="S133" s="893"/>
      <c r="T133" s="909"/>
      <c r="U133" s="891"/>
      <c r="V133" s="893"/>
      <c r="W133" s="893"/>
      <c r="X133" s="893"/>
      <c r="Y133" s="893"/>
      <c r="Z133" s="893"/>
      <c r="AA133" s="985"/>
    </row>
    <row r="134" spans="1:27" ht="48" customHeight="1" x14ac:dyDescent="0.25">
      <c r="A134" s="994"/>
      <c r="B134" s="997"/>
      <c r="C134" s="913"/>
      <c r="D134" s="335" t="s">
        <v>38</v>
      </c>
      <c r="E134" s="232"/>
      <c r="F134" s="232">
        <v>10566889</v>
      </c>
      <c r="G134" s="232"/>
      <c r="H134" s="507"/>
      <c r="I134" s="207"/>
      <c r="J134" s="207"/>
      <c r="K134" s="569">
        <f>+H135-272.9</f>
        <v>0</v>
      </c>
      <c r="L134" s="207"/>
      <c r="M134" s="207"/>
      <c r="N134" s="236">
        <f t="shared" si="5"/>
        <v>0</v>
      </c>
      <c r="O134" s="207"/>
      <c r="P134" s="207"/>
      <c r="Q134" s="907"/>
      <c r="R134" s="909"/>
      <c r="S134" s="893"/>
      <c r="T134" s="909"/>
      <c r="U134" s="891"/>
      <c r="V134" s="893"/>
      <c r="W134" s="893"/>
      <c r="X134" s="893"/>
      <c r="Y134" s="893"/>
      <c r="Z134" s="893"/>
      <c r="AA134" s="985"/>
    </row>
    <row r="135" spans="1:27" ht="48" customHeight="1" x14ac:dyDescent="0.25">
      <c r="A135" s="994"/>
      <c r="B135" s="997"/>
      <c r="C135" s="913" t="s">
        <v>391</v>
      </c>
      <c r="D135" s="471" t="s">
        <v>34</v>
      </c>
      <c r="E135" s="233" t="e">
        <f>E131+E127+E123+E119+E115+E111</f>
        <v>#REF!</v>
      </c>
      <c r="F135" s="233">
        <v>254.89999999999998</v>
      </c>
      <c r="G135" s="233">
        <f>G131+G127+G123+G119+G115+G111</f>
        <v>466.9</v>
      </c>
      <c r="H135" s="317">
        <v>272.89999999999998</v>
      </c>
      <c r="I135" s="229"/>
      <c r="J135" s="229"/>
      <c r="K135" s="229">
        <f>K131+K127+K123+K119+K115+K111</f>
        <v>254.89999999999998</v>
      </c>
      <c r="L135" s="215">
        <f>L131+L127+L123+L119+L115+L111</f>
        <v>272.89999999999998</v>
      </c>
      <c r="M135" s="229">
        <v>258.58999999999997</v>
      </c>
      <c r="N135" s="236">
        <f t="shared" si="5"/>
        <v>14.310000000000002</v>
      </c>
      <c r="O135" s="229"/>
      <c r="P135" s="233"/>
      <c r="Q135" s="278"/>
      <c r="R135" s="278"/>
      <c r="S135" s="278"/>
      <c r="T135" s="278"/>
      <c r="U135" s="278"/>
      <c r="V135" s="278"/>
      <c r="W135" s="278"/>
      <c r="X135" s="278"/>
      <c r="Y135" s="278"/>
      <c r="Z135" s="278"/>
      <c r="AA135" s="279"/>
    </row>
    <row r="136" spans="1:27" ht="48" customHeight="1" x14ac:dyDescent="0.25">
      <c r="A136" s="994"/>
      <c r="B136" s="997"/>
      <c r="C136" s="913"/>
      <c r="D136" s="335" t="s">
        <v>36</v>
      </c>
      <c r="E136" s="207">
        <f t="shared" ref="E136:G136" si="6">E132+E128+E124+E120+E116+E112</f>
        <v>905579000</v>
      </c>
      <c r="F136" s="207">
        <v>1037500000</v>
      </c>
      <c r="G136" s="207">
        <f t="shared" si="6"/>
        <v>905579000</v>
      </c>
      <c r="H136" s="508">
        <v>899958276</v>
      </c>
      <c r="I136" s="207"/>
      <c r="J136" s="207"/>
      <c r="K136" s="207">
        <f t="shared" ref="K136:L136" si="7">K132+K128+K124+K120+K116+K112</f>
        <v>324568450</v>
      </c>
      <c r="L136" s="207">
        <f t="shared" si="7"/>
        <v>532151250</v>
      </c>
      <c r="M136" s="207">
        <v>531763250</v>
      </c>
      <c r="N136" s="236">
        <f t="shared" si="5"/>
        <v>388000</v>
      </c>
      <c r="O136" s="207"/>
      <c r="P136" s="207"/>
      <c r="Q136" s="278"/>
      <c r="R136" s="278"/>
      <c r="S136" s="278"/>
      <c r="T136" s="278"/>
      <c r="U136" s="278"/>
      <c r="V136" s="278"/>
      <c r="W136" s="278"/>
      <c r="X136" s="278"/>
      <c r="Y136" s="278"/>
      <c r="Z136" s="278"/>
      <c r="AA136" s="279"/>
    </row>
    <row r="137" spans="1:27" ht="48" customHeight="1" x14ac:dyDescent="0.25">
      <c r="A137" s="994"/>
      <c r="B137" s="997"/>
      <c r="C137" s="913"/>
      <c r="D137" s="335" t="s">
        <v>37</v>
      </c>
      <c r="E137" s="207"/>
      <c r="F137" s="207">
        <v>0</v>
      </c>
      <c r="G137" s="207"/>
      <c r="H137" s="508"/>
      <c r="I137" s="207"/>
      <c r="J137" s="229"/>
      <c r="K137" s="229"/>
      <c r="L137" s="229"/>
      <c r="M137" s="229"/>
      <c r="N137" s="236">
        <f t="shared" si="5"/>
        <v>0</v>
      </c>
      <c r="O137" s="229"/>
      <c r="P137" s="229"/>
      <c r="Q137" s="278"/>
      <c r="R137" s="278"/>
      <c r="S137" s="278"/>
      <c r="T137" s="278"/>
      <c r="U137" s="278"/>
      <c r="V137" s="278"/>
      <c r="W137" s="278"/>
      <c r="X137" s="278"/>
      <c r="Y137" s="278"/>
      <c r="Z137" s="278"/>
      <c r="AA137" s="279"/>
    </row>
    <row r="138" spans="1:27" ht="48" customHeight="1" x14ac:dyDescent="0.25">
      <c r="A138" s="995"/>
      <c r="B138" s="997"/>
      <c r="C138" s="913"/>
      <c r="D138" s="570" t="s">
        <v>517</v>
      </c>
      <c r="E138" s="207"/>
      <c r="F138" s="207"/>
      <c r="G138" s="207"/>
      <c r="H138" s="508">
        <f>H134+H130+H126+H122+H118+H114</f>
        <v>639424723.33333337</v>
      </c>
      <c r="I138" s="207"/>
      <c r="J138" s="229"/>
      <c r="K138" s="229"/>
      <c r="L138" s="229"/>
      <c r="M138" s="229"/>
      <c r="N138" s="236"/>
      <c r="O138" s="229"/>
      <c r="P138" s="229"/>
      <c r="Q138" s="278"/>
      <c r="R138" s="278"/>
      <c r="S138" s="278"/>
      <c r="T138" s="278"/>
      <c r="U138" s="278"/>
      <c r="V138" s="278"/>
      <c r="W138" s="278"/>
      <c r="X138" s="278"/>
      <c r="Y138" s="278"/>
      <c r="Z138" s="278"/>
      <c r="AA138" s="279"/>
    </row>
    <row r="139" spans="1:27" ht="48" customHeight="1" thickBot="1" x14ac:dyDescent="0.3">
      <c r="A139" s="995"/>
      <c r="B139" s="998"/>
      <c r="C139" s="942"/>
      <c r="D139" s="468" t="s">
        <v>38</v>
      </c>
      <c r="E139" s="571">
        <f>E134+E130+E126+E122+E118+E114</f>
        <v>639424723.33333337</v>
      </c>
      <c r="F139" s="571">
        <v>402019593.00000012</v>
      </c>
      <c r="G139" s="571">
        <f>G134+G130+G126+G122+G118+G114</f>
        <v>639424723.33333337</v>
      </c>
      <c r="H139" s="572">
        <v>639424723.33333337</v>
      </c>
      <c r="I139" s="208"/>
      <c r="J139" s="208"/>
      <c r="K139" s="208">
        <f t="shared" ref="K139:L139" si="8">K134+K130+K126+K122+K118+K114</f>
        <v>59899494</v>
      </c>
      <c r="L139" s="477">
        <f t="shared" si="8"/>
        <v>176484497.33333382</v>
      </c>
      <c r="M139" s="208">
        <v>176484497.33333331</v>
      </c>
      <c r="N139" s="204">
        <f t="shared" ref="N139:N162" si="9">L139-M139</f>
        <v>5.0663948059082031E-7</v>
      </c>
      <c r="O139" s="208"/>
      <c r="P139" s="208"/>
      <c r="Q139" s="280"/>
      <c r="R139" s="280"/>
      <c r="S139" s="280"/>
      <c r="T139" s="280"/>
      <c r="U139" s="280"/>
      <c r="V139" s="280"/>
      <c r="W139" s="280"/>
      <c r="X139" s="280"/>
      <c r="Y139" s="280"/>
      <c r="Z139" s="280"/>
      <c r="AA139" s="281"/>
    </row>
    <row r="140" spans="1:27" ht="48" customHeight="1" x14ac:dyDescent="0.25">
      <c r="A140" s="922">
        <v>11</v>
      </c>
      <c r="B140" s="901" t="s">
        <v>171</v>
      </c>
      <c r="C140" s="912" t="s">
        <v>293</v>
      </c>
      <c r="D140" s="467" t="s">
        <v>34</v>
      </c>
      <c r="E140" s="209">
        <v>1</v>
      </c>
      <c r="F140" s="209">
        <v>1</v>
      </c>
      <c r="G140" s="209">
        <v>1</v>
      </c>
      <c r="H140" s="476">
        <v>1</v>
      </c>
      <c r="I140" s="209"/>
      <c r="J140" s="209"/>
      <c r="K140" s="209">
        <v>1</v>
      </c>
      <c r="L140" s="209">
        <v>1</v>
      </c>
      <c r="M140" s="209"/>
      <c r="N140" s="264">
        <f t="shared" si="9"/>
        <v>1</v>
      </c>
      <c r="O140" s="213"/>
      <c r="P140" s="209"/>
      <c r="Q140" s="925" t="s">
        <v>322</v>
      </c>
      <c r="R140" s="908" t="s">
        <v>294</v>
      </c>
      <c r="S140" s="892" t="s">
        <v>293</v>
      </c>
      <c r="T140" s="908" t="s">
        <v>295</v>
      </c>
      <c r="U140" s="895" t="s">
        <v>298</v>
      </c>
      <c r="V140" s="892">
        <v>37165</v>
      </c>
      <c r="W140" s="892">
        <v>38660</v>
      </c>
      <c r="X140" s="892" t="s">
        <v>231</v>
      </c>
      <c r="Y140" s="892" t="s">
        <v>225</v>
      </c>
      <c r="Z140" s="892" t="s">
        <v>232</v>
      </c>
      <c r="AA140" s="984">
        <f>+V140+W140</f>
        <v>75825</v>
      </c>
    </row>
    <row r="141" spans="1:27" ht="48" customHeight="1" x14ac:dyDescent="0.25">
      <c r="A141" s="923"/>
      <c r="B141" s="902"/>
      <c r="C141" s="913"/>
      <c r="D141" s="335" t="s">
        <v>36</v>
      </c>
      <c r="E141" s="207">
        <f>455993300*0.1+1499480000*0.1+36446550+438916850/5</f>
        <v>319777250</v>
      </c>
      <c r="F141" s="207">
        <v>314792510.23057812</v>
      </c>
      <c r="G141" s="207">
        <f>455993300*0.1+1499480000*0.1+36446550+438916850/5</f>
        <v>319777250</v>
      </c>
      <c r="H141" s="508">
        <v>468468615</v>
      </c>
      <c r="I141" s="207"/>
      <c r="J141" s="207"/>
      <c r="K141" s="207">
        <f>249934650/4+351433424*0.15+67980000*0.1</f>
        <v>121996676.09999999</v>
      </c>
      <c r="L141" s="207">
        <f>34711000+103531737.5+218221568+125542350/2</f>
        <v>419235480.5</v>
      </c>
      <c r="M141" s="207"/>
      <c r="N141" s="236">
        <f t="shared" si="9"/>
        <v>419235480.5</v>
      </c>
      <c r="O141" s="207"/>
      <c r="P141" s="301"/>
      <c r="Q141" s="907"/>
      <c r="R141" s="909"/>
      <c r="S141" s="893"/>
      <c r="T141" s="909"/>
      <c r="U141" s="891"/>
      <c r="V141" s="893"/>
      <c r="W141" s="893"/>
      <c r="X141" s="893"/>
      <c r="Y141" s="893"/>
      <c r="Z141" s="893"/>
      <c r="AA141" s="985"/>
    </row>
    <row r="142" spans="1:27" ht="48" customHeight="1" x14ac:dyDescent="0.25">
      <c r="A142" s="923"/>
      <c r="B142" s="902"/>
      <c r="C142" s="913"/>
      <c r="D142" s="335" t="s">
        <v>37</v>
      </c>
      <c r="E142" s="323"/>
      <c r="F142" s="323"/>
      <c r="G142" s="323"/>
      <c r="H142" s="323"/>
      <c r="I142" s="207"/>
      <c r="J142" s="207"/>
      <c r="K142" s="207"/>
      <c r="L142" s="207"/>
      <c r="M142" s="207"/>
      <c r="N142" s="236">
        <f t="shared" si="9"/>
        <v>0</v>
      </c>
      <c r="O142" s="207"/>
      <c r="P142" s="207"/>
      <c r="Q142" s="907"/>
      <c r="R142" s="909"/>
      <c r="S142" s="893"/>
      <c r="T142" s="909"/>
      <c r="U142" s="891"/>
      <c r="V142" s="893"/>
      <c r="W142" s="893"/>
      <c r="X142" s="893"/>
      <c r="Y142" s="893"/>
      <c r="Z142" s="893"/>
      <c r="AA142" s="985"/>
    </row>
    <row r="143" spans="1:27" ht="48" customHeight="1" x14ac:dyDescent="0.25">
      <c r="A143" s="923"/>
      <c r="B143" s="902"/>
      <c r="C143" s="913"/>
      <c r="D143" s="335" t="s">
        <v>38</v>
      </c>
      <c r="E143" s="207">
        <f>355610866*0.1+4718000+13235000/3+243426503*0.12</f>
        <v>73901933.626666665</v>
      </c>
      <c r="F143" s="207">
        <v>122613397.84923562</v>
      </c>
      <c r="G143" s="207">
        <f>355610866*0.1+4718000+13235000/3+243426503*0.12</f>
        <v>73901933.626666665</v>
      </c>
      <c r="H143" s="508">
        <v>73906933.626666665</v>
      </c>
      <c r="I143" s="207"/>
      <c r="J143" s="207"/>
      <c r="K143" s="207">
        <f>3370000+3145333+11683000/3+243426503*0.15+87694421*0.1</f>
        <v>55693083.883333333</v>
      </c>
      <c r="L143" s="207">
        <f>4411666.66666667+3145333+36513975.45+24723969.4008028</f>
        <v>68794944.517469466</v>
      </c>
      <c r="M143" s="207"/>
      <c r="N143" s="236">
        <f t="shared" si="9"/>
        <v>68794944.517469466</v>
      </c>
      <c r="O143" s="207"/>
      <c r="P143" s="207"/>
      <c r="Q143" s="907"/>
      <c r="R143" s="909"/>
      <c r="S143" s="893"/>
      <c r="T143" s="909"/>
      <c r="U143" s="891"/>
      <c r="V143" s="893"/>
      <c r="W143" s="893"/>
      <c r="X143" s="893"/>
      <c r="Y143" s="893"/>
      <c r="Z143" s="893"/>
      <c r="AA143" s="985"/>
    </row>
    <row r="144" spans="1:27" ht="48" customHeight="1" x14ac:dyDescent="0.25">
      <c r="A144" s="923"/>
      <c r="B144" s="902"/>
      <c r="C144" s="913" t="s">
        <v>302</v>
      </c>
      <c r="D144" s="471" t="s">
        <v>34</v>
      </c>
      <c r="E144" s="205">
        <v>1</v>
      </c>
      <c r="F144" s="205">
        <v>1</v>
      </c>
      <c r="G144" s="205">
        <v>1</v>
      </c>
      <c r="H144" s="525">
        <v>1</v>
      </c>
      <c r="I144" s="205"/>
      <c r="J144" s="205"/>
      <c r="K144" s="205">
        <v>1</v>
      </c>
      <c r="L144" s="205">
        <v>1</v>
      </c>
      <c r="M144" s="205"/>
      <c r="N144" s="236">
        <f t="shared" si="9"/>
        <v>1</v>
      </c>
      <c r="O144" s="207"/>
      <c r="P144" s="205"/>
      <c r="Q144" s="907" t="s">
        <v>323</v>
      </c>
      <c r="R144" s="909" t="s">
        <v>290</v>
      </c>
      <c r="S144" s="893" t="s">
        <v>291</v>
      </c>
      <c r="T144" s="909" t="s">
        <v>299</v>
      </c>
      <c r="U144" s="891" t="s">
        <v>297</v>
      </c>
      <c r="V144" s="893">
        <v>1357</v>
      </c>
      <c r="W144" s="893">
        <v>1226</v>
      </c>
      <c r="X144" s="893" t="s">
        <v>231</v>
      </c>
      <c r="Y144" s="893" t="s">
        <v>225</v>
      </c>
      <c r="Z144" s="893" t="s">
        <v>232</v>
      </c>
      <c r="AA144" s="985">
        <f>+V144+W144</f>
        <v>2583</v>
      </c>
    </row>
    <row r="145" spans="1:27" ht="48" customHeight="1" x14ac:dyDescent="0.25">
      <c r="A145" s="923"/>
      <c r="B145" s="902"/>
      <c r="C145" s="913"/>
      <c r="D145" s="335" t="s">
        <v>36</v>
      </c>
      <c r="E145" s="207">
        <f>455993300*0.6+1499480000*0.7+36446550+28984200+438916850/5</f>
        <v>1476446100</v>
      </c>
      <c r="F145" s="207">
        <v>1303129357.1814227</v>
      </c>
      <c r="G145" s="207">
        <f>455993300*0.6+1499480000*0.7+36446550+28984200+438916850/5</f>
        <v>1476446100</v>
      </c>
      <c r="H145" s="508">
        <v>1402757008</v>
      </c>
      <c r="I145" s="207"/>
      <c r="J145" s="207"/>
      <c r="K145" s="207">
        <f>249934650/4+65430750+351433424*0.72+67980000*0.6</f>
        <v>421734477.77999997</v>
      </c>
      <c r="L145" s="207">
        <f>65430750+103531737.5+1000467841+125542350/2</f>
        <v>1232201503.5</v>
      </c>
      <c r="M145" s="207"/>
      <c r="N145" s="236">
        <f t="shared" si="9"/>
        <v>1232201503.5</v>
      </c>
      <c r="O145" s="207"/>
      <c r="P145" s="207"/>
      <c r="Q145" s="907"/>
      <c r="R145" s="909"/>
      <c r="S145" s="893"/>
      <c r="T145" s="909"/>
      <c r="U145" s="891"/>
      <c r="V145" s="893"/>
      <c r="W145" s="893"/>
      <c r="X145" s="893"/>
      <c r="Y145" s="893"/>
      <c r="Z145" s="893"/>
      <c r="AA145" s="985"/>
    </row>
    <row r="146" spans="1:27" ht="48" customHeight="1" x14ac:dyDescent="0.25">
      <c r="A146" s="923"/>
      <c r="B146" s="902"/>
      <c r="C146" s="913"/>
      <c r="D146" s="335" t="s">
        <v>37</v>
      </c>
      <c r="E146" s="229"/>
      <c r="F146" s="229"/>
      <c r="G146" s="229"/>
      <c r="H146" s="506"/>
      <c r="I146" s="229"/>
      <c r="J146" s="229"/>
      <c r="K146" s="229"/>
      <c r="L146" s="207"/>
      <c r="M146" s="207"/>
      <c r="N146" s="236">
        <f t="shared" si="9"/>
        <v>0</v>
      </c>
      <c r="O146" s="207"/>
      <c r="P146" s="207"/>
      <c r="Q146" s="907"/>
      <c r="R146" s="909"/>
      <c r="S146" s="893"/>
      <c r="T146" s="909"/>
      <c r="U146" s="891"/>
      <c r="V146" s="893"/>
      <c r="W146" s="893"/>
      <c r="X146" s="893"/>
      <c r="Y146" s="893"/>
      <c r="Z146" s="893"/>
      <c r="AA146" s="985"/>
    </row>
    <row r="147" spans="1:27" ht="48" customHeight="1" x14ac:dyDescent="0.25">
      <c r="A147" s="923"/>
      <c r="B147" s="902"/>
      <c r="C147" s="913"/>
      <c r="D147" s="335" t="s">
        <v>38</v>
      </c>
      <c r="E147" s="207">
        <f>355610866*0.6+80352060+7193666+13235000/3+243426503*0.72+9126013</f>
        <v>489717007.42666674</v>
      </c>
      <c r="F147" s="207">
        <v>166500567.05947995</v>
      </c>
      <c r="G147" s="207">
        <f>355610866*0.6+80352060+7193666+13235000/3+243426503*0.72+9126013</f>
        <v>489717007.42666674</v>
      </c>
      <c r="H147" s="508">
        <v>489717007.42666674</v>
      </c>
      <c r="I147" s="207"/>
      <c r="J147" s="207"/>
      <c r="K147" s="207">
        <f>7193666+11683000/3+243426503*0.72+87694421*0.6</f>
        <v>238971734.09333333</v>
      </c>
      <c r="L147" s="207">
        <f>4411666.66666667+7193666+175267082.16+150782956.648796</f>
        <v>337655371.47546268</v>
      </c>
      <c r="M147" s="207"/>
      <c r="N147" s="236">
        <f t="shared" si="9"/>
        <v>337655371.47546268</v>
      </c>
      <c r="O147" s="207"/>
      <c r="P147" s="207"/>
      <c r="Q147" s="907"/>
      <c r="R147" s="909"/>
      <c r="S147" s="893"/>
      <c r="T147" s="909"/>
      <c r="U147" s="891"/>
      <c r="V147" s="893"/>
      <c r="W147" s="893"/>
      <c r="X147" s="893"/>
      <c r="Y147" s="893"/>
      <c r="Z147" s="893"/>
      <c r="AA147" s="985"/>
    </row>
    <row r="148" spans="1:27" ht="48" customHeight="1" x14ac:dyDescent="0.25">
      <c r="A148" s="923"/>
      <c r="B148" s="902"/>
      <c r="C148" s="913" t="s">
        <v>320</v>
      </c>
      <c r="D148" s="471" t="s">
        <v>34</v>
      </c>
      <c r="E148" s="205">
        <v>1</v>
      </c>
      <c r="F148" s="205">
        <v>1</v>
      </c>
      <c r="G148" s="205">
        <v>1</v>
      </c>
      <c r="H148" s="525">
        <v>1</v>
      </c>
      <c r="I148" s="205"/>
      <c r="J148" s="205"/>
      <c r="K148" s="205">
        <v>1</v>
      </c>
      <c r="L148" s="205">
        <v>1</v>
      </c>
      <c r="M148" s="205"/>
      <c r="N148" s="236">
        <f t="shared" si="9"/>
        <v>1</v>
      </c>
      <c r="O148" s="207"/>
      <c r="P148" s="205"/>
      <c r="Q148" s="907" t="s">
        <v>255</v>
      </c>
      <c r="R148" s="909" t="s">
        <v>255</v>
      </c>
      <c r="S148" s="893" t="s">
        <v>326</v>
      </c>
      <c r="T148" s="909" t="s">
        <v>324</v>
      </c>
      <c r="U148" s="891" t="s">
        <v>325</v>
      </c>
      <c r="V148" s="893">
        <v>77707</v>
      </c>
      <c r="W148" s="893">
        <v>85382</v>
      </c>
      <c r="X148" s="893" t="s">
        <v>231</v>
      </c>
      <c r="Y148" s="893" t="s">
        <v>225</v>
      </c>
      <c r="Z148" s="893" t="s">
        <v>232</v>
      </c>
      <c r="AA148" s="985">
        <f>+V148+W148</f>
        <v>163089</v>
      </c>
    </row>
    <row r="149" spans="1:27" ht="48" customHeight="1" x14ac:dyDescent="0.25">
      <c r="A149" s="923"/>
      <c r="B149" s="902"/>
      <c r="C149" s="913"/>
      <c r="D149" s="335" t="s">
        <v>36</v>
      </c>
      <c r="E149" s="207">
        <f>455993300*0.3+1499480000*0.1+36446550+438916850/5</f>
        <v>410975910</v>
      </c>
      <c r="F149" s="207">
        <v>764961699.58799922</v>
      </c>
      <c r="G149" s="207">
        <f>455993300*0.3+1499480000*0.1+36446550+438916850/5</f>
        <v>410975910</v>
      </c>
      <c r="H149" s="508">
        <v>419468843</v>
      </c>
      <c r="I149" s="207"/>
      <c r="J149" s="207"/>
      <c r="K149" s="207">
        <f>249934650/4+36446550+351433424*0.13+67980000*0.3</f>
        <v>165010557.62</v>
      </c>
      <c r="L149" s="207">
        <f>36446550+103531737.5+162346834</f>
        <v>302325121.5</v>
      </c>
      <c r="M149" s="207"/>
      <c r="N149" s="236">
        <f t="shared" si="9"/>
        <v>302325121.5</v>
      </c>
      <c r="O149" s="207"/>
      <c r="P149" s="207"/>
      <c r="Q149" s="907"/>
      <c r="R149" s="909"/>
      <c r="S149" s="893"/>
      <c r="T149" s="909"/>
      <c r="U149" s="891"/>
      <c r="V149" s="893"/>
      <c r="W149" s="893"/>
      <c r="X149" s="893"/>
      <c r="Y149" s="893"/>
      <c r="Z149" s="893"/>
      <c r="AA149" s="985"/>
    </row>
    <row r="150" spans="1:27" ht="48" customHeight="1" x14ac:dyDescent="0.25">
      <c r="A150" s="923"/>
      <c r="B150" s="902"/>
      <c r="C150" s="913"/>
      <c r="D150" s="335" t="s">
        <v>37</v>
      </c>
      <c r="E150" s="229"/>
      <c r="F150" s="229"/>
      <c r="G150" s="229"/>
      <c r="H150" s="506"/>
      <c r="I150" s="229"/>
      <c r="J150" s="229"/>
      <c r="K150" s="229"/>
      <c r="L150" s="207"/>
      <c r="M150" s="207"/>
      <c r="N150" s="236">
        <f t="shared" si="9"/>
        <v>0</v>
      </c>
      <c r="O150" s="207"/>
      <c r="P150" s="207"/>
      <c r="Q150" s="907"/>
      <c r="R150" s="909"/>
      <c r="S150" s="893"/>
      <c r="T150" s="909"/>
      <c r="U150" s="891"/>
      <c r="V150" s="893"/>
      <c r="W150" s="893"/>
      <c r="X150" s="893"/>
      <c r="Y150" s="893"/>
      <c r="Z150" s="893"/>
      <c r="AA150" s="985"/>
    </row>
    <row r="151" spans="1:27" ht="48" customHeight="1" x14ac:dyDescent="0.25">
      <c r="A151" s="923"/>
      <c r="B151" s="902"/>
      <c r="C151" s="913"/>
      <c r="D151" s="335" t="s">
        <v>38</v>
      </c>
      <c r="E151" s="234">
        <f>355610866*0.3+404080781+244389+11345666+13235000/3+243426503*0.16</f>
        <v>565714002.94666672</v>
      </c>
      <c r="F151" s="234">
        <v>97942777.091284409</v>
      </c>
      <c r="G151" s="234">
        <f>355610866*0.3+404080781+244389+11345666+13235000/3+243426503*0.16</f>
        <v>565714002.94666672</v>
      </c>
      <c r="H151" s="573">
        <v>565714002.94666672</v>
      </c>
      <c r="I151" s="234"/>
      <c r="J151" s="234"/>
      <c r="K151" s="234">
        <f>6178333+11683000/3+243426503*0.13+87694421*0.3</f>
        <v>68026438.023333341</v>
      </c>
      <c r="L151" s="207">
        <f>4411666.66666667+3819333+7526333+31645445.39+59767639+74984954.9504013</f>
        <v>182155372.00706798</v>
      </c>
      <c r="M151" s="207"/>
      <c r="N151" s="236">
        <f t="shared" si="9"/>
        <v>182155372.00706798</v>
      </c>
      <c r="O151" s="207"/>
      <c r="P151" s="207"/>
      <c r="Q151" s="907"/>
      <c r="R151" s="909"/>
      <c r="S151" s="893"/>
      <c r="T151" s="909"/>
      <c r="U151" s="891"/>
      <c r="V151" s="893"/>
      <c r="W151" s="893"/>
      <c r="X151" s="893"/>
      <c r="Y151" s="893"/>
      <c r="Z151" s="893"/>
      <c r="AA151" s="985"/>
    </row>
    <row r="152" spans="1:27" ht="48" customHeight="1" x14ac:dyDescent="0.25">
      <c r="A152" s="923"/>
      <c r="B152" s="902"/>
      <c r="C152" s="913" t="s">
        <v>321</v>
      </c>
      <c r="D152" s="471" t="s">
        <v>34</v>
      </c>
      <c r="E152" s="205">
        <v>1</v>
      </c>
      <c r="F152" s="205">
        <v>1</v>
      </c>
      <c r="G152" s="205">
        <v>1</v>
      </c>
      <c r="H152" s="525">
        <v>1</v>
      </c>
      <c r="I152" s="205"/>
      <c r="J152" s="205"/>
      <c r="K152" s="205">
        <v>1</v>
      </c>
      <c r="L152" s="205">
        <v>1</v>
      </c>
      <c r="M152" s="205"/>
      <c r="N152" s="236">
        <f t="shared" si="9"/>
        <v>1</v>
      </c>
      <c r="O152" s="207"/>
      <c r="P152" s="205"/>
      <c r="Q152" s="907" t="s">
        <v>312</v>
      </c>
      <c r="R152" s="909" t="s">
        <v>313</v>
      </c>
      <c r="S152" s="893"/>
      <c r="T152" s="909" t="s">
        <v>314</v>
      </c>
      <c r="U152" s="891" t="s">
        <v>297</v>
      </c>
      <c r="V152" s="893">
        <f>25783+90671+55281</f>
        <v>171735</v>
      </c>
      <c r="W152" s="893">
        <f>26161+94442+57747</f>
        <v>178350</v>
      </c>
      <c r="X152" s="893" t="s">
        <v>231</v>
      </c>
      <c r="Y152" s="893" t="s">
        <v>225</v>
      </c>
      <c r="Z152" s="893" t="s">
        <v>232</v>
      </c>
      <c r="AA152" s="985">
        <f>+V152+W152</f>
        <v>350085</v>
      </c>
    </row>
    <row r="153" spans="1:27" ht="48" customHeight="1" x14ac:dyDescent="0.25">
      <c r="A153" s="923"/>
      <c r="B153" s="902"/>
      <c r="C153" s="913"/>
      <c r="D153" s="335" t="s">
        <v>36</v>
      </c>
      <c r="E153" s="235">
        <f>1499480000*0.1+438916850/5</f>
        <v>237731370</v>
      </c>
      <c r="F153" s="235">
        <v>61678750</v>
      </c>
      <c r="G153" s="235">
        <f>1499480000*0.1+438916850/5</f>
        <v>237731370</v>
      </c>
      <c r="H153" s="574">
        <v>110891330</v>
      </c>
      <c r="I153" s="235"/>
      <c r="J153" s="235"/>
      <c r="K153" s="207">
        <f>249934650/4</f>
        <v>62483662.5</v>
      </c>
      <c r="L153" s="207">
        <f>103531737.5+83812101</f>
        <v>187343838.5</v>
      </c>
      <c r="M153" s="207"/>
      <c r="N153" s="236">
        <f t="shared" si="9"/>
        <v>187343838.5</v>
      </c>
      <c r="O153" s="236"/>
      <c r="P153" s="236"/>
      <c r="Q153" s="907"/>
      <c r="R153" s="909"/>
      <c r="S153" s="893"/>
      <c r="T153" s="909"/>
      <c r="U153" s="891"/>
      <c r="V153" s="893"/>
      <c r="W153" s="893"/>
      <c r="X153" s="893"/>
      <c r="Y153" s="893"/>
      <c r="Z153" s="893"/>
      <c r="AA153" s="985"/>
    </row>
    <row r="154" spans="1:27" ht="38.25" customHeight="1" x14ac:dyDescent="0.25">
      <c r="A154" s="923"/>
      <c r="B154" s="902"/>
      <c r="C154" s="913"/>
      <c r="D154" s="335" t="s">
        <v>37</v>
      </c>
      <c r="E154" s="210"/>
      <c r="F154" s="210"/>
      <c r="G154" s="210"/>
      <c r="H154" s="537"/>
      <c r="I154" s="210"/>
      <c r="J154" s="210"/>
      <c r="K154" s="210"/>
      <c r="L154" s="236"/>
      <c r="M154" s="236"/>
      <c r="N154" s="236">
        <f t="shared" si="9"/>
        <v>0</v>
      </c>
      <c r="O154" s="236"/>
      <c r="P154" s="236"/>
      <c r="Q154" s="907"/>
      <c r="R154" s="909"/>
      <c r="S154" s="893"/>
      <c r="T154" s="909"/>
      <c r="U154" s="891"/>
      <c r="V154" s="893"/>
      <c r="W154" s="893"/>
      <c r="X154" s="893"/>
      <c r="Y154" s="893"/>
      <c r="Z154" s="893"/>
      <c r="AA154" s="985"/>
    </row>
    <row r="155" spans="1:27" ht="27" customHeight="1" x14ac:dyDescent="0.25">
      <c r="A155" s="923"/>
      <c r="B155" s="902"/>
      <c r="C155" s="913"/>
      <c r="D155" s="335" t="s">
        <v>38</v>
      </c>
      <c r="E155" s="234"/>
      <c r="F155" s="234"/>
      <c r="G155" s="234"/>
      <c r="H155" s="573"/>
      <c r="I155" s="234"/>
      <c r="J155" s="234"/>
      <c r="K155" s="234"/>
      <c r="L155" s="207"/>
      <c r="M155" s="207"/>
      <c r="N155" s="236">
        <f t="shared" si="9"/>
        <v>0</v>
      </c>
      <c r="O155" s="236"/>
      <c r="P155" s="236"/>
      <c r="Q155" s="907"/>
      <c r="R155" s="909"/>
      <c r="S155" s="893"/>
      <c r="T155" s="909"/>
      <c r="U155" s="891"/>
      <c r="V155" s="893"/>
      <c r="W155" s="893"/>
      <c r="X155" s="893"/>
      <c r="Y155" s="893"/>
      <c r="Z155" s="893"/>
      <c r="AA155" s="985"/>
    </row>
    <row r="156" spans="1:27" ht="27" customHeight="1" x14ac:dyDescent="0.25">
      <c r="A156" s="923"/>
      <c r="B156" s="902"/>
      <c r="C156" s="913" t="s">
        <v>505</v>
      </c>
      <c r="D156" s="471" t="s">
        <v>34</v>
      </c>
      <c r="E156" s="262">
        <v>0.5</v>
      </c>
      <c r="F156" s="262"/>
      <c r="G156" s="262">
        <v>0.5</v>
      </c>
      <c r="H156" s="575">
        <v>0.5</v>
      </c>
      <c r="I156" s="234"/>
      <c r="J156" s="234"/>
      <c r="K156" s="234"/>
      <c r="L156" s="207"/>
      <c r="M156" s="207"/>
      <c r="N156" s="236">
        <f t="shared" si="9"/>
        <v>0</v>
      </c>
      <c r="O156" s="236"/>
      <c r="P156" s="236"/>
      <c r="Q156" s="505"/>
      <c r="R156" s="503"/>
      <c r="S156" s="502"/>
      <c r="T156" s="503"/>
      <c r="U156" s="501"/>
      <c r="V156" s="502"/>
      <c r="W156" s="502"/>
      <c r="X156" s="502"/>
      <c r="Y156" s="502"/>
      <c r="Z156" s="502"/>
      <c r="AA156" s="498"/>
    </row>
    <row r="157" spans="1:27" ht="27" customHeight="1" x14ac:dyDescent="0.25">
      <c r="A157" s="923"/>
      <c r="B157" s="902"/>
      <c r="C157" s="913"/>
      <c r="D157" s="335" t="s">
        <v>36</v>
      </c>
      <c r="E157" s="234">
        <f>438916850/5</f>
        <v>87783370</v>
      </c>
      <c r="F157" s="234"/>
      <c r="G157" s="234">
        <f>438916850/5</f>
        <v>87783370</v>
      </c>
      <c r="H157" s="573">
        <v>68985280</v>
      </c>
      <c r="I157" s="234"/>
      <c r="J157" s="234"/>
      <c r="K157" s="234"/>
      <c r="L157" s="207"/>
      <c r="M157" s="207"/>
      <c r="N157" s="236">
        <f t="shared" si="9"/>
        <v>0</v>
      </c>
      <c r="O157" s="236"/>
      <c r="P157" s="236"/>
      <c r="Q157" s="505"/>
      <c r="R157" s="503"/>
      <c r="S157" s="502"/>
      <c r="T157" s="503"/>
      <c r="U157" s="501"/>
      <c r="V157" s="502"/>
      <c r="W157" s="502"/>
      <c r="X157" s="502"/>
      <c r="Y157" s="502"/>
      <c r="Z157" s="502"/>
      <c r="AA157" s="498"/>
    </row>
    <row r="158" spans="1:27" ht="27" customHeight="1" x14ac:dyDescent="0.25">
      <c r="A158" s="923"/>
      <c r="B158" s="902"/>
      <c r="C158" s="913"/>
      <c r="D158" s="335" t="s">
        <v>37</v>
      </c>
      <c r="E158" s="234"/>
      <c r="F158" s="234"/>
      <c r="G158" s="234"/>
      <c r="H158" s="573"/>
      <c r="I158" s="234"/>
      <c r="J158" s="234"/>
      <c r="K158" s="234"/>
      <c r="L158" s="207"/>
      <c r="M158" s="207"/>
      <c r="N158" s="236">
        <f t="shared" si="9"/>
        <v>0</v>
      </c>
      <c r="O158" s="236"/>
      <c r="P158" s="236"/>
      <c r="Q158" s="505"/>
      <c r="R158" s="503"/>
      <c r="S158" s="502"/>
      <c r="T158" s="503"/>
      <c r="U158" s="501"/>
      <c r="V158" s="502"/>
      <c r="W158" s="502"/>
      <c r="X158" s="502"/>
      <c r="Y158" s="502"/>
      <c r="Z158" s="502"/>
      <c r="AA158" s="498"/>
    </row>
    <row r="159" spans="1:27" ht="27" customHeight="1" x14ac:dyDescent="0.25">
      <c r="A159" s="923"/>
      <c r="B159" s="902"/>
      <c r="C159" s="913"/>
      <c r="D159" s="335" t="s">
        <v>38</v>
      </c>
      <c r="E159" s="234"/>
      <c r="F159" s="234"/>
      <c r="G159" s="234"/>
      <c r="H159" s="573"/>
      <c r="I159" s="234"/>
      <c r="J159" s="234"/>
      <c r="K159" s="234"/>
      <c r="L159" s="207"/>
      <c r="M159" s="207"/>
      <c r="N159" s="236">
        <f t="shared" si="9"/>
        <v>0</v>
      </c>
      <c r="O159" s="236"/>
      <c r="P159" s="236"/>
      <c r="Q159" s="505"/>
      <c r="R159" s="503"/>
      <c r="S159" s="502"/>
      <c r="T159" s="503"/>
      <c r="U159" s="501"/>
      <c r="V159" s="502"/>
      <c r="W159" s="502"/>
      <c r="X159" s="502"/>
      <c r="Y159" s="502"/>
      <c r="Z159" s="502"/>
      <c r="AA159" s="498"/>
    </row>
    <row r="160" spans="1:27" ht="27" customHeight="1" x14ac:dyDescent="0.25">
      <c r="A160" s="923"/>
      <c r="B160" s="902"/>
      <c r="C160" s="913" t="s">
        <v>391</v>
      </c>
      <c r="D160" s="471" t="s">
        <v>34</v>
      </c>
      <c r="E160" s="479">
        <f t="shared" ref="E160:G162" si="10">+E140+E144+E148+E152+E156</f>
        <v>4.5</v>
      </c>
      <c r="F160" s="479">
        <v>4</v>
      </c>
      <c r="G160" s="479">
        <f t="shared" si="10"/>
        <v>4.5</v>
      </c>
      <c r="H160" s="576">
        <v>4.5</v>
      </c>
      <c r="I160" s="234"/>
      <c r="J160" s="302"/>
      <c r="K160" s="479">
        <f t="shared" ref="K160:L162" si="11">+K140+K144+K148+K152+K156</f>
        <v>4</v>
      </c>
      <c r="L160" s="205">
        <f t="shared" si="11"/>
        <v>4</v>
      </c>
      <c r="M160" s="205">
        <v>4</v>
      </c>
      <c r="N160" s="236">
        <f t="shared" si="9"/>
        <v>0</v>
      </c>
      <c r="O160" s="302"/>
      <c r="P160" s="302"/>
      <c r="Q160" s="282"/>
      <c r="R160" s="282"/>
      <c r="S160" s="282"/>
      <c r="T160" s="282"/>
      <c r="U160" s="282"/>
      <c r="V160" s="282"/>
      <c r="W160" s="282"/>
      <c r="X160" s="282"/>
      <c r="Y160" s="282"/>
      <c r="Z160" s="282"/>
      <c r="AA160" s="283"/>
    </row>
    <row r="161" spans="1:83" ht="27" customHeight="1" x14ac:dyDescent="0.25">
      <c r="A161" s="923"/>
      <c r="B161" s="902"/>
      <c r="C161" s="913"/>
      <c r="D161" s="335" t="s">
        <v>36</v>
      </c>
      <c r="E161" s="234">
        <f t="shared" si="10"/>
        <v>2532714000</v>
      </c>
      <c r="F161" s="234">
        <v>2444562317</v>
      </c>
      <c r="G161" s="234">
        <f t="shared" si="10"/>
        <v>2532714000</v>
      </c>
      <c r="H161" s="573">
        <v>2470571076</v>
      </c>
      <c r="I161" s="234"/>
      <c r="J161" s="234"/>
      <c r="K161" s="234">
        <f t="shared" si="11"/>
        <v>771225374</v>
      </c>
      <c r="L161" s="207">
        <f t="shared" si="11"/>
        <v>2141105944</v>
      </c>
      <c r="M161" s="207">
        <v>2141105944</v>
      </c>
      <c r="N161" s="236">
        <f t="shared" si="9"/>
        <v>0</v>
      </c>
      <c r="O161" s="234"/>
      <c r="P161" s="234"/>
      <c r="Q161" s="282"/>
      <c r="R161" s="282"/>
      <c r="S161" s="282"/>
      <c r="T161" s="282"/>
      <c r="U161" s="282"/>
      <c r="V161" s="282"/>
      <c r="W161" s="282"/>
      <c r="X161" s="282"/>
      <c r="Y161" s="282"/>
      <c r="Z161" s="282"/>
      <c r="AA161" s="283"/>
    </row>
    <row r="162" spans="1:83" ht="27" customHeight="1" x14ac:dyDescent="0.25">
      <c r="A162" s="923"/>
      <c r="B162" s="902"/>
      <c r="C162" s="913"/>
      <c r="D162" s="335" t="s">
        <v>37</v>
      </c>
      <c r="E162" s="234">
        <f t="shared" si="10"/>
        <v>0</v>
      </c>
      <c r="F162" s="234"/>
      <c r="G162" s="234">
        <f t="shared" si="10"/>
        <v>0</v>
      </c>
      <c r="H162" s="573">
        <v>0</v>
      </c>
      <c r="I162" s="234"/>
      <c r="J162" s="302"/>
      <c r="K162" s="234">
        <f t="shared" si="11"/>
        <v>0</v>
      </c>
      <c r="L162" s="302"/>
      <c r="M162" s="302"/>
      <c r="N162" s="236">
        <f t="shared" si="9"/>
        <v>0</v>
      </c>
      <c r="O162" s="302"/>
      <c r="P162" s="302"/>
      <c r="Q162" s="282"/>
      <c r="R162" s="282"/>
      <c r="S162" s="282"/>
      <c r="T162" s="282"/>
      <c r="U162" s="282"/>
      <c r="V162" s="282"/>
      <c r="W162" s="282"/>
      <c r="X162" s="282"/>
      <c r="Y162" s="282"/>
      <c r="Z162" s="282"/>
      <c r="AA162" s="283"/>
    </row>
    <row r="163" spans="1:83" ht="27" customHeight="1" x14ac:dyDescent="0.25">
      <c r="A163" s="976"/>
      <c r="B163" s="902"/>
      <c r="C163" s="913"/>
      <c r="D163" s="570" t="s">
        <v>517</v>
      </c>
      <c r="E163" s="234"/>
      <c r="F163" s="234"/>
      <c r="G163" s="234"/>
      <c r="H163" s="573">
        <f>H159+H155+H151+H147+H143</f>
        <v>1129337944</v>
      </c>
      <c r="I163" s="234"/>
      <c r="J163" s="302"/>
      <c r="K163" s="234"/>
      <c r="L163" s="302"/>
      <c r="M163" s="302"/>
      <c r="N163" s="236"/>
      <c r="O163" s="302"/>
      <c r="P163" s="302"/>
      <c r="Q163" s="282"/>
      <c r="R163" s="282"/>
      <c r="S163" s="282"/>
      <c r="T163" s="282"/>
      <c r="U163" s="282"/>
      <c r="V163" s="282"/>
      <c r="W163" s="282"/>
      <c r="X163" s="282"/>
      <c r="Y163" s="282"/>
      <c r="Z163" s="282"/>
      <c r="AA163" s="283"/>
    </row>
    <row r="164" spans="1:83" ht="27" customHeight="1" thickBot="1" x14ac:dyDescent="0.3">
      <c r="A164" s="924"/>
      <c r="B164" s="903"/>
      <c r="C164" s="942"/>
      <c r="D164" s="468" t="s">
        <v>38</v>
      </c>
      <c r="E164" s="480">
        <f>+E143+E147+E151+E155+E159</f>
        <v>1129332944</v>
      </c>
      <c r="F164" s="480">
        <v>387056742</v>
      </c>
      <c r="G164" s="480">
        <f>+G143+G147+G151+G155+G159</f>
        <v>1129332944</v>
      </c>
      <c r="H164" s="577">
        <v>1129337944</v>
      </c>
      <c r="I164" s="303"/>
      <c r="J164" s="303"/>
      <c r="K164" s="480">
        <f>+K143+K147+K151+K155+K159</f>
        <v>362691256</v>
      </c>
      <c r="L164" s="480">
        <f>+L143+L147+L151+L155+L159</f>
        <v>588605688.00000012</v>
      </c>
      <c r="M164" s="480">
        <v>588605688</v>
      </c>
      <c r="N164" s="204">
        <f t="shared" ref="N164:N227" si="12">L164-M164</f>
        <v>0</v>
      </c>
      <c r="O164" s="303"/>
      <c r="P164" s="303"/>
      <c r="Q164" s="578"/>
      <c r="R164" s="284"/>
      <c r="S164" s="284"/>
      <c r="T164" s="284"/>
      <c r="U164" s="284"/>
      <c r="V164" s="284"/>
      <c r="W164" s="284"/>
      <c r="X164" s="284"/>
      <c r="Y164" s="284"/>
      <c r="Z164" s="284"/>
      <c r="AA164" s="285"/>
    </row>
    <row r="165" spans="1:83" s="314" customFormat="1" ht="27" customHeight="1" x14ac:dyDescent="0.25">
      <c r="A165" s="977">
        <v>12</v>
      </c>
      <c r="B165" s="901" t="s">
        <v>172</v>
      </c>
      <c r="C165" s="895" t="s">
        <v>366</v>
      </c>
      <c r="D165" s="484" t="s">
        <v>34</v>
      </c>
      <c r="E165" s="209">
        <v>1.4</v>
      </c>
      <c r="F165" s="209">
        <v>0.8</v>
      </c>
      <c r="G165" s="209">
        <v>1.4</v>
      </c>
      <c r="H165" s="476">
        <v>1.4</v>
      </c>
      <c r="I165" s="209"/>
      <c r="J165" s="209"/>
      <c r="K165" s="237">
        <v>0.9</v>
      </c>
      <c r="L165" s="579">
        <f>+K165+0.12</f>
        <v>1.02</v>
      </c>
      <c r="M165" s="579"/>
      <c r="N165" s="264">
        <f t="shared" si="12"/>
        <v>1.02</v>
      </c>
      <c r="O165" s="580"/>
      <c r="P165" s="212"/>
      <c r="Q165" s="978" t="s">
        <v>322</v>
      </c>
      <c r="R165" s="895" t="s">
        <v>330</v>
      </c>
      <c r="S165" s="895" t="s">
        <v>327</v>
      </c>
      <c r="T165" s="896"/>
      <c r="U165" s="895"/>
      <c r="V165" s="892">
        <v>1628</v>
      </c>
      <c r="W165" s="892">
        <v>1200</v>
      </c>
      <c r="X165" s="892" t="s">
        <v>231</v>
      </c>
      <c r="Y165" s="892" t="s">
        <v>225</v>
      </c>
      <c r="Z165" s="892" t="s">
        <v>232</v>
      </c>
      <c r="AA165" s="984">
        <f>+V165+W165</f>
        <v>2828</v>
      </c>
      <c r="AB165" s="1"/>
      <c r="AC165" s="1"/>
      <c r="AD165" s="1"/>
      <c r="AE165" s="1"/>
      <c r="AF165" s="1"/>
      <c r="AG165" s="1"/>
      <c r="AH165" s="1"/>
      <c r="AI165" s="1"/>
      <c r="AJ165" s="1"/>
      <c r="AK165" s="1"/>
      <c r="AL165" s="1"/>
      <c r="AM165" s="1"/>
      <c r="AN165" s="1"/>
      <c r="AO165" s="1"/>
      <c r="AP165" s="247"/>
      <c r="AQ165" s="247"/>
      <c r="AR165" s="247"/>
      <c r="AS165" s="247"/>
      <c r="AT165" s="247"/>
      <c r="AU165" s="247"/>
      <c r="AV165" s="247"/>
      <c r="AW165" s="247"/>
      <c r="AX165" s="247"/>
      <c r="AY165" s="247"/>
      <c r="AZ165" s="247"/>
      <c r="BA165" s="247"/>
      <c r="BB165" s="247"/>
      <c r="BC165" s="247"/>
      <c r="BD165" s="247"/>
      <c r="BE165" s="247"/>
      <c r="BF165" s="247"/>
      <c r="BG165" s="247"/>
      <c r="BH165" s="247"/>
      <c r="BI165" s="247"/>
      <c r="BJ165" s="247"/>
      <c r="BK165" s="247"/>
      <c r="BL165" s="247"/>
      <c r="BM165" s="247"/>
      <c r="BN165" s="247"/>
      <c r="BO165" s="247"/>
      <c r="BP165" s="247"/>
      <c r="BQ165" s="247"/>
      <c r="BR165" s="247"/>
      <c r="BS165" s="247"/>
      <c r="BT165" s="247"/>
      <c r="BU165" s="247"/>
      <c r="BV165" s="247"/>
      <c r="BW165" s="247"/>
      <c r="BX165" s="247"/>
      <c r="BY165" s="247"/>
      <c r="BZ165" s="247"/>
      <c r="CA165" s="247"/>
      <c r="CB165" s="247"/>
      <c r="CC165" s="247"/>
      <c r="CD165" s="247"/>
      <c r="CE165" s="247"/>
    </row>
    <row r="166" spans="1:83" s="314" customFormat="1" ht="27" customHeight="1" x14ac:dyDescent="0.25">
      <c r="A166" s="923"/>
      <c r="B166" s="902"/>
      <c r="C166" s="891"/>
      <c r="D166" s="335" t="s">
        <v>36</v>
      </c>
      <c r="E166" s="207">
        <f>68454750*(1.4/1.9)</f>
        <v>50440342.105263159</v>
      </c>
      <c r="F166" s="207">
        <v>13720000</v>
      </c>
      <c r="G166" s="207">
        <f>68454750*(1.4/1.9)</f>
        <v>50440342.105263159</v>
      </c>
      <c r="H166" s="508">
        <v>50440592</v>
      </c>
      <c r="I166" s="207"/>
      <c r="J166" s="207"/>
      <c r="K166" s="236">
        <v>50440342</v>
      </c>
      <c r="L166" s="236">
        <v>50440342</v>
      </c>
      <c r="M166" s="236"/>
      <c r="N166" s="236">
        <f t="shared" si="12"/>
        <v>50440342</v>
      </c>
      <c r="O166" s="581"/>
      <c r="P166" s="214"/>
      <c r="Q166" s="979"/>
      <c r="R166" s="891"/>
      <c r="S166" s="891"/>
      <c r="T166" s="897"/>
      <c r="U166" s="891"/>
      <c r="V166" s="893"/>
      <c r="W166" s="893"/>
      <c r="X166" s="893"/>
      <c r="Y166" s="893"/>
      <c r="Z166" s="893"/>
      <c r="AA166" s="985"/>
      <c r="AB166" s="1"/>
      <c r="AC166" s="1"/>
      <c r="AD166" s="1"/>
      <c r="AE166" s="1"/>
      <c r="AF166" s="1"/>
      <c r="AG166" s="1"/>
      <c r="AH166" s="1"/>
      <c r="AI166" s="1"/>
      <c r="AJ166" s="1"/>
      <c r="AK166" s="1"/>
      <c r="AL166" s="1"/>
      <c r="AM166" s="1"/>
      <c r="AN166" s="1"/>
      <c r="AO166" s="1"/>
      <c r="AP166" s="247"/>
      <c r="AQ166" s="247"/>
      <c r="AR166" s="247"/>
      <c r="AS166" s="247"/>
      <c r="AT166" s="247"/>
      <c r="AU166" s="247"/>
      <c r="AV166" s="247"/>
      <c r="AW166" s="247"/>
      <c r="AX166" s="247"/>
      <c r="AY166" s="247"/>
      <c r="AZ166" s="247"/>
      <c r="BA166" s="247"/>
      <c r="BB166" s="247"/>
      <c r="BC166" s="247"/>
      <c r="BD166" s="247"/>
      <c r="BE166" s="247"/>
      <c r="BF166" s="247"/>
      <c r="BG166" s="247"/>
      <c r="BH166" s="247"/>
      <c r="BI166" s="247"/>
      <c r="BJ166" s="247"/>
      <c r="BK166" s="247"/>
      <c r="BL166" s="247"/>
      <c r="BM166" s="247"/>
      <c r="BN166" s="247"/>
      <c r="BO166" s="247"/>
      <c r="BP166" s="247"/>
      <c r="BQ166" s="247"/>
      <c r="BR166" s="247"/>
      <c r="BS166" s="247"/>
      <c r="BT166" s="247"/>
      <c r="BU166" s="247"/>
      <c r="BV166" s="247"/>
      <c r="BW166" s="247"/>
      <c r="BX166" s="247"/>
      <c r="BY166" s="247"/>
      <c r="BZ166" s="247"/>
      <c r="CA166" s="247"/>
      <c r="CB166" s="247"/>
      <c r="CC166" s="247"/>
      <c r="CD166" s="247"/>
      <c r="CE166" s="247"/>
    </row>
    <row r="167" spans="1:83" s="314" customFormat="1" ht="27" customHeight="1" x14ac:dyDescent="0.25">
      <c r="A167" s="923"/>
      <c r="B167" s="902"/>
      <c r="C167" s="891"/>
      <c r="D167" s="335" t="s">
        <v>37</v>
      </c>
      <c r="E167" s="205"/>
      <c r="F167" s="205">
        <v>0</v>
      </c>
      <c r="G167" s="205"/>
      <c r="H167" s="525"/>
      <c r="I167" s="205"/>
      <c r="J167" s="205"/>
      <c r="K167" s="238"/>
      <c r="L167" s="582"/>
      <c r="M167" s="582"/>
      <c r="N167" s="236">
        <f t="shared" si="12"/>
        <v>0</v>
      </c>
      <c r="O167" s="581"/>
      <c r="P167" s="221"/>
      <c r="Q167" s="979"/>
      <c r="R167" s="891"/>
      <c r="S167" s="891"/>
      <c r="T167" s="897"/>
      <c r="U167" s="891"/>
      <c r="V167" s="893"/>
      <c r="W167" s="893"/>
      <c r="X167" s="893"/>
      <c r="Y167" s="893"/>
      <c r="Z167" s="893"/>
      <c r="AA167" s="985"/>
      <c r="AB167" s="1"/>
      <c r="AC167" s="1"/>
      <c r="AD167" s="1"/>
      <c r="AE167" s="1"/>
      <c r="AF167" s="1"/>
      <c r="AG167" s="1"/>
      <c r="AH167" s="1"/>
      <c r="AI167" s="1"/>
      <c r="AJ167" s="1"/>
      <c r="AK167" s="1"/>
      <c r="AL167" s="1"/>
      <c r="AM167" s="1"/>
      <c r="AN167" s="1"/>
      <c r="AO167" s="1"/>
      <c r="AP167" s="247"/>
      <c r="AQ167" s="247"/>
      <c r="AR167" s="247"/>
      <c r="AS167" s="247"/>
      <c r="AT167" s="247"/>
      <c r="AU167" s="247"/>
      <c r="AV167" s="247"/>
      <c r="AW167" s="247"/>
      <c r="AX167" s="247"/>
      <c r="AY167" s="247"/>
      <c r="AZ167" s="247"/>
      <c r="BA167" s="247"/>
      <c r="BB167" s="247"/>
      <c r="BC167" s="247"/>
      <c r="BD167" s="247"/>
      <c r="BE167" s="247"/>
      <c r="BF167" s="247"/>
      <c r="BG167" s="247"/>
      <c r="BH167" s="247"/>
      <c r="BI167" s="247"/>
      <c r="BJ167" s="247"/>
      <c r="BK167" s="247"/>
      <c r="BL167" s="247"/>
      <c r="BM167" s="247"/>
      <c r="BN167" s="247"/>
      <c r="BO167" s="247"/>
      <c r="BP167" s="247"/>
      <c r="BQ167" s="247"/>
      <c r="BR167" s="247"/>
      <c r="BS167" s="247"/>
      <c r="BT167" s="247"/>
      <c r="BU167" s="247"/>
      <c r="BV167" s="247"/>
      <c r="BW167" s="247"/>
      <c r="BX167" s="247"/>
      <c r="BY167" s="247"/>
      <c r="BZ167" s="247"/>
      <c r="CA167" s="247"/>
      <c r="CB167" s="247"/>
      <c r="CC167" s="247"/>
      <c r="CD167" s="247"/>
      <c r="CE167" s="247"/>
    </row>
    <row r="168" spans="1:83" s="314" customFormat="1" ht="27" customHeight="1" x14ac:dyDescent="0.25">
      <c r="A168" s="923"/>
      <c r="B168" s="902"/>
      <c r="C168" s="891"/>
      <c r="D168" s="335" t="s">
        <v>38</v>
      </c>
      <c r="E168" s="207">
        <f>2940000/2</f>
        <v>1470000</v>
      </c>
      <c r="F168" s="207">
        <v>46831006</v>
      </c>
      <c r="G168" s="207">
        <f>2940000/2</f>
        <v>1470000</v>
      </c>
      <c r="H168" s="508">
        <v>1470000</v>
      </c>
      <c r="I168" s="207"/>
      <c r="J168" s="207"/>
      <c r="K168" s="236">
        <v>1470000</v>
      </c>
      <c r="L168" s="581">
        <v>1470000</v>
      </c>
      <c r="M168" s="581"/>
      <c r="N168" s="236">
        <f t="shared" si="12"/>
        <v>1470000</v>
      </c>
      <c r="O168" s="581"/>
      <c r="P168" s="214"/>
      <c r="Q168" s="979"/>
      <c r="R168" s="891"/>
      <c r="S168" s="891"/>
      <c r="T168" s="897"/>
      <c r="U168" s="891"/>
      <c r="V168" s="893"/>
      <c r="W168" s="893"/>
      <c r="X168" s="893"/>
      <c r="Y168" s="893"/>
      <c r="Z168" s="893"/>
      <c r="AA168" s="985"/>
      <c r="AB168" s="1"/>
      <c r="AC168" s="1"/>
      <c r="AD168" s="1"/>
      <c r="AE168" s="1"/>
      <c r="AF168" s="1"/>
      <c r="AG168" s="1"/>
      <c r="AH168" s="1"/>
      <c r="AI168" s="1"/>
      <c r="AJ168" s="1"/>
      <c r="AK168" s="1"/>
      <c r="AL168" s="1"/>
      <c r="AM168" s="1"/>
      <c r="AN168" s="1"/>
      <c r="AO168" s="1"/>
      <c r="AP168" s="247"/>
      <c r="AQ168" s="247"/>
      <c r="AR168" s="247"/>
      <c r="AS168" s="247"/>
      <c r="AT168" s="247"/>
      <c r="AU168" s="247"/>
      <c r="AV168" s="247"/>
      <c r="AW168" s="247"/>
      <c r="AX168" s="247"/>
      <c r="AY168" s="247"/>
      <c r="AZ168" s="247"/>
      <c r="BA168" s="247"/>
      <c r="BB168" s="247"/>
      <c r="BC168" s="247"/>
      <c r="BD168" s="247"/>
      <c r="BE168" s="247"/>
      <c r="BF168" s="247"/>
      <c r="BG168" s="247"/>
      <c r="BH168" s="247"/>
      <c r="BI168" s="247"/>
      <c r="BJ168" s="247"/>
      <c r="BK168" s="247"/>
      <c r="BL168" s="247"/>
      <c r="BM168" s="247"/>
      <c r="BN168" s="247"/>
      <c r="BO168" s="247"/>
      <c r="BP168" s="247"/>
      <c r="BQ168" s="247"/>
      <c r="BR168" s="247"/>
      <c r="BS168" s="247"/>
      <c r="BT168" s="247"/>
      <c r="BU168" s="247"/>
      <c r="BV168" s="247"/>
      <c r="BW168" s="247"/>
      <c r="BX168" s="247"/>
      <c r="BY168" s="247"/>
      <c r="BZ168" s="247"/>
      <c r="CA168" s="247"/>
      <c r="CB168" s="247"/>
      <c r="CC168" s="247"/>
      <c r="CD168" s="247"/>
      <c r="CE168" s="247"/>
    </row>
    <row r="169" spans="1:83" s="314" customFormat="1" ht="27" customHeight="1" x14ac:dyDescent="0.25">
      <c r="A169" s="923"/>
      <c r="B169" s="902"/>
      <c r="C169" s="891" t="s">
        <v>329</v>
      </c>
      <c r="D169" s="335" t="s">
        <v>34</v>
      </c>
      <c r="E169" s="205">
        <v>0.5</v>
      </c>
      <c r="F169" s="205">
        <v>0.6</v>
      </c>
      <c r="G169" s="205">
        <v>0.5</v>
      </c>
      <c r="H169" s="525">
        <v>0.5</v>
      </c>
      <c r="I169" s="205"/>
      <c r="J169" s="205"/>
      <c r="K169" s="239">
        <v>0.63</v>
      </c>
      <c r="L169" s="583">
        <v>0.63</v>
      </c>
      <c r="M169" s="583"/>
      <c r="N169" s="236">
        <f t="shared" si="12"/>
        <v>0.63</v>
      </c>
      <c r="O169" s="221"/>
      <c r="P169" s="221"/>
      <c r="Q169" s="979" t="s">
        <v>255</v>
      </c>
      <c r="R169" s="891" t="s">
        <v>331</v>
      </c>
      <c r="S169" s="891" t="s">
        <v>328</v>
      </c>
      <c r="T169" s="897"/>
      <c r="U169" s="891"/>
      <c r="V169" s="893">
        <f>99+553+152+41087+129501</f>
        <v>171392</v>
      </c>
      <c r="W169" s="893">
        <f>92+524+84+49102+136560</f>
        <v>186362</v>
      </c>
      <c r="X169" s="893" t="s">
        <v>231</v>
      </c>
      <c r="Y169" s="893" t="s">
        <v>225</v>
      </c>
      <c r="Z169" s="893" t="s">
        <v>232</v>
      </c>
      <c r="AA169" s="985">
        <f>+V169+W169</f>
        <v>357754</v>
      </c>
      <c r="AB169" s="1"/>
      <c r="AC169" s="1"/>
      <c r="AD169" s="1"/>
      <c r="AE169" s="1"/>
      <c r="AF169" s="1"/>
      <c r="AG169" s="1"/>
      <c r="AH169" s="1"/>
      <c r="AI169" s="1"/>
      <c r="AJ169" s="1"/>
      <c r="AK169" s="1"/>
      <c r="AL169" s="1"/>
      <c r="AM169" s="1"/>
      <c r="AN169" s="1"/>
      <c r="AO169" s="1"/>
      <c r="AP169" s="247"/>
      <c r="AQ169" s="247"/>
      <c r="AR169" s="247"/>
      <c r="AS169" s="247"/>
      <c r="AT169" s="247"/>
      <c r="AU169" s="247"/>
      <c r="AV169" s="247"/>
      <c r="AW169" s="247"/>
      <c r="AX169" s="247"/>
      <c r="AY169" s="247"/>
      <c r="AZ169" s="247"/>
      <c r="BA169" s="247"/>
      <c r="BB169" s="247"/>
      <c r="BC169" s="247"/>
      <c r="BD169" s="247"/>
      <c r="BE169" s="247"/>
      <c r="BF169" s="247"/>
      <c r="BG169" s="247"/>
      <c r="BH169" s="247"/>
      <c r="BI169" s="247"/>
      <c r="BJ169" s="247"/>
      <c r="BK169" s="247"/>
      <c r="BL169" s="247"/>
      <c r="BM169" s="247"/>
      <c r="BN169" s="247"/>
      <c r="BO169" s="247"/>
      <c r="BP169" s="247"/>
      <c r="BQ169" s="247"/>
      <c r="BR169" s="247"/>
      <c r="BS169" s="247"/>
      <c r="BT169" s="247"/>
      <c r="BU169" s="247"/>
      <c r="BV169" s="247"/>
      <c r="BW169" s="247"/>
      <c r="BX169" s="247"/>
      <c r="BY169" s="247"/>
      <c r="BZ169" s="247"/>
      <c r="CA169" s="247"/>
      <c r="CB169" s="247"/>
      <c r="CC169" s="247"/>
      <c r="CD169" s="247"/>
      <c r="CE169" s="247"/>
    </row>
    <row r="170" spans="1:83" s="314" customFormat="1" ht="27" customHeight="1" x14ac:dyDescent="0.25">
      <c r="A170" s="923"/>
      <c r="B170" s="902"/>
      <c r="C170" s="891"/>
      <c r="D170" s="335" t="s">
        <v>36</v>
      </c>
      <c r="E170" s="207">
        <f>68454750*(0.5/1.9)</f>
        <v>18014407.894736841</v>
      </c>
      <c r="F170" s="207">
        <v>20580000</v>
      </c>
      <c r="G170" s="207">
        <f>68454750*(0.5/1.9)</f>
        <v>18014407.894736841</v>
      </c>
      <c r="H170" s="508">
        <v>18014408</v>
      </c>
      <c r="I170" s="207"/>
      <c r="J170" s="207"/>
      <c r="K170" s="207">
        <v>17934491</v>
      </c>
      <c r="L170" s="207">
        <v>17934491</v>
      </c>
      <c r="M170" s="207"/>
      <c r="N170" s="236">
        <f t="shared" si="12"/>
        <v>17934491</v>
      </c>
      <c r="O170" s="581"/>
      <c r="P170" s="214"/>
      <c r="Q170" s="979"/>
      <c r="R170" s="891"/>
      <c r="S170" s="891"/>
      <c r="T170" s="897"/>
      <c r="U170" s="891"/>
      <c r="V170" s="893"/>
      <c r="W170" s="893"/>
      <c r="X170" s="893"/>
      <c r="Y170" s="893"/>
      <c r="Z170" s="893"/>
      <c r="AA170" s="985"/>
      <c r="AB170" s="1"/>
      <c r="AC170" s="1"/>
      <c r="AD170" s="1"/>
      <c r="AE170" s="1"/>
      <c r="AF170" s="1"/>
      <c r="AG170" s="1"/>
      <c r="AH170" s="1"/>
      <c r="AI170" s="1"/>
      <c r="AJ170" s="1"/>
      <c r="AK170" s="1"/>
      <c r="AL170" s="1"/>
      <c r="AM170" s="1"/>
      <c r="AN170" s="1"/>
      <c r="AO170" s="1"/>
      <c r="AP170" s="247"/>
      <c r="AQ170" s="247"/>
      <c r="AR170" s="247"/>
      <c r="AS170" s="247"/>
      <c r="AT170" s="247"/>
      <c r="AU170" s="247"/>
      <c r="AV170" s="247"/>
      <c r="AW170" s="247"/>
      <c r="AX170" s="247"/>
      <c r="AY170" s="247"/>
      <c r="AZ170" s="247"/>
      <c r="BA170" s="247"/>
      <c r="BB170" s="247"/>
      <c r="BC170" s="247"/>
      <c r="BD170" s="247"/>
      <c r="BE170" s="247"/>
      <c r="BF170" s="247"/>
      <c r="BG170" s="247"/>
      <c r="BH170" s="247"/>
      <c r="BI170" s="247"/>
      <c r="BJ170" s="247"/>
      <c r="BK170" s="247"/>
      <c r="BL170" s="247"/>
      <c r="BM170" s="247"/>
      <c r="BN170" s="247"/>
      <c r="BO170" s="247"/>
      <c r="BP170" s="247"/>
      <c r="BQ170" s="247"/>
      <c r="BR170" s="247"/>
      <c r="BS170" s="247"/>
      <c r="BT170" s="247"/>
      <c r="BU170" s="247"/>
      <c r="BV170" s="247"/>
      <c r="BW170" s="247"/>
      <c r="BX170" s="247"/>
      <c r="BY170" s="247"/>
      <c r="BZ170" s="247"/>
      <c r="CA170" s="247"/>
      <c r="CB170" s="247"/>
      <c r="CC170" s="247"/>
      <c r="CD170" s="247"/>
      <c r="CE170" s="247"/>
    </row>
    <row r="171" spans="1:83" s="314" customFormat="1" ht="27" customHeight="1" x14ac:dyDescent="0.25">
      <c r="A171" s="923"/>
      <c r="B171" s="902"/>
      <c r="C171" s="891"/>
      <c r="D171" s="335" t="s">
        <v>37</v>
      </c>
      <c r="E171" s="207"/>
      <c r="F171" s="207">
        <v>0</v>
      </c>
      <c r="G171" s="207"/>
      <c r="H171" s="508"/>
      <c r="I171" s="207"/>
      <c r="J171" s="207"/>
      <c r="K171" s="236"/>
      <c r="L171" s="584"/>
      <c r="M171" s="584"/>
      <c r="N171" s="236">
        <f t="shared" si="12"/>
        <v>0</v>
      </c>
      <c r="O171" s="581"/>
      <c r="P171" s="214"/>
      <c r="Q171" s="979"/>
      <c r="R171" s="891"/>
      <c r="S171" s="891"/>
      <c r="T171" s="897"/>
      <c r="U171" s="891"/>
      <c r="V171" s="893"/>
      <c r="W171" s="893"/>
      <c r="X171" s="893"/>
      <c r="Y171" s="893"/>
      <c r="Z171" s="893"/>
      <c r="AA171" s="985"/>
      <c r="AB171" s="1"/>
      <c r="AC171" s="1"/>
      <c r="AD171" s="1"/>
      <c r="AE171" s="1"/>
      <c r="AF171" s="1"/>
      <c r="AG171" s="1"/>
      <c r="AH171" s="1"/>
      <c r="AI171" s="1"/>
      <c r="AJ171" s="1"/>
      <c r="AK171" s="1"/>
      <c r="AL171" s="1"/>
      <c r="AM171" s="1"/>
      <c r="AN171" s="1"/>
      <c r="AO171" s="1"/>
      <c r="AP171" s="247"/>
      <c r="AQ171" s="247"/>
      <c r="AR171" s="247"/>
      <c r="AS171" s="247"/>
      <c r="AT171" s="247"/>
      <c r="AU171" s="247"/>
      <c r="AV171" s="247"/>
      <c r="AW171" s="247"/>
      <c r="AX171" s="247"/>
      <c r="AY171" s="247"/>
      <c r="AZ171" s="247"/>
      <c r="BA171" s="247"/>
      <c r="BB171" s="247"/>
      <c r="BC171" s="247"/>
      <c r="BD171" s="247"/>
      <c r="BE171" s="247"/>
      <c r="BF171" s="247"/>
      <c r="BG171" s="247"/>
      <c r="BH171" s="247"/>
      <c r="BI171" s="247"/>
      <c r="BJ171" s="247"/>
      <c r="BK171" s="247"/>
      <c r="BL171" s="247"/>
      <c r="BM171" s="247"/>
      <c r="BN171" s="247"/>
      <c r="BO171" s="247"/>
      <c r="BP171" s="247"/>
      <c r="BQ171" s="247"/>
      <c r="BR171" s="247"/>
      <c r="BS171" s="247"/>
      <c r="BT171" s="247"/>
      <c r="BU171" s="247"/>
      <c r="BV171" s="247"/>
      <c r="BW171" s="247"/>
      <c r="BX171" s="247"/>
      <c r="BY171" s="247"/>
      <c r="BZ171" s="247"/>
      <c r="CA171" s="247"/>
      <c r="CB171" s="247"/>
      <c r="CC171" s="247"/>
      <c r="CD171" s="247"/>
      <c r="CE171" s="247"/>
    </row>
    <row r="172" spans="1:83" s="314" customFormat="1" ht="27" customHeight="1" x14ac:dyDescent="0.25">
      <c r="A172" s="923"/>
      <c r="B172" s="902"/>
      <c r="C172" s="891"/>
      <c r="D172" s="335" t="s">
        <v>38</v>
      </c>
      <c r="E172" s="232">
        <v>1470000</v>
      </c>
      <c r="F172" s="232">
        <v>46831006</v>
      </c>
      <c r="G172" s="232">
        <v>1470000</v>
      </c>
      <c r="H172" s="507">
        <v>1470000</v>
      </c>
      <c r="I172" s="232"/>
      <c r="J172" s="232"/>
      <c r="K172" s="236">
        <v>1470000</v>
      </c>
      <c r="L172" s="581">
        <v>1470000</v>
      </c>
      <c r="M172" s="581"/>
      <c r="N172" s="236">
        <f t="shared" si="12"/>
        <v>1470000</v>
      </c>
      <c r="O172" s="581"/>
      <c r="P172" s="244"/>
      <c r="Q172" s="979"/>
      <c r="R172" s="891"/>
      <c r="S172" s="891"/>
      <c r="T172" s="897"/>
      <c r="U172" s="891"/>
      <c r="V172" s="893"/>
      <c r="W172" s="893"/>
      <c r="X172" s="893"/>
      <c r="Y172" s="893"/>
      <c r="Z172" s="893"/>
      <c r="AA172" s="985"/>
      <c r="AB172" s="1"/>
      <c r="AC172" s="1"/>
      <c r="AD172" s="1"/>
      <c r="AE172" s="1"/>
      <c r="AF172" s="1"/>
      <c r="AG172" s="1"/>
      <c r="AH172" s="1"/>
      <c r="AI172" s="1"/>
      <c r="AJ172" s="1"/>
      <c r="AK172" s="1"/>
      <c r="AL172" s="1"/>
      <c r="AM172" s="1"/>
      <c r="AN172" s="1"/>
      <c r="AO172" s="1"/>
      <c r="AP172" s="247"/>
      <c r="AQ172" s="247"/>
      <c r="AR172" s="247"/>
      <c r="AS172" s="247"/>
      <c r="AT172" s="247"/>
      <c r="AU172" s="247"/>
      <c r="AV172" s="247"/>
      <c r="AW172" s="247"/>
      <c r="AX172" s="247"/>
      <c r="AY172" s="247"/>
      <c r="AZ172" s="247"/>
      <c r="BA172" s="247"/>
      <c r="BB172" s="247"/>
      <c r="BC172" s="247"/>
      <c r="BD172" s="247"/>
      <c r="BE172" s="247"/>
      <c r="BF172" s="247"/>
      <c r="BG172" s="247"/>
      <c r="BH172" s="247"/>
      <c r="BI172" s="247"/>
      <c r="BJ172" s="247"/>
      <c r="BK172" s="247"/>
      <c r="BL172" s="247"/>
      <c r="BM172" s="247"/>
      <c r="BN172" s="247"/>
      <c r="BO172" s="247"/>
      <c r="BP172" s="247"/>
      <c r="BQ172" s="247"/>
      <c r="BR172" s="247"/>
      <c r="BS172" s="247"/>
      <c r="BT172" s="247"/>
      <c r="BU172" s="247"/>
      <c r="BV172" s="247"/>
      <c r="BW172" s="247"/>
      <c r="BX172" s="247"/>
      <c r="BY172" s="247"/>
      <c r="BZ172" s="247"/>
      <c r="CA172" s="247"/>
      <c r="CB172" s="247"/>
      <c r="CC172" s="247"/>
      <c r="CD172" s="247"/>
      <c r="CE172" s="247"/>
    </row>
    <row r="173" spans="1:83" s="314" customFormat="1" ht="27" customHeight="1" x14ac:dyDescent="0.25">
      <c r="A173" s="923"/>
      <c r="B173" s="902"/>
      <c r="C173" s="891" t="s">
        <v>391</v>
      </c>
      <c r="D173" s="335" t="s">
        <v>34</v>
      </c>
      <c r="E173" s="304">
        <f>E165+E169</f>
        <v>1.9</v>
      </c>
      <c r="F173" s="304">
        <v>1.4</v>
      </c>
      <c r="G173" s="304">
        <f>G165+G169</f>
        <v>1.9</v>
      </c>
      <c r="H173" s="585">
        <v>1.9</v>
      </c>
      <c r="I173" s="232"/>
      <c r="J173" s="304"/>
      <c r="K173" s="304">
        <f>K165+K169</f>
        <v>1.53</v>
      </c>
      <c r="L173" s="586">
        <f>+L165+L169</f>
        <v>1.65</v>
      </c>
      <c r="M173" s="586">
        <v>1.65</v>
      </c>
      <c r="N173" s="236">
        <f t="shared" si="12"/>
        <v>0</v>
      </c>
      <c r="O173" s="586"/>
      <c r="P173" s="586"/>
      <c r="Q173" s="244"/>
      <c r="R173" s="232"/>
      <c r="S173" s="232"/>
      <c r="T173" s="232"/>
      <c r="U173" s="232"/>
      <c r="V173" s="232"/>
      <c r="W173" s="232"/>
      <c r="X173" s="232"/>
      <c r="Y173" s="232"/>
      <c r="Z173" s="232"/>
      <c r="AA173" s="286"/>
      <c r="AB173" s="1"/>
      <c r="AC173" s="1"/>
      <c r="AD173" s="1"/>
      <c r="AE173" s="1"/>
      <c r="AF173" s="1"/>
      <c r="AG173" s="1"/>
      <c r="AH173" s="1"/>
      <c r="AI173" s="1"/>
      <c r="AJ173" s="1"/>
      <c r="AK173" s="1"/>
      <c r="AL173" s="1"/>
      <c r="AM173" s="1"/>
      <c r="AN173" s="1"/>
      <c r="AO173" s="1"/>
      <c r="AP173" s="247"/>
      <c r="AQ173" s="247"/>
      <c r="AR173" s="247"/>
      <c r="AS173" s="247"/>
      <c r="AT173" s="247"/>
      <c r="AU173" s="247"/>
      <c r="AV173" s="247"/>
      <c r="AW173" s="247"/>
      <c r="AX173" s="247"/>
      <c r="AY173" s="247"/>
      <c r="AZ173" s="247"/>
      <c r="BA173" s="247"/>
      <c r="BB173" s="247"/>
      <c r="BC173" s="247"/>
      <c r="BD173" s="247"/>
      <c r="BE173" s="247"/>
      <c r="BF173" s="247"/>
      <c r="BG173" s="247"/>
      <c r="BH173" s="247"/>
      <c r="BI173" s="247"/>
      <c r="BJ173" s="247"/>
      <c r="BK173" s="247"/>
      <c r="BL173" s="247"/>
      <c r="BM173" s="247"/>
      <c r="BN173" s="247"/>
      <c r="BO173" s="247"/>
      <c r="BP173" s="247"/>
      <c r="BQ173" s="247"/>
      <c r="BR173" s="247"/>
      <c r="BS173" s="247"/>
      <c r="BT173" s="247"/>
      <c r="BU173" s="247"/>
      <c r="BV173" s="247"/>
      <c r="BW173" s="247"/>
      <c r="BX173" s="247"/>
      <c r="BY173" s="247"/>
      <c r="BZ173" s="247"/>
      <c r="CA173" s="247"/>
      <c r="CB173" s="247"/>
      <c r="CC173" s="247"/>
      <c r="CD173" s="247"/>
      <c r="CE173" s="247"/>
    </row>
    <row r="174" spans="1:83" s="314" customFormat="1" ht="27" customHeight="1" x14ac:dyDescent="0.25">
      <c r="A174" s="923"/>
      <c r="B174" s="902"/>
      <c r="C174" s="891"/>
      <c r="D174" s="335" t="s">
        <v>36</v>
      </c>
      <c r="E174" s="232">
        <f>E166+E170</f>
        <v>68454750</v>
      </c>
      <c r="F174" s="232">
        <v>34300000</v>
      </c>
      <c r="G174" s="232">
        <f>G166+G170</f>
        <v>68454750</v>
      </c>
      <c r="H174" s="507">
        <v>68455000</v>
      </c>
      <c r="I174" s="232"/>
      <c r="J174" s="232"/>
      <c r="K174" s="232">
        <f>K166+K170</f>
        <v>68374833</v>
      </c>
      <c r="L174" s="232">
        <f>L166+L170</f>
        <v>68374833</v>
      </c>
      <c r="M174" s="232">
        <v>68374833</v>
      </c>
      <c r="N174" s="236">
        <f t="shared" si="12"/>
        <v>0</v>
      </c>
      <c r="O174" s="232"/>
      <c r="P174" s="232"/>
      <c r="Q174" s="377"/>
      <c r="R174" s="232"/>
      <c r="S174" s="232"/>
      <c r="T174" s="232"/>
      <c r="U174" s="232"/>
      <c r="V174" s="232"/>
      <c r="W174" s="232"/>
      <c r="X174" s="232"/>
      <c r="Y174" s="232"/>
      <c r="Z174" s="232"/>
      <c r="AA174" s="286"/>
      <c r="AB174" s="1"/>
      <c r="AC174" s="1"/>
      <c r="AD174" s="1"/>
      <c r="AE174" s="1"/>
      <c r="AF174" s="1"/>
      <c r="AG174" s="1"/>
      <c r="AH174" s="1"/>
      <c r="AI174" s="1"/>
      <c r="AJ174" s="1"/>
      <c r="AK174" s="1"/>
      <c r="AL174" s="1"/>
      <c r="AM174" s="1"/>
      <c r="AN174" s="1"/>
      <c r="AO174" s="1"/>
      <c r="AP174" s="247"/>
      <c r="AQ174" s="247"/>
      <c r="AR174" s="247"/>
      <c r="AS174" s="247"/>
      <c r="AT174" s="247"/>
      <c r="AU174" s="247"/>
      <c r="AV174" s="247"/>
      <c r="AW174" s="247"/>
      <c r="AX174" s="247"/>
      <c r="AY174" s="247"/>
      <c r="AZ174" s="247"/>
      <c r="BA174" s="247"/>
      <c r="BB174" s="247"/>
      <c r="BC174" s="247"/>
      <c r="BD174" s="247"/>
      <c r="BE174" s="247"/>
      <c r="BF174" s="247"/>
      <c r="BG174" s="247"/>
      <c r="BH174" s="247"/>
      <c r="BI174" s="247"/>
      <c r="BJ174" s="247"/>
      <c r="BK174" s="247"/>
      <c r="BL174" s="247"/>
      <c r="BM174" s="247"/>
      <c r="BN174" s="247"/>
      <c r="BO174" s="247"/>
      <c r="BP174" s="247"/>
      <c r="BQ174" s="247"/>
      <c r="BR174" s="247"/>
      <c r="BS174" s="247"/>
      <c r="BT174" s="247"/>
      <c r="BU174" s="247"/>
      <c r="BV174" s="247"/>
      <c r="BW174" s="247"/>
      <c r="BX174" s="247"/>
      <c r="BY174" s="247"/>
      <c r="BZ174" s="247"/>
      <c r="CA174" s="247"/>
      <c r="CB174" s="247"/>
      <c r="CC174" s="247"/>
      <c r="CD174" s="247"/>
      <c r="CE174" s="247"/>
    </row>
    <row r="175" spans="1:83" s="314" customFormat="1" ht="27" customHeight="1" x14ac:dyDescent="0.25">
      <c r="A175" s="923"/>
      <c r="B175" s="902"/>
      <c r="C175" s="891"/>
      <c r="D175" s="335" t="s">
        <v>37</v>
      </c>
      <c r="E175" s="304">
        <f t="shared" ref="E175:G176" si="13">E167+E171</f>
        <v>0</v>
      </c>
      <c r="F175" s="304">
        <v>0</v>
      </c>
      <c r="G175" s="304">
        <f t="shared" si="13"/>
        <v>0</v>
      </c>
      <c r="H175" s="507">
        <v>0</v>
      </c>
      <c r="I175" s="232"/>
      <c r="J175" s="304"/>
      <c r="K175" s="304">
        <f t="shared" ref="K175:P176" si="14">K167+K171</f>
        <v>0</v>
      </c>
      <c r="L175" s="304"/>
      <c r="M175" s="304"/>
      <c r="N175" s="236">
        <f t="shared" si="12"/>
        <v>0</v>
      </c>
      <c r="O175" s="304"/>
      <c r="P175" s="304"/>
      <c r="Q175" s="232"/>
      <c r="R175" s="232"/>
      <c r="S175" s="232"/>
      <c r="T175" s="232"/>
      <c r="U175" s="232"/>
      <c r="V175" s="232"/>
      <c r="W175" s="232"/>
      <c r="X175" s="232"/>
      <c r="Y175" s="232"/>
      <c r="Z175" s="232"/>
      <c r="AA175" s="286"/>
      <c r="AB175" s="1"/>
      <c r="AC175" s="1"/>
      <c r="AD175" s="1"/>
      <c r="AE175" s="1"/>
      <c r="AF175" s="1"/>
      <c r="AG175" s="1"/>
      <c r="AH175" s="1"/>
      <c r="AI175" s="1"/>
      <c r="AJ175" s="1"/>
      <c r="AK175" s="1"/>
      <c r="AL175" s="1"/>
      <c r="AM175" s="1"/>
      <c r="AN175" s="1"/>
      <c r="AO175" s="1"/>
      <c r="AP175" s="247"/>
      <c r="AQ175" s="247"/>
      <c r="AR175" s="247"/>
      <c r="AS175" s="247"/>
      <c r="AT175" s="247"/>
      <c r="AU175" s="247"/>
      <c r="AV175" s="247"/>
      <c r="AW175" s="247"/>
      <c r="AX175" s="247"/>
      <c r="AY175" s="247"/>
      <c r="AZ175" s="247"/>
      <c r="BA175" s="247"/>
      <c r="BB175" s="247"/>
      <c r="BC175" s="247"/>
      <c r="BD175" s="247"/>
      <c r="BE175" s="247"/>
      <c r="BF175" s="247"/>
      <c r="BG175" s="247"/>
      <c r="BH175" s="247"/>
      <c r="BI175" s="247"/>
      <c r="BJ175" s="247"/>
      <c r="BK175" s="247"/>
      <c r="BL175" s="247"/>
      <c r="BM175" s="247"/>
      <c r="BN175" s="247"/>
      <c r="BO175" s="247"/>
      <c r="BP175" s="247"/>
      <c r="BQ175" s="247"/>
      <c r="BR175" s="247"/>
      <c r="BS175" s="247"/>
      <c r="BT175" s="247"/>
      <c r="BU175" s="247"/>
      <c r="BV175" s="247"/>
      <c r="BW175" s="247"/>
      <c r="BX175" s="247"/>
      <c r="BY175" s="247"/>
      <c r="BZ175" s="247"/>
      <c r="CA175" s="247"/>
      <c r="CB175" s="247"/>
      <c r="CC175" s="247"/>
      <c r="CD175" s="247"/>
      <c r="CE175" s="247"/>
    </row>
    <row r="176" spans="1:83" s="314" customFormat="1" ht="27" customHeight="1" thickBot="1" x14ac:dyDescent="0.3">
      <c r="A176" s="976"/>
      <c r="B176" s="903"/>
      <c r="C176" s="911"/>
      <c r="D176" s="468" t="s">
        <v>38</v>
      </c>
      <c r="E176" s="587">
        <f t="shared" si="13"/>
        <v>2940000</v>
      </c>
      <c r="F176" s="587">
        <v>93662012</v>
      </c>
      <c r="G176" s="587">
        <f t="shared" si="13"/>
        <v>2940000</v>
      </c>
      <c r="H176" s="588">
        <v>2940000</v>
      </c>
      <c r="I176" s="587"/>
      <c r="J176" s="587"/>
      <c r="K176" s="587">
        <f t="shared" si="14"/>
        <v>2940000</v>
      </c>
      <c r="L176" s="587">
        <f t="shared" si="14"/>
        <v>2940000</v>
      </c>
      <c r="M176" s="587">
        <v>2940000</v>
      </c>
      <c r="N176" s="204">
        <f t="shared" si="12"/>
        <v>0</v>
      </c>
      <c r="O176" s="587">
        <f t="shared" si="14"/>
        <v>0</v>
      </c>
      <c r="P176" s="587">
        <f t="shared" si="14"/>
        <v>0</v>
      </c>
      <c r="Q176" s="587"/>
      <c r="R176" s="587"/>
      <c r="S176" s="587"/>
      <c r="T176" s="587"/>
      <c r="U176" s="587"/>
      <c r="V176" s="587"/>
      <c r="W176" s="587"/>
      <c r="X176" s="587"/>
      <c r="Y176" s="587"/>
      <c r="Z176" s="587"/>
      <c r="AA176" s="589"/>
      <c r="AB176" s="1"/>
      <c r="AC176" s="1"/>
      <c r="AD176" s="1"/>
      <c r="AE176" s="1"/>
      <c r="AF176" s="1"/>
      <c r="AG176" s="1"/>
      <c r="AH176" s="1"/>
      <c r="AI176" s="1"/>
      <c r="AJ176" s="1"/>
      <c r="AK176" s="1"/>
      <c r="AL176" s="1"/>
      <c r="AM176" s="1"/>
      <c r="AN176" s="1"/>
      <c r="AO176" s="1"/>
      <c r="AP176" s="247"/>
      <c r="AQ176" s="247"/>
      <c r="AR176" s="247"/>
      <c r="AS176" s="247"/>
      <c r="AT176" s="247"/>
      <c r="AU176" s="247"/>
      <c r="AV176" s="247"/>
      <c r="AW176" s="247"/>
      <c r="AX176" s="247"/>
      <c r="AY176" s="247"/>
      <c r="AZ176" s="247"/>
      <c r="BA176" s="247"/>
      <c r="BB176" s="247"/>
      <c r="BC176" s="247"/>
      <c r="BD176" s="247"/>
      <c r="BE176" s="247"/>
      <c r="BF176" s="247"/>
      <c r="BG176" s="247"/>
      <c r="BH176" s="247"/>
      <c r="BI176" s="247"/>
      <c r="BJ176" s="247"/>
      <c r="BK176" s="247"/>
      <c r="BL176" s="247"/>
      <c r="BM176" s="247"/>
      <c r="BN176" s="247"/>
      <c r="BO176" s="247"/>
      <c r="BP176" s="247"/>
      <c r="BQ176" s="247"/>
      <c r="BR176" s="247"/>
      <c r="BS176" s="247"/>
      <c r="BT176" s="247"/>
      <c r="BU176" s="247"/>
      <c r="BV176" s="247"/>
      <c r="BW176" s="247"/>
      <c r="BX176" s="247"/>
      <c r="BY176" s="247"/>
      <c r="BZ176" s="247"/>
      <c r="CA176" s="247"/>
      <c r="CB176" s="247"/>
      <c r="CC176" s="247"/>
      <c r="CD176" s="247"/>
      <c r="CE176" s="247"/>
    </row>
    <row r="177" spans="1:83" s="314" customFormat="1" ht="33" customHeight="1" x14ac:dyDescent="0.25">
      <c r="A177" s="922">
        <v>13</v>
      </c>
      <c r="B177" s="901" t="s">
        <v>518</v>
      </c>
      <c r="C177" s="912" t="s">
        <v>519</v>
      </c>
      <c r="D177" s="484" t="s">
        <v>34</v>
      </c>
      <c r="E177" s="209">
        <v>42</v>
      </c>
      <c r="F177" s="209">
        <v>42</v>
      </c>
      <c r="G177" s="209">
        <v>42</v>
      </c>
      <c r="H177" s="476">
        <v>47.7</v>
      </c>
      <c r="I177" s="209"/>
      <c r="J177" s="209"/>
      <c r="K177" s="510">
        <v>42</v>
      </c>
      <c r="L177" s="237">
        <v>42</v>
      </c>
      <c r="M177" s="237"/>
      <c r="N177" s="264">
        <f t="shared" si="12"/>
        <v>42</v>
      </c>
      <c r="O177" s="264"/>
      <c r="P177" s="209"/>
      <c r="Q177" s="895" t="s">
        <v>332</v>
      </c>
      <c r="R177" s="895" t="s">
        <v>389</v>
      </c>
      <c r="S177" s="895" t="s">
        <v>335</v>
      </c>
      <c r="T177" s="908" t="s">
        <v>520</v>
      </c>
      <c r="U177" s="895" t="s">
        <v>521</v>
      </c>
      <c r="V177" s="892">
        <v>40448</v>
      </c>
      <c r="W177" s="892">
        <v>42274</v>
      </c>
      <c r="X177" s="892" t="s">
        <v>231</v>
      </c>
      <c r="Y177" s="892" t="s">
        <v>225</v>
      </c>
      <c r="Z177" s="892" t="s">
        <v>232</v>
      </c>
      <c r="AA177" s="984">
        <f>+V177+W177</f>
        <v>82722</v>
      </c>
      <c r="AB177" s="1"/>
      <c r="AC177" s="1"/>
      <c r="AD177" s="1"/>
      <c r="AE177" s="1"/>
      <c r="AF177" s="1"/>
      <c r="AG177" s="1"/>
      <c r="AH177" s="1"/>
      <c r="AI177" s="1"/>
      <c r="AJ177" s="1"/>
      <c r="AK177" s="1"/>
      <c r="AL177" s="1"/>
      <c r="AM177" s="1"/>
      <c r="AN177" s="1"/>
      <c r="AO177" s="1"/>
      <c r="AP177" s="247"/>
      <c r="AQ177" s="247"/>
      <c r="AR177" s="247"/>
      <c r="AS177" s="247"/>
      <c r="AT177" s="247"/>
      <c r="AU177" s="247"/>
      <c r="AV177" s="247"/>
      <c r="AW177" s="247"/>
      <c r="AX177" s="247"/>
      <c r="AY177" s="247"/>
      <c r="AZ177" s="247"/>
      <c r="BA177" s="247"/>
      <c r="BB177" s="247"/>
      <c r="BC177" s="247"/>
      <c r="BD177" s="247"/>
      <c r="BE177" s="247"/>
      <c r="BF177" s="247"/>
      <c r="BG177" s="247"/>
      <c r="BH177" s="247"/>
      <c r="BI177" s="247"/>
      <c r="BJ177" s="247"/>
      <c r="BK177" s="247"/>
      <c r="BL177" s="247"/>
      <c r="BM177" s="247"/>
      <c r="BN177" s="247"/>
      <c r="BO177" s="247"/>
      <c r="BP177" s="247"/>
      <c r="BQ177" s="247"/>
      <c r="BR177" s="247"/>
      <c r="BS177" s="247"/>
      <c r="BT177" s="247"/>
      <c r="BU177" s="247"/>
      <c r="BV177" s="247"/>
      <c r="BW177" s="247"/>
      <c r="BX177" s="247"/>
      <c r="BY177" s="247"/>
      <c r="BZ177" s="247"/>
      <c r="CA177" s="247"/>
      <c r="CB177" s="247"/>
      <c r="CC177" s="247"/>
      <c r="CD177" s="247"/>
      <c r="CE177" s="247"/>
    </row>
    <row r="178" spans="1:83" s="314" customFormat="1" ht="33" customHeight="1" x14ac:dyDescent="0.25">
      <c r="A178" s="923"/>
      <c r="B178" s="902"/>
      <c r="C178" s="913"/>
      <c r="D178" s="335" t="s">
        <v>36</v>
      </c>
      <c r="E178" s="207">
        <f>1196746500*E177/118</f>
        <v>425960618.64406782</v>
      </c>
      <c r="F178" s="207">
        <v>292546188</v>
      </c>
      <c r="G178" s="207">
        <f>1196746500*G177/118</f>
        <v>425960618.64406782</v>
      </c>
      <c r="H178" s="508">
        <v>620642100</v>
      </c>
      <c r="I178" s="207"/>
      <c r="J178" s="207"/>
      <c r="K178" s="207">
        <f>220842300/115*K177</f>
        <v>80655448.695652172</v>
      </c>
      <c r="L178" s="236">
        <f>329773500/2+405462800</f>
        <v>570349550</v>
      </c>
      <c r="M178" s="236"/>
      <c r="N178" s="236">
        <f t="shared" si="12"/>
        <v>570349550</v>
      </c>
      <c r="O178" s="236"/>
      <c r="P178" s="236"/>
      <c r="Q178" s="891"/>
      <c r="R178" s="891"/>
      <c r="S178" s="891"/>
      <c r="T178" s="909"/>
      <c r="U178" s="891"/>
      <c r="V178" s="893"/>
      <c r="W178" s="893"/>
      <c r="X178" s="893"/>
      <c r="Y178" s="893"/>
      <c r="Z178" s="893"/>
      <c r="AA178" s="985"/>
      <c r="AB178" s="1"/>
      <c r="AC178" s="1"/>
      <c r="AD178" s="1"/>
      <c r="AE178" s="1"/>
      <c r="AF178" s="1"/>
      <c r="AG178" s="1"/>
      <c r="AH178" s="1"/>
      <c r="AI178" s="1"/>
      <c r="AJ178" s="1"/>
      <c r="AK178" s="1"/>
      <c r="AL178" s="1"/>
      <c r="AM178" s="1"/>
      <c r="AN178" s="1"/>
      <c r="AO178" s="1"/>
      <c r="AP178" s="247"/>
      <c r="AQ178" s="247"/>
      <c r="AR178" s="247"/>
      <c r="AS178" s="247"/>
      <c r="AT178" s="247"/>
      <c r="AU178" s="247"/>
      <c r="AV178" s="247"/>
      <c r="AW178" s="247"/>
      <c r="AX178" s="247"/>
      <c r="AY178" s="247"/>
      <c r="AZ178" s="247"/>
      <c r="BA178" s="247"/>
      <c r="BB178" s="247"/>
      <c r="BC178" s="247"/>
      <c r="BD178" s="247"/>
      <c r="BE178" s="247"/>
      <c r="BF178" s="247"/>
      <c r="BG178" s="247"/>
      <c r="BH178" s="247"/>
      <c r="BI178" s="247"/>
      <c r="BJ178" s="247"/>
      <c r="BK178" s="247"/>
      <c r="BL178" s="247"/>
      <c r="BM178" s="247"/>
      <c r="BN178" s="247"/>
      <c r="BO178" s="247"/>
      <c r="BP178" s="247"/>
      <c r="BQ178" s="247"/>
      <c r="BR178" s="247"/>
      <c r="BS178" s="247"/>
      <c r="BT178" s="247"/>
      <c r="BU178" s="247"/>
      <c r="BV178" s="247"/>
      <c r="BW178" s="247"/>
      <c r="BX178" s="247"/>
      <c r="BY178" s="247"/>
      <c r="BZ178" s="247"/>
      <c r="CA178" s="247"/>
      <c r="CB178" s="247"/>
      <c r="CC178" s="247"/>
      <c r="CD178" s="247"/>
      <c r="CE178" s="247"/>
    </row>
    <row r="179" spans="1:83" s="314" customFormat="1" ht="33" customHeight="1" x14ac:dyDescent="0.25">
      <c r="A179" s="923"/>
      <c r="B179" s="902"/>
      <c r="C179" s="913"/>
      <c r="D179" s="335" t="s">
        <v>37</v>
      </c>
      <c r="E179" s="229"/>
      <c r="F179" s="229"/>
      <c r="G179" s="229"/>
      <c r="H179" s="506"/>
      <c r="I179" s="229"/>
      <c r="J179" s="229"/>
      <c r="K179" s="236"/>
      <c r="L179" s="236"/>
      <c r="M179" s="236"/>
      <c r="N179" s="236">
        <f t="shared" si="12"/>
        <v>0</v>
      </c>
      <c r="O179" s="236"/>
      <c r="P179" s="236"/>
      <c r="Q179" s="891"/>
      <c r="R179" s="891"/>
      <c r="S179" s="891"/>
      <c r="T179" s="909"/>
      <c r="U179" s="891"/>
      <c r="V179" s="893"/>
      <c r="W179" s="893"/>
      <c r="X179" s="893"/>
      <c r="Y179" s="893"/>
      <c r="Z179" s="893"/>
      <c r="AA179" s="985"/>
      <c r="AB179" s="1"/>
      <c r="AC179" s="1"/>
      <c r="AD179" s="1"/>
      <c r="AE179" s="1"/>
      <c r="AF179" s="1"/>
      <c r="AG179" s="1"/>
      <c r="AH179" s="1"/>
      <c r="AI179" s="1"/>
      <c r="AJ179" s="1"/>
      <c r="AK179" s="1"/>
      <c r="AL179" s="1"/>
      <c r="AM179" s="1"/>
      <c r="AN179" s="1"/>
      <c r="AO179" s="1"/>
      <c r="AP179" s="247"/>
      <c r="AQ179" s="247"/>
      <c r="AR179" s="247"/>
      <c r="AS179" s="247"/>
      <c r="AT179" s="247"/>
      <c r="AU179" s="247"/>
      <c r="AV179" s="247"/>
      <c r="AW179" s="247"/>
      <c r="AX179" s="247"/>
      <c r="AY179" s="247"/>
      <c r="AZ179" s="247"/>
      <c r="BA179" s="247"/>
      <c r="BB179" s="247"/>
      <c r="BC179" s="247"/>
      <c r="BD179" s="247"/>
      <c r="BE179" s="247"/>
      <c r="BF179" s="247"/>
      <c r="BG179" s="247"/>
      <c r="BH179" s="247"/>
      <c r="BI179" s="247"/>
      <c r="BJ179" s="247"/>
      <c r="BK179" s="247"/>
      <c r="BL179" s="247"/>
      <c r="BM179" s="247"/>
      <c r="BN179" s="247"/>
      <c r="BO179" s="247"/>
      <c r="BP179" s="247"/>
      <c r="BQ179" s="247"/>
      <c r="BR179" s="247"/>
      <c r="BS179" s="247"/>
      <c r="BT179" s="247"/>
      <c r="BU179" s="247"/>
      <c r="BV179" s="247"/>
      <c r="BW179" s="247"/>
      <c r="BX179" s="247"/>
      <c r="BY179" s="247"/>
      <c r="BZ179" s="247"/>
      <c r="CA179" s="247"/>
      <c r="CB179" s="247"/>
      <c r="CC179" s="247"/>
      <c r="CD179" s="247"/>
      <c r="CE179" s="247"/>
    </row>
    <row r="180" spans="1:83" s="314" customFormat="1" ht="33" customHeight="1" x14ac:dyDescent="0.25">
      <c r="A180" s="923"/>
      <c r="B180" s="902"/>
      <c r="C180" s="913"/>
      <c r="D180" s="335" t="s">
        <v>38</v>
      </c>
      <c r="E180" s="207">
        <f>277756333*42/115</f>
        <v>101441443.35652174</v>
      </c>
      <c r="F180" s="207">
        <v>77336700.5</v>
      </c>
      <c r="G180" s="207">
        <f>277756333*42/115</f>
        <v>101441443.35652174</v>
      </c>
      <c r="H180" s="508">
        <v>101441443.35652174</v>
      </c>
      <c r="I180" s="207"/>
      <c r="J180" s="207"/>
      <c r="K180" s="207">
        <f>(8774000+212400000)/2</f>
        <v>110587000</v>
      </c>
      <c r="L180" s="236">
        <v>101441443.5</v>
      </c>
      <c r="M180" s="236"/>
      <c r="N180" s="236">
        <f t="shared" si="12"/>
        <v>101441443.5</v>
      </c>
      <c r="O180" s="236"/>
      <c r="P180" s="236"/>
      <c r="Q180" s="891"/>
      <c r="R180" s="891"/>
      <c r="S180" s="891"/>
      <c r="T180" s="909"/>
      <c r="U180" s="891"/>
      <c r="V180" s="893"/>
      <c r="W180" s="893"/>
      <c r="X180" s="893"/>
      <c r="Y180" s="893"/>
      <c r="Z180" s="893"/>
      <c r="AA180" s="985"/>
      <c r="AB180" s="1"/>
      <c r="AC180" s="1"/>
      <c r="AD180" s="1"/>
      <c r="AE180" s="1"/>
      <c r="AF180" s="1"/>
      <c r="AG180" s="1"/>
      <c r="AH180" s="1"/>
      <c r="AI180" s="1"/>
      <c r="AJ180" s="1"/>
      <c r="AK180" s="1"/>
      <c r="AL180" s="1"/>
      <c r="AM180" s="1"/>
      <c r="AN180" s="1"/>
      <c r="AO180" s="1"/>
      <c r="AP180" s="247"/>
      <c r="AQ180" s="247"/>
      <c r="AR180" s="247"/>
      <c r="AS180" s="247"/>
      <c r="AT180" s="247"/>
      <c r="AU180" s="247"/>
      <c r="AV180" s="247"/>
      <c r="AW180" s="247"/>
      <c r="AX180" s="247"/>
      <c r="AY180" s="247"/>
      <c r="AZ180" s="247"/>
      <c r="BA180" s="247"/>
      <c r="BB180" s="247"/>
      <c r="BC180" s="247"/>
      <c r="BD180" s="247"/>
      <c r="BE180" s="247"/>
      <c r="BF180" s="247"/>
      <c r="BG180" s="247"/>
      <c r="BH180" s="247"/>
      <c r="BI180" s="247"/>
      <c r="BJ180" s="247"/>
      <c r="BK180" s="247"/>
      <c r="BL180" s="247"/>
      <c r="BM180" s="247"/>
      <c r="BN180" s="247"/>
      <c r="BO180" s="247"/>
      <c r="BP180" s="247"/>
      <c r="BQ180" s="247"/>
      <c r="BR180" s="247"/>
      <c r="BS180" s="247"/>
      <c r="BT180" s="247"/>
      <c r="BU180" s="247"/>
      <c r="BV180" s="247"/>
      <c r="BW180" s="247"/>
      <c r="BX180" s="247"/>
      <c r="BY180" s="247"/>
      <c r="BZ180" s="247"/>
      <c r="CA180" s="247"/>
      <c r="CB180" s="247"/>
      <c r="CC180" s="247"/>
      <c r="CD180" s="247"/>
      <c r="CE180" s="247"/>
    </row>
    <row r="181" spans="1:83" s="314" customFormat="1" ht="27" customHeight="1" x14ac:dyDescent="0.25">
      <c r="A181" s="923"/>
      <c r="B181" s="902"/>
      <c r="C181" s="913" t="s">
        <v>522</v>
      </c>
      <c r="D181" s="335" t="s">
        <v>34</v>
      </c>
      <c r="E181" s="205">
        <v>76</v>
      </c>
      <c r="F181" s="205">
        <v>73</v>
      </c>
      <c r="G181" s="205">
        <v>76</v>
      </c>
      <c r="H181" s="525">
        <v>82.3</v>
      </c>
      <c r="I181" s="205"/>
      <c r="J181" s="205"/>
      <c r="K181" s="205">
        <v>73</v>
      </c>
      <c r="L181" s="317">
        <v>78.8</v>
      </c>
      <c r="M181" s="317"/>
      <c r="N181" s="236">
        <f t="shared" si="12"/>
        <v>78.8</v>
      </c>
      <c r="O181" s="236"/>
      <c r="P181" s="205"/>
      <c r="Q181" s="891" t="s">
        <v>333</v>
      </c>
      <c r="R181" s="891" t="s">
        <v>334</v>
      </c>
      <c r="S181" s="891" t="s">
        <v>336</v>
      </c>
      <c r="T181" s="891" t="s">
        <v>523</v>
      </c>
      <c r="U181" s="891" t="s">
        <v>524</v>
      </c>
      <c r="V181" s="891">
        <v>90671</v>
      </c>
      <c r="W181" s="891">
        <v>94442</v>
      </c>
      <c r="X181" s="891" t="s">
        <v>231</v>
      </c>
      <c r="Y181" s="891" t="s">
        <v>225</v>
      </c>
      <c r="Z181" s="891" t="s">
        <v>232</v>
      </c>
      <c r="AA181" s="999">
        <f>+V181+W181</f>
        <v>185113</v>
      </c>
      <c r="AB181" s="1"/>
      <c r="AC181" s="1"/>
      <c r="AD181" s="1"/>
      <c r="AE181" s="1"/>
      <c r="AF181" s="1"/>
      <c r="AG181" s="1"/>
      <c r="AH181" s="1"/>
      <c r="AI181" s="1"/>
      <c r="AJ181" s="1"/>
      <c r="AK181" s="1"/>
      <c r="AL181" s="1"/>
      <c r="AM181" s="1"/>
      <c r="AN181" s="1"/>
      <c r="AO181" s="1"/>
      <c r="AP181" s="247"/>
      <c r="AQ181" s="247"/>
      <c r="AR181" s="247"/>
      <c r="AS181" s="247"/>
      <c r="AT181" s="247"/>
      <c r="AU181" s="247"/>
      <c r="AV181" s="247"/>
      <c r="AW181" s="247"/>
      <c r="AX181" s="247"/>
      <c r="AY181" s="247"/>
      <c r="AZ181" s="247"/>
      <c r="BA181" s="247"/>
      <c r="BB181" s="247"/>
      <c r="BC181" s="247"/>
      <c r="BD181" s="247"/>
      <c r="BE181" s="247"/>
      <c r="BF181" s="247"/>
      <c r="BG181" s="247"/>
      <c r="BH181" s="247"/>
      <c r="BI181" s="247"/>
      <c r="BJ181" s="247"/>
      <c r="BK181" s="247"/>
      <c r="BL181" s="247"/>
      <c r="BM181" s="247"/>
      <c r="BN181" s="247"/>
      <c r="BO181" s="247"/>
      <c r="BP181" s="247"/>
      <c r="BQ181" s="247"/>
      <c r="BR181" s="247"/>
      <c r="BS181" s="247"/>
      <c r="BT181" s="247"/>
      <c r="BU181" s="247"/>
      <c r="BV181" s="247"/>
      <c r="BW181" s="247"/>
      <c r="BX181" s="247"/>
      <c r="BY181" s="247"/>
      <c r="BZ181" s="247"/>
      <c r="CA181" s="247"/>
      <c r="CB181" s="247"/>
      <c r="CC181" s="247"/>
      <c r="CD181" s="247"/>
      <c r="CE181" s="247"/>
    </row>
    <row r="182" spans="1:83" s="314" customFormat="1" ht="27" customHeight="1" x14ac:dyDescent="0.25">
      <c r="A182" s="923"/>
      <c r="B182" s="902"/>
      <c r="C182" s="913"/>
      <c r="D182" s="335" t="s">
        <v>36</v>
      </c>
      <c r="E182" s="207">
        <f>1196746500*E181/118</f>
        <v>770785881.35593224</v>
      </c>
      <c r="F182" s="207">
        <v>586671188</v>
      </c>
      <c r="G182" s="207">
        <f>770785881.355932+500</f>
        <v>770786381.355932</v>
      </c>
      <c r="H182" s="508">
        <v>576104900</v>
      </c>
      <c r="I182" s="207"/>
      <c r="J182" s="207"/>
      <c r="K182" s="207">
        <f>220842300/115*K181</f>
        <v>140186851.30434781</v>
      </c>
      <c r="L182" s="236">
        <f>329773500/2+250000000</f>
        <v>414886750</v>
      </c>
      <c r="M182" s="236"/>
      <c r="N182" s="236">
        <f t="shared" si="12"/>
        <v>414886750</v>
      </c>
      <c r="O182" s="236"/>
      <c r="P182" s="236"/>
      <c r="Q182" s="891"/>
      <c r="R182" s="891"/>
      <c r="S182" s="891"/>
      <c r="T182" s="891"/>
      <c r="U182" s="891"/>
      <c r="V182" s="891"/>
      <c r="W182" s="891"/>
      <c r="X182" s="891"/>
      <c r="Y182" s="891"/>
      <c r="Z182" s="891"/>
      <c r="AA182" s="999"/>
      <c r="AB182" s="1"/>
      <c r="AC182" s="1"/>
      <c r="AD182" s="1"/>
      <c r="AE182" s="1"/>
      <c r="AF182" s="1"/>
      <c r="AG182" s="1"/>
      <c r="AH182" s="1"/>
      <c r="AI182" s="1"/>
      <c r="AJ182" s="1"/>
      <c r="AK182" s="1"/>
      <c r="AL182" s="1"/>
      <c r="AM182" s="1"/>
      <c r="AN182" s="1"/>
      <c r="AO182" s="1"/>
      <c r="AP182" s="247"/>
      <c r="AQ182" s="247"/>
      <c r="AR182" s="247"/>
      <c r="AS182" s="247"/>
      <c r="AT182" s="247"/>
      <c r="AU182" s="247"/>
      <c r="AV182" s="247"/>
      <c r="AW182" s="247"/>
      <c r="AX182" s="247"/>
      <c r="AY182" s="247"/>
      <c r="AZ182" s="247"/>
      <c r="BA182" s="247"/>
      <c r="BB182" s="247"/>
      <c r="BC182" s="247"/>
      <c r="BD182" s="247"/>
      <c r="BE182" s="247"/>
      <c r="BF182" s="247"/>
      <c r="BG182" s="247"/>
      <c r="BH182" s="247"/>
      <c r="BI182" s="247"/>
      <c r="BJ182" s="247"/>
      <c r="BK182" s="247"/>
      <c r="BL182" s="247"/>
      <c r="BM182" s="247"/>
      <c r="BN182" s="247"/>
      <c r="BO182" s="247"/>
      <c r="BP182" s="247"/>
      <c r="BQ182" s="247"/>
      <c r="BR182" s="247"/>
      <c r="BS182" s="247"/>
      <c r="BT182" s="247"/>
      <c r="BU182" s="247"/>
      <c r="BV182" s="247"/>
      <c r="BW182" s="247"/>
      <c r="BX182" s="247"/>
      <c r="BY182" s="247"/>
      <c r="BZ182" s="247"/>
      <c r="CA182" s="247"/>
      <c r="CB182" s="247"/>
      <c r="CC182" s="247"/>
      <c r="CD182" s="247"/>
      <c r="CE182" s="247"/>
    </row>
    <row r="183" spans="1:83" s="314" customFormat="1" ht="27" customHeight="1" x14ac:dyDescent="0.25">
      <c r="A183" s="923"/>
      <c r="B183" s="902"/>
      <c r="C183" s="913"/>
      <c r="D183" s="335" t="s">
        <v>37</v>
      </c>
      <c r="E183" s="232"/>
      <c r="F183" s="232"/>
      <c r="G183" s="232"/>
      <c r="H183" s="507"/>
      <c r="I183" s="232"/>
      <c r="J183" s="232"/>
      <c r="K183" s="236"/>
      <c r="L183" s="236"/>
      <c r="M183" s="236"/>
      <c r="N183" s="236">
        <f t="shared" si="12"/>
        <v>0</v>
      </c>
      <c r="O183" s="236"/>
      <c r="P183" s="236"/>
      <c r="Q183" s="891"/>
      <c r="R183" s="967" t="s">
        <v>525</v>
      </c>
      <c r="S183" s="891" t="s">
        <v>526</v>
      </c>
      <c r="T183" s="891" t="s">
        <v>527</v>
      </c>
      <c r="U183" s="891" t="s">
        <v>528</v>
      </c>
      <c r="V183" s="891"/>
      <c r="W183" s="891"/>
      <c r="X183" s="891" t="s">
        <v>231</v>
      </c>
      <c r="Y183" s="891" t="s">
        <v>225</v>
      </c>
      <c r="Z183" s="891" t="s">
        <v>232</v>
      </c>
      <c r="AA183" s="999"/>
      <c r="AB183" s="1"/>
      <c r="AC183" s="1"/>
      <c r="AD183" s="1"/>
      <c r="AE183" s="1"/>
      <c r="AF183" s="1"/>
      <c r="AG183" s="1"/>
      <c r="AH183" s="1"/>
      <c r="AI183" s="1"/>
      <c r="AJ183" s="1"/>
      <c r="AK183" s="1"/>
      <c r="AL183" s="1"/>
      <c r="AM183" s="1"/>
      <c r="AN183" s="1"/>
      <c r="AO183" s="1"/>
      <c r="AP183" s="247"/>
      <c r="AQ183" s="247"/>
      <c r="AR183" s="247"/>
      <c r="AS183" s="247"/>
      <c r="AT183" s="247"/>
      <c r="AU183" s="247"/>
      <c r="AV183" s="247"/>
      <c r="AW183" s="247"/>
      <c r="AX183" s="247"/>
      <c r="AY183" s="247"/>
      <c r="AZ183" s="247"/>
      <c r="BA183" s="247"/>
      <c r="BB183" s="247"/>
      <c r="BC183" s="247"/>
      <c r="BD183" s="247"/>
      <c r="BE183" s="247"/>
      <c r="BF183" s="247"/>
      <c r="BG183" s="247"/>
      <c r="BH183" s="247"/>
      <c r="BI183" s="247"/>
      <c r="BJ183" s="247"/>
      <c r="BK183" s="247"/>
      <c r="BL183" s="247"/>
      <c r="BM183" s="247"/>
      <c r="BN183" s="247"/>
      <c r="BO183" s="247"/>
      <c r="BP183" s="247"/>
      <c r="BQ183" s="247"/>
      <c r="BR183" s="247"/>
      <c r="BS183" s="247"/>
      <c r="BT183" s="247"/>
      <c r="BU183" s="247"/>
      <c r="BV183" s="247"/>
      <c r="BW183" s="247"/>
      <c r="BX183" s="247"/>
      <c r="BY183" s="247"/>
      <c r="BZ183" s="247"/>
      <c r="CA183" s="247"/>
      <c r="CB183" s="247"/>
      <c r="CC183" s="247"/>
      <c r="CD183" s="247"/>
      <c r="CE183" s="247"/>
    </row>
    <row r="184" spans="1:83" s="314" customFormat="1" ht="18" customHeight="1" x14ac:dyDescent="0.25">
      <c r="A184" s="923"/>
      <c r="B184" s="902"/>
      <c r="C184" s="913"/>
      <c r="D184" s="335" t="s">
        <v>38</v>
      </c>
      <c r="E184" s="207">
        <f>277756333*73/115+18877376</f>
        <v>195192265.64347827</v>
      </c>
      <c r="F184" s="207">
        <v>160628700.5</v>
      </c>
      <c r="G184" s="207">
        <f>277756333*73/115+18877376</f>
        <v>195192265.64347827</v>
      </c>
      <c r="H184" s="508">
        <v>150729023.64347827</v>
      </c>
      <c r="I184" s="207"/>
      <c r="J184" s="207"/>
      <c r="K184" s="207">
        <f>(8774000+212400000)/2</f>
        <v>110587000</v>
      </c>
      <c r="L184" s="236">
        <f>5285666.5+106200000+18877376+10044223</f>
        <v>140407265.5</v>
      </c>
      <c r="M184" s="236"/>
      <c r="N184" s="236">
        <f t="shared" si="12"/>
        <v>140407265.5</v>
      </c>
      <c r="O184" s="236"/>
      <c r="P184" s="236"/>
      <c r="Q184" s="891"/>
      <c r="R184" s="967"/>
      <c r="S184" s="891"/>
      <c r="T184" s="891"/>
      <c r="U184" s="891"/>
      <c r="V184" s="891"/>
      <c r="W184" s="891"/>
      <c r="X184" s="891"/>
      <c r="Y184" s="891"/>
      <c r="Z184" s="891"/>
      <c r="AA184" s="999"/>
      <c r="AB184" s="1"/>
      <c r="AC184" s="1"/>
      <c r="AD184" s="1"/>
      <c r="AE184" s="1"/>
      <c r="AF184" s="1"/>
      <c r="AG184" s="1"/>
      <c r="AH184" s="1"/>
      <c r="AI184" s="1"/>
      <c r="AJ184" s="1"/>
      <c r="AK184" s="1"/>
      <c r="AL184" s="1"/>
      <c r="AM184" s="1"/>
      <c r="AN184" s="1"/>
      <c r="AO184" s="1"/>
      <c r="AP184" s="247"/>
      <c r="AQ184" s="247"/>
      <c r="AR184" s="247"/>
      <c r="AS184" s="247"/>
      <c r="AT184" s="247"/>
      <c r="AU184" s="247"/>
      <c r="AV184" s="247"/>
      <c r="AW184" s="247"/>
      <c r="AX184" s="247"/>
      <c r="AY184" s="247"/>
      <c r="AZ184" s="247"/>
      <c r="BA184" s="247"/>
      <c r="BB184" s="247"/>
      <c r="BC184" s="247"/>
      <c r="BD184" s="247"/>
      <c r="BE184" s="247"/>
      <c r="BF184" s="247"/>
      <c r="BG184" s="247"/>
      <c r="BH184" s="247"/>
      <c r="BI184" s="247"/>
      <c r="BJ184" s="247"/>
      <c r="BK184" s="247"/>
      <c r="BL184" s="247"/>
      <c r="BM184" s="247"/>
      <c r="BN184" s="247"/>
      <c r="BO184" s="247"/>
      <c r="BP184" s="247"/>
      <c r="BQ184" s="247"/>
      <c r="BR184" s="247"/>
      <c r="BS184" s="247"/>
      <c r="BT184" s="247"/>
      <c r="BU184" s="247"/>
      <c r="BV184" s="247"/>
      <c r="BW184" s="247"/>
      <c r="BX184" s="247"/>
      <c r="BY184" s="247"/>
      <c r="BZ184" s="247"/>
      <c r="CA184" s="247"/>
      <c r="CB184" s="247"/>
      <c r="CC184" s="247"/>
      <c r="CD184" s="247"/>
      <c r="CE184" s="247"/>
    </row>
    <row r="185" spans="1:83" s="314" customFormat="1" ht="18" customHeight="1" x14ac:dyDescent="0.25">
      <c r="A185" s="923"/>
      <c r="B185" s="902"/>
      <c r="C185" s="913" t="s">
        <v>391</v>
      </c>
      <c r="D185" s="335" t="s">
        <v>34</v>
      </c>
      <c r="E185" s="305">
        <f>E177+E181</f>
        <v>118</v>
      </c>
      <c r="F185" s="305">
        <v>115</v>
      </c>
      <c r="G185" s="305">
        <f>G177+G181</f>
        <v>118</v>
      </c>
      <c r="H185" s="590">
        <v>130</v>
      </c>
      <c r="I185" s="207"/>
      <c r="J185" s="305"/>
      <c r="K185" s="305">
        <f>K177+K181</f>
        <v>115</v>
      </c>
      <c r="L185" s="591">
        <f>+L177+L181</f>
        <v>120.8</v>
      </c>
      <c r="M185" s="591">
        <v>120.8</v>
      </c>
      <c r="N185" s="236">
        <f t="shared" si="12"/>
        <v>0</v>
      </c>
      <c r="O185" s="305"/>
      <c r="P185" s="305"/>
      <c r="Q185" s="592"/>
      <c r="R185" s="321"/>
      <c r="S185" s="321"/>
      <c r="T185" s="321"/>
      <c r="U185" s="321"/>
      <c r="V185" s="321"/>
      <c r="W185" s="321"/>
      <c r="X185" s="321"/>
      <c r="Y185" s="321"/>
      <c r="Z185" s="593"/>
      <c r="AA185" s="594"/>
      <c r="AB185" s="1"/>
      <c r="AC185" s="1"/>
      <c r="AD185" s="1"/>
      <c r="AE185" s="1"/>
      <c r="AF185" s="1"/>
      <c r="AG185" s="1"/>
      <c r="AH185" s="1"/>
      <c r="AI185" s="1"/>
      <c r="AJ185" s="1"/>
      <c r="AK185" s="1"/>
      <c r="AL185" s="1"/>
      <c r="AM185" s="1"/>
      <c r="AN185" s="1"/>
      <c r="AO185" s="1"/>
      <c r="AP185" s="247"/>
      <c r="AQ185" s="247"/>
      <c r="AR185" s="247"/>
      <c r="AS185" s="247"/>
      <c r="AT185" s="247"/>
      <c r="AU185" s="247"/>
      <c r="AV185" s="247"/>
      <c r="AW185" s="247"/>
      <c r="AX185" s="247"/>
      <c r="AY185" s="247"/>
      <c r="AZ185" s="247"/>
      <c r="BA185" s="247"/>
      <c r="BB185" s="247"/>
      <c r="BC185" s="247"/>
      <c r="BD185" s="247"/>
      <c r="BE185" s="247"/>
      <c r="BF185" s="247"/>
      <c r="BG185" s="247"/>
      <c r="BH185" s="247"/>
      <c r="BI185" s="247"/>
      <c r="BJ185" s="247"/>
      <c r="BK185" s="247"/>
      <c r="BL185" s="247"/>
      <c r="BM185" s="247"/>
      <c r="BN185" s="247"/>
      <c r="BO185" s="247"/>
      <c r="BP185" s="247"/>
      <c r="BQ185" s="247"/>
      <c r="BR185" s="247"/>
      <c r="BS185" s="247"/>
      <c r="BT185" s="247"/>
      <c r="BU185" s="247"/>
      <c r="BV185" s="247"/>
      <c r="BW185" s="247"/>
      <c r="BX185" s="247"/>
      <c r="BY185" s="247"/>
      <c r="BZ185" s="247"/>
      <c r="CA185" s="247"/>
      <c r="CB185" s="247"/>
      <c r="CC185" s="247"/>
      <c r="CD185" s="247"/>
      <c r="CE185" s="247"/>
    </row>
    <row r="186" spans="1:83" s="314" customFormat="1" ht="18" customHeight="1" x14ac:dyDescent="0.25">
      <c r="A186" s="923"/>
      <c r="B186" s="902"/>
      <c r="C186" s="913"/>
      <c r="D186" s="335" t="s">
        <v>36</v>
      </c>
      <c r="E186" s="207">
        <f>+E178+E182</f>
        <v>1196746500</v>
      </c>
      <c r="F186" s="207">
        <v>879217376</v>
      </c>
      <c r="G186" s="207">
        <f>+G178+G182</f>
        <v>1196746999.9999998</v>
      </c>
      <c r="H186" s="508">
        <v>1196747000</v>
      </c>
      <c r="I186" s="207"/>
      <c r="J186" s="207"/>
      <c r="K186" s="207">
        <f>+K178+K182</f>
        <v>220842300</v>
      </c>
      <c r="L186" s="216">
        <f>SUM(L177:L184)</f>
        <v>1227085129.8</v>
      </c>
      <c r="M186" s="216">
        <v>985236300</v>
      </c>
      <c r="N186" s="236">
        <f t="shared" si="12"/>
        <v>241848829.79999995</v>
      </c>
      <c r="O186" s="207"/>
      <c r="P186" s="207"/>
      <c r="Q186" s="207"/>
      <c r="R186" s="207"/>
      <c r="S186" s="207"/>
      <c r="T186" s="207"/>
      <c r="U186" s="207"/>
      <c r="V186" s="207"/>
      <c r="W186" s="207"/>
      <c r="X186" s="207"/>
      <c r="Y186" s="207"/>
      <c r="Z186" s="207"/>
      <c r="AA186" s="287"/>
      <c r="AB186" s="1"/>
      <c r="AC186" s="1"/>
      <c r="AD186" s="1"/>
      <c r="AE186" s="1"/>
      <c r="AF186" s="1"/>
      <c r="AG186" s="1"/>
      <c r="AH186" s="1"/>
      <c r="AI186" s="1"/>
      <c r="AJ186" s="1"/>
      <c r="AK186" s="1"/>
      <c r="AL186" s="1"/>
      <c r="AM186" s="1"/>
      <c r="AN186" s="1"/>
      <c r="AO186" s="1"/>
      <c r="AP186" s="247"/>
      <c r="AQ186" s="247"/>
      <c r="AR186" s="247"/>
      <c r="AS186" s="247"/>
      <c r="AT186" s="247"/>
      <c r="AU186" s="247"/>
      <c r="AV186" s="247"/>
      <c r="AW186" s="247"/>
      <c r="AX186" s="247"/>
      <c r="AY186" s="247"/>
      <c r="AZ186" s="247"/>
      <c r="BA186" s="247"/>
      <c r="BB186" s="247"/>
      <c r="BC186" s="247"/>
      <c r="BD186" s="247"/>
      <c r="BE186" s="247"/>
      <c r="BF186" s="247"/>
      <c r="BG186" s="247"/>
      <c r="BH186" s="247"/>
      <c r="BI186" s="247"/>
      <c r="BJ186" s="247"/>
      <c r="BK186" s="247"/>
      <c r="BL186" s="247"/>
      <c r="BM186" s="247"/>
      <c r="BN186" s="247"/>
      <c r="BO186" s="247"/>
      <c r="BP186" s="247"/>
      <c r="BQ186" s="247"/>
      <c r="BR186" s="247"/>
      <c r="BS186" s="247"/>
      <c r="BT186" s="247"/>
      <c r="BU186" s="247"/>
      <c r="BV186" s="247"/>
      <c r="BW186" s="247"/>
      <c r="BX186" s="247"/>
      <c r="BY186" s="247"/>
      <c r="BZ186" s="247"/>
      <c r="CA186" s="247"/>
      <c r="CB186" s="247"/>
      <c r="CC186" s="247"/>
      <c r="CD186" s="247"/>
      <c r="CE186" s="247"/>
    </row>
    <row r="187" spans="1:83" s="314" customFormat="1" ht="18" customHeight="1" x14ac:dyDescent="0.25">
      <c r="A187" s="923"/>
      <c r="B187" s="902"/>
      <c r="C187" s="913"/>
      <c r="D187" s="335" t="s">
        <v>37</v>
      </c>
      <c r="E187" s="207"/>
      <c r="F187" s="207"/>
      <c r="G187" s="207"/>
      <c r="H187" s="508"/>
      <c r="I187" s="207"/>
      <c r="J187" s="305"/>
      <c r="K187" s="207"/>
      <c r="L187" s="305"/>
      <c r="M187" s="305"/>
      <c r="N187" s="236">
        <f t="shared" si="12"/>
        <v>0</v>
      </c>
      <c r="O187" s="305"/>
      <c r="P187" s="207"/>
      <c r="Q187" s="207"/>
      <c r="R187" s="207"/>
      <c r="S187" s="207"/>
      <c r="T187" s="207"/>
      <c r="U187" s="207"/>
      <c r="V187" s="207"/>
      <c r="W187" s="207"/>
      <c r="X187" s="207"/>
      <c r="Y187" s="207"/>
      <c r="Z187" s="207"/>
      <c r="AA187" s="287"/>
      <c r="AB187" s="1"/>
      <c r="AC187" s="1"/>
      <c r="AD187" s="1"/>
      <c r="AE187" s="1"/>
      <c r="AF187" s="1"/>
      <c r="AG187" s="1"/>
      <c r="AH187" s="1"/>
      <c r="AI187" s="1"/>
      <c r="AJ187" s="1"/>
      <c r="AK187" s="1"/>
      <c r="AL187" s="1"/>
      <c r="AM187" s="1"/>
      <c r="AN187" s="1"/>
      <c r="AO187" s="1"/>
      <c r="AP187" s="247"/>
      <c r="AQ187" s="247"/>
      <c r="AR187" s="247"/>
      <c r="AS187" s="247"/>
      <c r="AT187" s="247"/>
      <c r="AU187" s="247"/>
      <c r="AV187" s="247"/>
      <c r="AW187" s="247"/>
      <c r="AX187" s="247"/>
      <c r="AY187" s="247"/>
      <c r="AZ187" s="247"/>
      <c r="BA187" s="247"/>
      <c r="BB187" s="247"/>
      <c r="BC187" s="247"/>
      <c r="BD187" s="247"/>
      <c r="BE187" s="247"/>
      <c r="BF187" s="247"/>
      <c r="BG187" s="247"/>
      <c r="BH187" s="247"/>
      <c r="BI187" s="247"/>
      <c r="BJ187" s="247"/>
      <c r="BK187" s="247"/>
      <c r="BL187" s="247"/>
      <c r="BM187" s="247"/>
      <c r="BN187" s="247"/>
      <c r="BO187" s="247"/>
      <c r="BP187" s="247"/>
      <c r="BQ187" s="247"/>
      <c r="BR187" s="247"/>
      <c r="BS187" s="247"/>
      <c r="BT187" s="247"/>
      <c r="BU187" s="247"/>
      <c r="BV187" s="247"/>
      <c r="BW187" s="247"/>
      <c r="BX187" s="247"/>
      <c r="BY187" s="247"/>
      <c r="BZ187" s="247"/>
      <c r="CA187" s="247"/>
      <c r="CB187" s="247"/>
      <c r="CC187" s="247"/>
      <c r="CD187" s="247"/>
      <c r="CE187" s="247"/>
    </row>
    <row r="188" spans="1:83" s="314" customFormat="1" ht="18" customHeight="1" thickBot="1" x14ac:dyDescent="0.3">
      <c r="A188" s="924"/>
      <c r="B188" s="903"/>
      <c r="C188" s="942"/>
      <c r="D188" s="468" t="s">
        <v>38</v>
      </c>
      <c r="E188" s="477">
        <f>+E180+E184</f>
        <v>296633709</v>
      </c>
      <c r="F188" s="477">
        <v>237965401</v>
      </c>
      <c r="G188" s="477">
        <f>+G180+G184</f>
        <v>296633709</v>
      </c>
      <c r="H188" s="535">
        <v>252170467</v>
      </c>
      <c r="I188" s="208"/>
      <c r="J188" s="208"/>
      <c r="K188" s="477">
        <f>+K180+K184</f>
        <v>221174000</v>
      </c>
      <c r="L188" s="477">
        <f>+L180+L184</f>
        <v>241848709</v>
      </c>
      <c r="M188" s="477">
        <v>241848709</v>
      </c>
      <c r="N188" s="204">
        <f t="shared" si="12"/>
        <v>0</v>
      </c>
      <c r="O188" s="208"/>
      <c r="P188" s="208"/>
      <c r="Q188" s="208"/>
      <c r="R188" s="208"/>
      <c r="S188" s="208"/>
      <c r="T188" s="208"/>
      <c r="U188" s="208"/>
      <c r="V188" s="208"/>
      <c r="W188" s="208"/>
      <c r="X188" s="208"/>
      <c r="Y188" s="208"/>
      <c r="Z188" s="208"/>
      <c r="AA188" s="288"/>
      <c r="AB188" s="1"/>
      <c r="AC188" s="1"/>
      <c r="AD188" s="1"/>
      <c r="AE188" s="1"/>
      <c r="AF188" s="1"/>
      <c r="AG188" s="1"/>
      <c r="AH188" s="1"/>
      <c r="AI188" s="1"/>
      <c r="AJ188" s="1"/>
      <c r="AK188" s="1"/>
      <c r="AL188" s="1"/>
      <c r="AM188" s="1"/>
      <c r="AN188" s="1"/>
      <c r="AO188" s="1"/>
      <c r="AP188" s="247"/>
      <c r="AQ188" s="247"/>
      <c r="AR188" s="247"/>
      <c r="AS188" s="247"/>
      <c r="AT188" s="247"/>
      <c r="AU188" s="247"/>
      <c r="AV188" s="247"/>
      <c r="AW188" s="247"/>
      <c r="AX188" s="247"/>
      <c r="AY188" s="247"/>
      <c r="AZ188" s="247"/>
      <c r="BA188" s="247"/>
      <c r="BB188" s="247"/>
      <c r="BC188" s="247"/>
      <c r="BD188" s="247"/>
      <c r="BE188" s="247"/>
      <c r="BF188" s="247"/>
      <c r="BG188" s="247"/>
      <c r="BH188" s="247"/>
      <c r="BI188" s="247"/>
      <c r="BJ188" s="247"/>
      <c r="BK188" s="247"/>
      <c r="BL188" s="247"/>
      <c r="BM188" s="247"/>
      <c r="BN188" s="247"/>
      <c r="BO188" s="247"/>
      <c r="BP188" s="247"/>
      <c r="BQ188" s="247"/>
      <c r="BR188" s="247"/>
      <c r="BS188" s="247"/>
      <c r="BT188" s="247"/>
      <c r="BU188" s="247"/>
      <c r="BV188" s="247"/>
      <c r="BW188" s="247"/>
      <c r="BX188" s="247"/>
      <c r="BY188" s="247"/>
      <c r="BZ188" s="247"/>
      <c r="CA188" s="247"/>
      <c r="CB188" s="247"/>
      <c r="CC188" s="247"/>
      <c r="CD188" s="247"/>
      <c r="CE188" s="247"/>
    </row>
    <row r="189" spans="1:83" s="314" customFormat="1" ht="26.25" customHeight="1" x14ac:dyDescent="0.25">
      <c r="A189" s="977">
        <v>14</v>
      </c>
      <c r="B189" s="901" t="s">
        <v>174</v>
      </c>
      <c r="C189" s="912" t="s">
        <v>337</v>
      </c>
      <c r="D189" s="484" t="s">
        <v>34</v>
      </c>
      <c r="E189" s="209">
        <v>3</v>
      </c>
      <c r="F189" s="209">
        <v>3</v>
      </c>
      <c r="G189" s="209">
        <v>3</v>
      </c>
      <c r="H189" s="476">
        <v>3</v>
      </c>
      <c r="I189" s="209"/>
      <c r="J189" s="209"/>
      <c r="K189" s="209">
        <v>3</v>
      </c>
      <c r="L189" s="209">
        <v>3</v>
      </c>
      <c r="M189" s="209">
        <v>3</v>
      </c>
      <c r="N189" s="264">
        <f t="shared" si="12"/>
        <v>0</v>
      </c>
      <c r="O189" s="209"/>
      <c r="P189" s="209"/>
      <c r="Q189" s="925" t="s">
        <v>338</v>
      </c>
      <c r="R189" s="908" t="s">
        <v>339</v>
      </c>
      <c r="S189" s="892"/>
      <c r="T189" s="908" t="s">
        <v>340</v>
      </c>
      <c r="U189" s="895" t="s">
        <v>297</v>
      </c>
      <c r="V189" s="892">
        <f>7642+25783+90671+55281</f>
        <v>179377</v>
      </c>
      <c r="W189" s="892">
        <f>8345+26161+94442+57747</f>
        <v>186695</v>
      </c>
      <c r="X189" s="892" t="s">
        <v>231</v>
      </c>
      <c r="Y189" s="892" t="s">
        <v>225</v>
      </c>
      <c r="Z189" s="892" t="s">
        <v>232</v>
      </c>
      <c r="AA189" s="984">
        <f>+V189+W189</f>
        <v>366072</v>
      </c>
      <c r="AB189" s="1"/>
      <c r="AC189" s="1"/>
      <c r="AD189" s="1"/>
      <c r="AE189" s="1"/>
      <c r="AF189" s="1"/>
      <c r="AG189" s="1"/>
      <c r="AH189" s="1"/>
      <c r="AI189" s="1"/>
      <c r="AJ189" s="1"/>
      <c r="AK189" s="1"/>
      <c r="AL189" s="1"/>
      <c r="AM189" s="1"/>
      <c r="AN189" s="1"/>
      <c r="AO189" s="1"/>
      <c r="AP189" s="247"/>
      <c r="AQ189" s="247"/>
      <c r="AR189" s="247"/>
      <c r="AS189" s="247"/>
      <c r="AT189" s="247"/>
      <c r="AU189" s="247"/>
      <c r="AV189" s="247"/>
      <c r="AW189" s="247"/>
      <c r="AX189" s="247"/>
      <c r="AY189" s="247"/>
      <c r="AZ189" s="247"/>
      <c r="BA189" s="247"/>
      <c r="BB189" s="247"/>
      <c r="BC189" s="247"/>
      <c r="BD189" s="247"/>
      <c r="BE189" s="247"/>
      <c r="BF189" s="247"/>
      <c r="BG189" s="247"/>
      <c r="BH189" s="247"/>
      <c r="BI189" s="247"/>
      <c r="BJ189" s="247"/>
      <c r="BK189" s="247"/>
      <c r="BL189" s="247"/>
      <c r="BM189" s="247"/>
      <c r="BN189" s="247"/>
      <c r="BO189" s="247"/>
      <c r="BP189" s="247"/>
      <c r="BQ189" s="247"/>
      <c r="BR189" s="247"/>
      <c r="BS189" s="247"/>
      <c r="BT189" s="247"/>
      <c r="BU189" s="247"/>
      <c r="BV189" s="247"/>
      <c r="BW189" s="247"/>
      <c r="BX189" s="247"/>
      <c r="BY189" s="247"/>
      <c r="BZ189" s="247"/>
      <c r="CA189" s="247"/>
      <c r="CB189" s="247"/>
      <c r="CC189" s="247"/>
      <c r="CD189" s="247"/>
      <c r="CE189" s="247"/>
    </row>
    <row r="190" spans="1:83" s="314" customFormat="1" ht="26.25" customHeight="1" x14ac:dyDescent="0.25">
      <c r="A190" s="923"/>
      <c r="B190" s="902"/>
      <c r="C190" s="913"/>
      <c r="D190" s="335" t="s">
        <v>36</v>
      </c>
      <c r="E190" s="207">
        <v>479821000</v>
      </c>
      <c r="F190" s="207">
        <v>451605000</v>
      </c>
      <c r="G190" s="207">
        <v>479821000</v>
      </c>
      <c r="H190" s="508">
        <v>259821000</v>
      </c>
      <c r="I190" s="207"/>
      <c r="J190" s="207"/>
      <c r="K190" s="207">
        <v>79759080</v>
      </c>
      <c r="L190" s="207">
        <v>79759080</v>
      </c>
      <c r="M190" s="207">
        <v>79759080</v>
      </c>
      <c r="N190" s="236">
        <f t="shared" si="12"/>
        <v>0</v>
      </c>
      <c r="O190" s="207"/>
      <c r="P190" s="207"/>
      <c r="Q190" s="907"/>
      <c r="R190" s="909"/>
      <c r="S190" s="893"/>
      <c r="T190" s="909"/>
      <c r="U190" s="891"/>
      <c r="V190" s="893"/>
      <c r="W190" s="893"/>
      <c r="X190" s="893"/>
      <c r="Y190" s="893"/>
      <c r="Z190" s="893"/>
      <c r="AA190" s="985"/>
      <c r="AB190" s="1"/>
      <c r="AC190" s="1"/>
      <c r="AD190" s="1"/>
      <c r="AE190" s="1"/>
      <c r="AF190" s="1"/>
      <c r="AG190" s="1"/>
      <c r="AH190" s="1"/>
      <c r="AI190" s="1"/>
      <c r="AJ190" s="1"/>
      <c r="AK190" s="1"/>
      <c r="AL190" s="1"/>
      <c r="AM190" s="1"/>
      <c r="AN190" s="1"/>
      <c r="AO190" s="1"/>
      <c r="AP190" s="247"/>
      <c r="AQ190" s="247"/>
      <c r="AR190" s="247"/>
      <c r="AS190" s="247"/>
      <c r="AT190" s="247"/>
      <c r="AU190" s="247"/>
      <c r="AV190" s="247"/>
      <c r="AW190" s="247"/>
      <c r="AX190" s="247"/>
      <c r="AY190" s="247"/>
      <c r="AZ190" s="247"/>
      <c r="BA190" s="247"/>
      <c r="BB190" s="247"/>
      <c r="BC190" s="247"/>
      <c r="BD190" s="247"/>
      <c r="BE190" s="247"/>
      <c r="BF190" s="247"/>
      <c r="BG190" s="247"/>
      <c r="BH190" s="247"/>
      <c r="BI190" s="247"/>
      <c r="BJ190" s="247"/>
      <c r="BK190" s="247"/>
      <c r="BL190" s="247"/>
      <c r="BM190" s="247"/>
      <c r="BN190" s="247"/>
      <c r="BO190" s="247"/>
      <c r="BP190" s="247"/>
      <c r="BQ190" s="247"/>
      <c r="BR190" s="247"/>
      <c r="BS190" s="247"/>
      <c r="BT190" s="247"/>
      <c r="BU190" s="247"/>
      <c r="BV190" s="247"/>
      <c r="BW190" s="247"/>
      <c r="BX190" s="247"/>
      <c r="BY190" s="247"/>
      <c r="BZ190" s="247"/>
      <c r="CA190" s="247"/>
      <c r="CB190" s="247"/>
      <c r="CC190" s="247"/>
      <c r="CD190" s="247"/>
      <c r="CE190" s="247"/>
    </row>
    <row r="191" spans="1:83" s="314" customFormat="1" ht="26.25" customHeight="1" x14ac:dyDescent="0.25">
      <c r="A191" s="923"/>
      <c r="B191" s="902"/>
      <c r="C191" s="913"/>
      <c r="D191" s="335" t="s">
        <v>37</v>
      </c>
      <c r="E191" s="229"/>
      <c r="F191" s="229">
        <v>0</v>
      </c>
      <c r="G191" s="229"/>
      <c r="H191" s="506"/>
      <c r="I191" s="229"/>
      <c r="J191" s="229"/>
      <c r="K191" s="229"/>
      <c r="L191" s="229"/>
      <c r="M191" s="229"/>
      <c r="N191" s="236">
        <f t="shared" si="12"/>
        <v>0</v>
      </c>
      <c r="O191" s="236"/>
      <c r="P191" s="236"/>
      <c r="Q191" s="907"/>
      <c r="R191" s="909"/>
      <c r="S191" s="893"/>
      <c r="T191" s="909"/>
      <c r="U191" s="891"/>
      <c r="V191" s="893"/>
      <c r="W191" s="893"/>
      <c r="X191" s="893"/>
      <c r="Y191" s="893"/>
      <c r="Z191" s="893"/>
      <c r="AA191" s="985"/>
      <c r="AB191" s="1"/>
      <c r="AC191" s="1"/>
      <c r="AD191" s="1"/>
      <c r="AE191" s="1"/>
      <c r="AF191" s="1"/>
      <c r="AG191" s="1"/>
      <c r="AH191" s="1"/>
      <c r="AI191" s="1"/>
      <c r="AJ191" s="1"/>
      <c r="AK191" s="1"/>
      <c r="AL191" s="1"/>
      <c r="AM191" s="1"/>
      <c r="AN191" s="1"/>
      <c r="AO191" s="1"/>
      <c r="AP191" s="247"/>
      <c r="AQ191" s="247"/>
      <c r="AR191" s="247"/>
      <c r="AS191" s="247"/>
      <c r="AT191" s="247"/>
      <c r="AU191" s="247"/>
      <c r="AV191" s="247"/>
      <c r="AW191" s="247"/>
      <c r="AX191" s="247"/>
      <c r="AY191" s="247"/>
      <c r="AZ191" s="247"/>
      <c r="BA191" s="247"/>
      <c r="BB191" s="247"/>
      <c r="BC191" s="247"/>
      <c r="BD191" s="247"/>
      <c r="BE191" s="247"/>
      <c r="BF191" s="247"/>
      <c r="BG191" s="247"/>
      <c r="BH191" s="247"/>
      <c r="BI191" s="247"/>
      <c r="BJ191" s="247"/>
      <c r="BK191" s="247"/>
      <c r="BL191" s="247"/>
      <c r="BM191" s="247"/>
      <c r="BN191" s="247"/>
      <c r="BO191" s="247"/>
      <c r="BP191" s="247"/>
      <c r="BQ191" s="247"/>
      <c r="BR191" s="247"/>
      <c r="BS191" s="247"/>
      <c r="BT191" s="247"/>
      <c r="BU191" s="247"/>
      <c r="BV191" s="247"/>
      <c r="BW191" s="247"/>
      <c r="BX191" s="247"/>
      <c r="BY191" s="247"/>
      <c r="BZ191" s="247"/>
      <c r="CA191" s="247"/>
      <c r="CB191" s="247"/>
      <c r="CC191" s="247"/>
      <c r="CD191" s="247"/>
      <c r="CE191" s="247"/>
    </row>
    <row r="192" spans="1:83" s="314" customFormat="1" ht="26.25" customHeight="1" thickBot="1" x14ac:dyDescent="0.3">
      <c r="A192" s="976"/>
      <c r="B192" s="903"/>
      <c r="C192" s="942"/>
      <c r="D192" s="468" t="s">
        <v>38</v>
      </c>
      <c r="E192" s="477">
        <v>367710667</v>
      </c>
      <c r="F192" s="477">
        <v>289751334</v>
      </c>
      <c r="G192" s="477">
        <v>367710667</v>
      </c>
      <c r="H192" s="535">
        <v>367710667</v>
      </c>
      <c r="I192" s="208"/>
      <c r="J192" s="208"/>
      <c r="K192" s="208">
        <v>2990000</v>
      </c>
      <c r="L192" s="208">
        <v>97710667</v>
      </c>
      <c r="M192" s="208">
        <v>97710667</v>
      </c>
      <c r="N192" s="204">
        <f t="shared" si="12"/>
        <v>0</v>
      </c>
      <c r="O192" s="204"/>
      <c r="P192" s="204"/>
      <c r="Q192" s="944"/>
      <c r="R192" s="910"/>
      <c r="S192" s="894"/>
      <c r="T192" s="910"/>
      <c r="U192" s="911"/>
      <c r="V192" s="894"/>
      <c r="W192" s="894"/>
      <c r="X192" s="894"/>
      <c r="Y192" s="894"/>
      <c r="Z192" s="894"/>
      <c r="AA192" s="986"/>
      <c r="AB192" s="1"/>
      <c r="AC192" s="1"/>
      <c r="AD192" s="1"/>
      <c r="AE192" s="1"/>
      <c r="AF192" s="1"/>
      <c r="AG192" s="1"/>
      <c r="AH192" s="1"/>
      <c r="AI192" s="1"/>
      <c r="AJ192" s="1"/>
      <c r="AK192" s="1"/>
      <c r="AL192" s="1"/>
      <c r="AM192" s="1"/>
      <c r="AN192" s="1"/>
      <c r="AO192" s="1"/>
      <c r="AP192" s="247"/>
      <c r="AQ192" s="247"/>
      <c r="AR192" s="247"/>
      <c r="AS192" s="247"/>
      <c r="AT192" s="247"/>
      <c r="AU192" s="247"/>
      <c r="AV192" s="247"/>
      <c r="AW192" s="247"/>
      <c r="AX192" s="247"/>
      <c r="AY192" s="247"/>
      <c r="AZ192" s="247"/>
      <c r="BA192" s="247"/>
      <c r="BB192" s="247"/>
      <c r="BC192" s="247"/>
      <c r="BD192" s="247"/>
      <c r="BE192" s="247"/>
      <c r="BF192" s="247"/>
      <c r="BG192" s="247"/>
      <c r="BH192" s="247"/>
      <c r="BI192" s="247"/>
      <c r="BJ192" s="247"/>
      <c r="BK192" s="247"/>
      <c r="BL192" s="247"/>
      <c r="BM192" s="247"/>
      <c r="BN192" s="247"/>
      <c r="BO192" s="247"/>
      <c r="BP192" s="247"/>
      <c r="BQ192" s="247"/>
      <c r="BR192" s="247"/>
      <c r="BS192" s="247"/>
      <c r="BT192" s="247"/>
      <c r="BU192" s="247"/>
      <c r="BV192" s="247"/>
      <c r="BW192" s="247"/>
      <c r="BX192" s="247"/>
      <c r="BY192" s="247"/>
      <c r="BZ192" s="247"/>
      <c r="CA192" s="247"/>
      <c r="CB192" s="247"/>
      <c r="CC192" s="247"/>
      <c r="CD192" s="247"/>
      <c r="CE192" s="247"/>
    </row>
    <row r="193" spans="1:83" s="314" customFormat="1" ht="26.25" customHeight="1" x14ac:dyDescent="0.25">
      <c r="A193" s="922">
        <v>15</v>
      </c>
      <c r="B193" s="901" t="s">
        <v>175</v>
      </c>
      <c r="C193" s="904" t="s">
        <v>344</v>
      </c>
      <c r="D193" s="484" t="s">
        <v>34</v>
      </c>
      <c r="E193" s="209">
        <v>94</v>
      </c>
      <c r="F193" s="209">
        <v>89</v>
      </c>
      <c r="G193" s="209">
        <v>94</v>
      </c>
      <c r="H193" s="476">
        <v>94</v>
      </c>
      <c r="I193" s="209"/>
      <c r="J193" s="209"/>
      <c r="K193" s="209">
        <v>91.2</v>
      </c>
      <c r="L193" s="209">
        <v>92.6</v>
      </c>
      <c r="M193" s="209">
        <v>92.6</v>
      </c>
      <c r="N193" s="264">
        <f t="shared" si="12"/>
        <v>0</v>
      </c>
      <c r="O193" s="264"/>
      <c r="P193" s="209"/>
      <c r="Q193" s="925" t="s">
        <v>341</v>
      </c>
      <c r="R193" s="908" t="s">
        <v>341</v>
      </c>
      <c r="S193" s="892" t="s">
        <v>226</v>
      </c>
      <c r="T193" s="908" t="s">
        <v>342</v>
      </c>
      <c r="U193" s="895" t="s">
        <v>343</v>
      </c>
      <c r="V193" s="892">
        <v>3758224</v>
      </c>
      <c r="W193" s="892">
        <v>4018621</v>
      </c>
      <c r="X193" s="892" t="s">
        <v>231</v>
      </c>
      <c r="Y193" s="892" t="s">
        <v>225</v>
      </c>
      <c r="Z193" s="892" t="s">
        <v>232</v>
      </c>
      <c r="AA193" s="984">
        <f>+V193+W193</f>
        <v>7776845</v>
      </c>
      <c r="AB193" s="1"/>
      <c r="AC193" s="1"/>
      <c r="AD193" s="1"/>
      <c r="AE193" s="1"/>
      <c r="AF193" s="1"/>
      <c r="AG193" s="1"/>
      <c r="AH193" s="1"/>
      <c r="AI193" s="1"/>
      <c r="AJ193" s="1"/>
      <c r="AK193" s="1"/>
      <c r="AL193" s="1"/>
      <c r="AM193" s="1"/>
      <c r="AN193" s="1"/>
      <c r="AO193" s="1"/>
      <c r="AP193" s="247"/>
      <c r="AQ193" s="247"/>
      <c r="AR193" s="247"/>
      <c r="AS193" s="247"/>
      <c r="AT193" s="247"/>
      <c r="AU193" s="247"/>
      <c r="AV193" s="247"/>
      <c r="AW193" s="247"/>
      <c r="AX193" s="247"/>
      <c r="AY193" s="247"/>
      <c r="AZ193" s="247"/>
      <c r="BA193" s="247"/>
      <c r="BB193" s="247"/>
      <c r="BC193" s="247"/>
      <c r="BD193" s="247"/>
      <c r="BE193" s="247"/>
      <c r="BF193" s="247"/>
      <c r="BG193" s="247"/>
      <c r="BH193" s="247"/>
      <c r="BI193" s="247"/>
      <c r="BJ193" s="247"/>
      <c r="BK193" s="247"/>
      <c r="BL193" s="247"/>
      <c r="BM193" s="247"/>
      <c r="BN193" s="247"/>
      <c r="BO193" s="247"/>
      <c r="BP193" s="247"/>
      <c r="BQ193" s="247"/>
      <c r="BR193" s="247"/>
      <c r="BS193" s="247"/>
      <c r="BT193" s="247"/>
      <c r="BU193" s="247"/>
      <c r="BV193" s="247"/>
      <c r="BW193" s="247"/>
      <c r="BX193" s="247"/>
      <c r="BY193" s="247"/>
      <c r="BZ193" s="247"/>
      <c r="CA193" s="247"/>
      <c r="CB193" s="247"/>
      <c r="CC193" s="247"/>
      <c r="CD193" s="247"/>
      <c r="CE193" s="247"/>
    </row>
    <row r="194" spans="1:83" s="314" customFormat="1" ht="26.25" customHeight="1" x14ac:dyDescent="0.25">
      <c r="A194" s="923"/>
      <c r="B194" s="902"/>
      <c r="C194" s="905"/>
      <c r="D194" s="335" t="s">
        <v>36</v>
      </c>
      <c r="E194" s="207">
        <v>338204500</v>
      </c>
      <c r="F194" s="207">
        <v>328467612</v>
      </c>
      <c r="G194" s="207">
        <v>338204500</v>
      </c>
      <c r="H194" s="508">
        <v>338204000</v>
      </c>
      <c r="I194" s="207"/>
      <c r="J194" s="207"/>
      <c r="K194" s="207">
        <v>156054888</v>
      </c>
      <c r="L194" s="207">
        <v>269793038</v>
      </c>
      <c r="M194" s="207">
        <v>269793038</v>
      </c>
      <c r="N194" s="236">
        <f t="shared" si="12"/>
        <v>0</v>
      </c>
      <c r="O194" s="236"/>
      <c r="P194" s="236"/>
      <c r="Q194" s="907"/>
      <c r="R194" s="909"/>
      <c r="S194" s="893"/>
      <c r="T194" s="909"/>
      <c r="U194" s="891"/>
      <c r="V194" s="893"/>
      <c r="W194" s="893"/>
      <c r="X194" s="893"/>
      <c r="Y194" s="893"/>
      <c r="Z194" s="893"/>
      <c r="AA194" s="985"/>
      <c r="AB194" s="1"/>
      <c r="AC194" s="1"/>
      <c r="AD194" s="1"/>
      <c r="AE194" s="1"/>
      <c r="AF194" s="1"/>
      <c r="AG194" s="1"/>
      <c r="AH194" s="1"/>
      <c r="AI194" s="1"/>
      <c r="AJ194" s="1"/>
      <c r="AK194" s="1"/>
      <c r="AL194" s="1"/>
      <c r="AM194" s="1"/>
      <c r="AN194" s="1"/>
      <c r="AO194" s="1"/>
      <c r="AP194" s="247"/>
      <c r="AQ194" s="247"/>
      <c r="AR194" s="247"/>
      <c r="AS194" s="247"/>
      <c r="AT194" s="247"/>
      <c r="AU194" s="247"/>
      <c r="AV194" s="247"/>
      <c r="AW194" s="247"/>
      <c r="AX194" s="247"/>
      <c r="AY194" s="247"/>
      <c r="AZ194" s="247"/>
      <c r="BA194" s="247"/>
      <c r="BB194" s="247"/>
      <c r="BC194" s="247"/>
      <c r="BD194" s="247"/>
      <c r="BE194" s="247"/>
      <c r="BF194" s="247"/>
      <c r="BG194" s="247"/>
      <c r="BH194" s="247"/>
      <c r="BI194" s="247"/>
      <c r="BJ194" s="247"/>
      <c r="BK194" s="247"/>
      <c r="BL194" s="247"/>
      <c r="BM194" s="247"/>
      <c r="BN194" s="247"/>
      <c r="BO194" s="247"/>
      <c r="BP194" s="247"/>
      <c r="BQ194" s="247"/>
      <c r="BR194" s="247"/>
      <c r="BS194" s="247"/>
      <c r="BT194" s="247"/>
      <c r="BU194" s="247"/>
      <c r="BV194" s="247"/>
      <c r="BW194" s="247"/>
      <c r="BX194" s="247"/>
      <c r="BY194" s="247"/>
      <c r="BZ194" s="247"/>
      <c r="CA194" s="247"/>
      <c r="CB194" s="247"/>
      <c r="CC194" s="247"/>
      <c r="CD194" s="247"/>
      <c r="CE194" s="247"/>
    </row>
    <row r="195" spans="1:83" s="314" customFormat="1" ht="26.25" customHeight="1" x14ac:dyDescent="0.25">
      <c r="A195" s="923"/>
      <c r="B195" s="902"/>
      <c r="C195" s="905"/>
      <c r="D195" s="335" t="s">
        <v>37</v>
      </c>
      <c r="E195" s="240"/>
      <c r="F195" s="240">
        <v>0</v>
      </c>
      <c r="G195" s="240"/>
      <c r="H195" s="595"/>
      <c r="I195" s="240"/>
      <c r="J195" s="240"/>
      <c r="K195" s="240"/>
      <c r="L195" s="240"/>
      <c r="M195" s="240"/>
      <c r="N195" s="236">
        <f t="shared" si="12"/>
        <v>0</v>
      </c>
      <c r="O195" s="236"/>
      <c r="P195" s="236"/>
      <c r="Q195" s="907"/>
      <c r="R195" s="909"/>
      <c r="S195" s="893"/>
      <c r="T195" s="909"/>
      <c r="U195" s="891"/>
      <c r="V195" s="893"/>
      <c r="W195" s="893"/>
      <c r="X195" s="893"/>
      <c r="Y195" s="893"/>
      <c r="Z195" s="893"/>
      <c r="AA195" s="985"/>
      <c r="AB195" s="1"/>
      <c r="AC195" s="1"/>
      <c r="AD195" s="1"/>
      <c r="AE195" s="1"/>
      <c r="AF195" s="1"/>
      <c r="AG195" s="1"/>
      <c r="AH195" s="1"/>
      <c r="AI195" s="1"/>
      <c r="AJ195" s="1"/>
      <c r="AK195" s="1"/>
      <c r="AL195" s="1"/>
      <c r="AM195" s="1"/>
      <c r="AN195" s="1"/>
      <c r="AO195" s="1"/>
      <c r="AP195" s="247"/>
      <c r="AQ195" s="247"/>
      <c r="AR195" s="247"/>
      <c r="AS195" s="247"/>
      <c r="AT195" s="247"/>
      <c r="AU195" s="247"/>
      <c r="AV195" s="247"/>
      <c r="AW195" s="247"/>
      <c r="AX195" s="247"/>
      <c r="AY195" s="247"/>
      <c r="AZ195" s="247"/>
      <c r="BA195" s="247"/>
      <c r="BB195" s="247"/>
      <c r="BC195" s="247"/>
      <c r="BD195" s="247"/>
      <c r="BE195" s="247"/>
      <c r="BF195" s="247"/>
      <c r="BG195" s="247"/>
      <c r="BH195" s="247"/>
      <c r="BI195" s="247"/>
      <c r="BJ195" s="247"/>
      <c r="BK195" s="247"/>
      <c r="BL195" s="247"/>
      <c r="BM195" s="247"/>
      <c r="BN195" s="247"/>
      <c r="BO195" s="247"/>
      <c r="BP195" s="247"/>
      <c r="BQ195" s="247"/>
      <c r="BR195" s="247"/>
      <c r="BS195" s="247"/>
      <c r="BT195" s="247"/>
      <c r="BU195" s="247"/>
      <c r="BV195" s="247"/>
      <c r="BW195" s="247"/>
      <c r="BX195" s="247"/>
      <c r="BY195" s="247"/>
      <c r="BZ195" s="247"/>
      <c r="CA195" s="247"/>
      <c r="CB195" s="247"/>
      <c r="CC195" s="247"/>
      <c r="CD195" s="247"/>
      <c r="CE195" s="247"/>
    </row>
    <row r="196" spans="1:83" s="314" customFormat="1" ht="26.25" customHeight="1" thickBot="1" x14ac:dyDescent="0.3">
      <c r="A196" s="924"/>
      <c r="B196" s="903"/>
      <c r="C196" s="906"/>
      <c r="D196" s="468" t="s">
        <v>38</v>
      </c>
      <c r="E196" s="208">
        <v>113688000</v>
      </c>
      <c r="F196" s="208">
        <v>103885635</v>
      </c>
      <c r="G196" s="208">
        <v>113688000</v>
      </c>
      <c r="H196" s="293">
        <v>113688000</v>
      </c>
      <c r="I196" s="208"/>
      <c r="J196" s="208"/>
      <c r="K196" s="208">
        <v>47166432</v>
      </c>
      <c r="L196" s="208">
        <v>70006059</v>
      </c>
      <c r="M196" s="208">
        <v>70006059</v>
      </c>
      <c r="N196" s="204">
        <f t="shared" si="12"/>
        <v>0</v>
      </c>
      <c r="O196" s="204"/>
      <c r="P196" s="204"/>
      <c r="Q196" s="944"/>
      <c r="R196" s="910"/>
      <c r="S196" s="894"/>
      <c r="T196" s="910"/>
      <c r="U196" s="911"/>
      <c r="V196" s="894"/>
      <c r="W196" s="894"/>
      <c r="X196" s="894"/>
      <c r="Y196" s="894"/>
      <c r="Z196" s="894"/>
      <c r="AA196" s="986"/>
      <c r="AB196" s="1"/>
      <c r="AC196" s="1"/>
      <c r="AD196" s="1"/>
      <c r="AE196" s="1"/>
      <c r="AF196" s="1"/>
      <c r="AG196" s="1"/>
      <c r="AH196" s="1"/>
      <c r="AI196" s="1"/>
      <c r="AJ196" s="1"/>
      <c r="AK196" s="1"/>
      <c r="AL196" s="1"/>
      <c r="AM196" s="1"/>
      <c r="AN196" s="1"/>
      <c r="AO196" s="1"/>
      <c r="AP196" s="247"/>
      <c r="AQ196" s="247"/>
      <c r="AR196" s="247"/>
      <c r="AS196" s="247"/>
      <c r="AT196" s="247"/>
      <c r="AU196" s="247"/>
      <c r="AV196" s="247"/>
      <c r="AW196" s="247"/>
      <c r="AX196" s="247"/>
      <c r="AY196" s="247"/>
      <c r="AZ196" s="247"/>
      <c r="BA196" s="247"/>
      <c r="BB196" s="247"/>
      <c r="BC196" s="247"/>
      <c r="BD196" s="247"/>
      <c r="BE196" s="247"/>
      <c r="BF196" s="247"/>
      <c r="BG196" s="247"/>
      <c r="BH196" s="247"/>
      <c r="BI196" s="247"/>
      <c r="BJ196" s="247"/>
      <c r="BK196" s="247"/>
      <c r="BL196" s="247"/>
      <c r="BM196" s="247"/>
      <c r="BN196" s="247"/>
      <c r="BO196" s="247"/>
      <c r="BP196" s="247"/>
      <c r="BQ196" s="247"/>
      <c r="BR196" s="247"/>
      <c r="BS196" s="247"/>
      <c r="BT196" s="247"/>
      <c r="BU196" s="247"/>
      <c r="BV196" s="247"/>
      <c r="BW196" s="247"/>
      <c r="BX196" s="247"/>
      <c r="BY196" s="247"/>
      <c r="BZ196" s="247"/>
      <c r="CA196" s="247"/>
      <c r="CB196" s="247"/>
      <c r="CC196" s="247"/>
      <c r="CD196" s="247"/>
      <c r="CE196" s="247"/>
    </row>
    <row r="197" spans="1:83" s="314" customFormat="1" ht="24" customHeight="1" x14ac:dyDescent="0.25">
      <c r="A197" s="977">
        <v>16</v>
      </c>
      <c r="B197" s="901" t="s">
        <v>176</v>
      </c>
      <c r="C197" s="912" t="s">
        <v>345</v>
      </c>
      <c r="D197" s="484" t="s">
        <v>34</v>
      </c>
      <c r="E197" s="242">
        <f>77+141</f>
        <v>218</v>
      </c>
      <c r="F197" s="242">
        <v>77</v>
      </c>
      <c r="G197" s="242">
        <f>77+141</f>
        <v>218</v>
      </c>
      <c r="H197" s="510">
        <v>218</v>
      </c>
      <c r="I197" s="242"/>
      <c r="J197" s="596"/>
      <c r="K197" s="597">
        <v>77</v>
      </c>
      <c r="L197" s="212">
        <v>134</v>
      </c>
      <c r="M197" s="212"/>
      <c r="N197" s="264">
        <f t="shared" si="12"/>
        <v>134</v>
      </c>
      <c r="O197" s="242"/>
      <c r="P197" s="596"/>
      <c r="Q197" s="895" t="s">
        <v>348</v>
      </c>
      <c r="R197" s="895"/>
      <c r="S197" s="895" t="s">
        <v>352</v>
      </c>
      <c r="T197" s="895" t="s">
        <v>506</v>
      </c>
      <c r="U197" s="895" t="s">
        <v>350</v>
      </c>
      <c r="V197" s="895">
        <v>161</v>
      </c>
      <c r="W197" s="895">
        <v>89</v>
      </c>
      <c r="X197" s="895" t="s">
        <v>231</v>
      </c>
      <c r="Y197" s="895" t="s">
        <v>225</v>
      </c>
      <c r="Z197" s="895" t="s">
        <v>232</v>
      </c>
      <c r="AA197" s="1000">
        <f>+V197+W197</f>
        <v>250</v>
      </c>
      <c r="AB197" s="1"/>
      <c r="AC197" s="1"/>
      <c r="AD197" s="1"/>
      <c r="AE197" s="1"/>
      <c r="AF197" s="1"/>
      <c r="AG197" s="1"/>
      <c r="AH197" s="1"/>
      <c r="AI197" s="1"/>
      <c r="AJ197" s="1"/>
      <c r="AK197" s="1"/>
      <c r="AL197" s="1"/>
      <c r="AM197" s="1"/>
      <c r="AN197" s="1"/>
      <c r="AO197" s="1"/>
      <c r="AP197" s="247"/>
      <c r="AQ197" s="247"/>
      <c r="AR197" s="247"/>
      <c r="AS197" s="247"/>
      <c r="AT197" s="247"/>
      <c r="AU197" s="247"/>
      <c r="AV197" s="247"/>
      <c r="AW197" s="247"/>
      <c r="AX197" s="247"/>
      <c r="AY197" s="247"/>
      <c r="AZ197" s="247"/>
      <c r="BA197" s="247"/>
      <c r="BB197" s="247"/>
      <c r="BC197" s="247"/>
      <c r="BD197" s="247"/>
      <c r="BE197" s="247"/>
      <c r="BF197" s="247"/>
      <c r="BG197" s="247"/>
      <c r="BH197" s="247"/>
      <c r="BI197" s="247"/>
      <c r="BJ197" s="247"/>
      <c r="BK197" s="247"/>
      <c r="BL197" s="247"/>
      <c r="BM197" s="247"/>
      <c r="BN197" s="247"/>
      <c r="BO197" s="247"/>
      <c r="BP197" s="247"/>
      <c r="BQ197" s="247"/>
      <c r="BR197" s="247"/>
      <c r="BS197" s="247"/>
      <c r="BT197" s="247"/>
      <c r="BU197" s="247"/>
      <c r="BV197" s="247"/>
      <c r="BW197" s="247"/>
      <c r="BX197" s="247"/>
      <c r="BY197" s="247"/>
      <c r="BZ197" s="247"/>
      <c r="CA197" s="247"/>
      <c r="CB197" s="247"/>
      <c r="CC197" s="247"/>
      <c r="CD197" s="247"/>
      <c r="CE197" s="247"/>
    </row>
    <row r="198" spans="1:83" s="314" customFormat="1" ht="24" customHeight="1" x14ac:dyDescent="0.25">
      <c r="A198" s="923"/>
      <c r="B198" s="902"/>
      <c r="C198" s="913"/>
      <c r="D198" s="335" t="s">
        <v>36</v>
      </c>
      <c r="E198" s="207">
        <f>1136499000*E197/450</f>
        <v>550570626.66666663</v>
      </c>
      <c r="F198" s="207">
        <v>573879238.33333325</v>
      </c>
      <c r="G198" s="207">
        <f>1136499000*G197/450</f>
        <v>550570626.66666663</v>
      </c>
      <c r="H198" s="508">
        <v>550570626.66666663</v>
      </c>
      <c r="I198" s="207"/>
      <c r="J198" s="207"/>
      <c r="K198" s="207">
        <f>136917900/2</f>
        <v>68458950</v>
      </c>
      <c r="L198" s="598">
        <f>791414050*L197/$L$209</f>
        <v>374733154.41696113</v>
      </c>
      <c r="M198" s="598"/>
      <c r="N198" s="236">
        <f t="shared" si="12"/>
        <v>374733154.41696113</v>
      </c>
      <c r="O198" s="236"/>
      <c r="P198" s="207"/>
      <c r="Q198" s="891"/>
      <c r="R198" s="891"/>
      <c r="S198" s="891"/>
      <c r="T198" s="891"/>
      <c r="U198" s="891"/>
      <c r="V198" s="891">
        <v>161</v>
      </c>
      <c r="W198" s="891">
        <v>89</v>
      </c>
      <c r="X198" s="891"/>
      <c r="Y198" s="891"/>
      <c r="Z198" s="891"/>
      <c r="AA198" s="999"/>
      <c r="AB198" s="1"/>
      <c r="AC198" s="1"/>
      <c r="AD198" s="1"/>
      <c r="AE198" s="1"/>
      <c r="AF198" s="1"/>
      <c r="AG198" s="1"/>
      <c r="AH198" s="1"/>
      <c r="AI198" s="1"/>
      <c r="AJ198" s="1"/>
      <c r="AK198" s="1"/>
      <c r="AL198" s="1"/>
      <c r="AM198" s="1"/>
      <c r="AN198" s="1"/>
      <c r="AO198" s="1"/>
      <c r="AP198" s="247"/>
      <c r="AQ198" s="247"/>
      <c r="AR198" s="247"/>
      <c r="AS198" s="247"/>
      <c r="AT198" s="247"/>
      <c r="AU198" s="247"/>
      <c r="AV198" s="247"/>
      <c r="AW198" s="247"/>
      <c r="AX198" s="247"/>
      <c r="AY198" s="247"/>
      <c r="AZ198" s="247"/>
      <c r="BA198" s="247"/>
      <c r="BB198" s="247"/>
      <c r="BC198" s="247"/>
      <c r="BD198" s="247"/>
      <c r="BE198" s="247"/>
      <c r="BF198" s="247"/>
      <c r="BG198" s="247"/>
      <c r="BH198" s="247"/>
      <c r="BI198" s="247"/>
      <c r="BJ198" s="247"/>
      <c r="BK198" s="247"/>
      <c r="BL198" s="247"/>
      <c r="BM198" s="247"/>
      <c r="BN198" s="247"/>
      <c r="BO198" s="247"/>
      <c r="BP198" s="247"/>
      <c r="BQ198" s="247"/>
      <c r="BR198" s="247"/>
      <c r="BS198" s="247"/>
      <c r="BT198" s="247"/>
      <c r="BU198" s="247"/>
      <c r="BV198" s="247"/>
      <c r="BW198" s="247"/>
      <c r="BX198" s="247"/>
      <c r="BY198" s="247"/>
      <c r="BZ198" s="247"/>
      <c r="CA198" s="247"/>
      <c r="CB198" s="247"/>
      <c r="CC198" s="247"/>
      <c r="CD198" s="247"/>
      <c r="CE198" s="247"/>
    </row>
    <row r="199" spans="1:83" s="314" customFormat="1" ht="24" customHeight="1" x14ac:dyDescent="0.25">
      <c r="A199" s="923"/>
      <c r="B199" s="902"/>
      <c r="C199" s="913"/>
      <c r="D199" s="335" t="s">
        <v>37</v>
      </c>
      <c r="E199" s="229"/>
      <c r="F199" s="229">
        <v>0</v>
      </c>
      <c r="G199" s="229"/>
      <c r="H199" s="506"/>
      <c r="I199" s="229"/>
      <c r="J199" s="229"/>
      <c r="K199" s="236"/>
      <c r="L199" s="599"/>
      <c r="M199" s="599"/>
      <c r="N199" s="236">
        <f t="shared" si="12"/>
        <v>0</v>
      </c>
      <c r="O199" s="236"/>
      <c r="P199" s="229"/>
      <c r="Q199" s="891"/>
      <c r="R199" s="891"/>
      <c r="S199" s="891"/>
      <c r="T199" s="891"/>
      <c r="U199" s="891"/>
      <c r="V199" s="891">
        <v>161</v>
      </c>
      <c r="W199" s="891">
        <v>89</v>
      </c>
      <c r="X199" s="891"/>
      <c r="Y199" s="891"/>
      <c r="Z199" s="891"/>
      <c r="AA199" s="999"/>
      <c r="AB199" s="1"/>
      <c r="AC199" s="1"/>
      <c r="AD199" s="1"/>
      <c r="AE199" s="1"/>
      <c r="AF199" s="1"/>
      <c r="AG199" s="1"/>
      <c r="AH199" s="1"/>
      <c r="AI199" s="1"/>
      <c r="AJ199" s="1"/>
      <c r="AK199" s="1"/>
      <c r="AL199" s="1"/>
      <c r="AM199" s="1"/>
      <c r="AN199" s="1"/>
      <c r="AO199" s="1"/>
      <c r="AP199" s="247"/>
      <c r="AQ199" s="247"/>
      <c r="AR199" s="247"/>
      <c r="AS199" s="247"/>
      <c r="AT199" s="247"/>
      <c r="AU199" s="247"/>
      <c r="AV199" s="247"/>
      <c r="AW199" s="247"/>
      <c r="AX199" s="247"/>
      <c r="AY199" s="247"/>
      <c r="AZ199" s="247"/>
      <c r="BA199" s="247"/>
      <c r="BB199" s="247"/>
      <c r="BC199" s="247"/>
      <c r="BD199" s="247"/>
      <c r="BE199" s="247"/>
      <c r="BF199" s="247"/>
      <c r="BG199" s="247"/>
      <c r="BH199" s="247"/>
      <c r="BI199" s="247"/>
      <c r="BJ199" s="247"/>
      <c r="BK199" s="247"/>
      <c r="BL199" s="247"/>
      <c r="BM199" s="247"/>
      <c r="BN199" s="247"/>
      <c r="BO199" s="247"/>
      <c r="BP199" s="247"/>
      <c r="BQ199" s="247"/>
      <c r="BR199" s="247"/>
      <c r="BS199" s="247"/>
      <c r="BT199" s="247"/>
      <c r="BU199" s="247"/>
      <c r="BV199" s="247"/>
      <c r="BW199" s="247"/>
      <c r="BX199" s="247"/>
      <c r="BY199" s="247"/>
      <c r="BZ199" s="247"/>
      <c r="CA199" s="247"/>
      <c r="CB199" s="247"/>
      <c r="CC199" s="247"/>
      <c r="CD199" s="247"/>
      <c r="CE199" s="247"/>
    </row>
    <row r="200" spans="1:83" s="314" customFormat="1" ht="24" customHeight="1" x14ac:dyDescent="0.25">
      <c r="A200" s="923"/>
      <c r="B200" s="902"/>
      <c r="C200" s="913"/>
      <c r="D200" s="335" t="s">
        <v>38</v>
      </c>
      <c r="E200" s="207">
        <f>1147005000*77/161</f>
        <v>548567608.69565213</v>
      </c>
      <c r="F200" s="207">
        <v>124414333.5</v>
      </c>
      <c r="G200" s="207">
        <f>1147005000*77/161</f>
        <v>548567608.69565213</v>
      </c>
      <c r="H200" s="508">
        <v>548567608.69565213</v>
      </c>
      <c r="I200" s="207"/>
      <c r="J200" s="207"/>
      <c r="K200" s="207">
        <f>29669000/2</f>
        <v>14834500</v>
      </c>
      <c r="L200" s="600">
        <f>+H200/H212*622349572</f>
        <v>297645447.47826082</v>
      </c>
      <c r="M200" s="600"/>
      <c r="N200" s="236">
        <f t="shared" si="12"/>
        <v>297645447.47826082</v>
      </c>
      <c r="O200" s="236"/>
      <c r="P200" s="207"/>
      <c r="Q200" s="891"/>
      <c r="R200" s="891"/>
      <c r="S200" s="891"/>
      <c r="T200" s="891"/>
      <c r="U200" s="891"/>
      <c r="V200" s="891">
        <v>161</v>
      </c>
      <c r="W200" s="891">
        <v>89</v>
      </c>
      <c r="X200" s="891"/>
      <c r="Y200" s="891"/>
      <c r="Z200" s="891"/>
      <c r="AA200" s="999"/>
      <c r="AB200" s="1"/>
      <c r="AC200" s="1"/>
      <c r="AD200" s="1"/>
      <c r="AE200" s="1"/>
      <c r="AF200" s="1"/>
      <c r="AG200" s="1"/>
      <c r="AH200" s="1"/>
      <c r="AI200" s="1"/>
      <c r="AJ200" s="1"/>
      <c r="AK200" s="1"/>
      <c r="AL200" s="1"/>
      <c r="AM200" s="1"/>
      <c r="AN200" s="1"/>
      <c r="AO200" s="1"/>
      <c r="AP200" s="247"/>
      <c r="AQ200" s="247"/>
      <c r="AR200" s="247"/>
      <c r="AS200" s="247"/>
      <c r="AT200" s="247"/>
      <c r="AU200" s="247"/>
      <c r="AV200" s="247"/>
      <c r="AW200" s="247"/>
      <c r="AX200" s="247"/>
      <c r="AY200" s="247"/>
      <c r="AZ200" s="247"/>
      <c r="BA200" s="247"/>
      <c r="BB200" s="247"/>
      <c r="BC200" s="247"/>
      <c r="BD200" s="247"/>
      <c r="BE200" s="247"/>
      <c r="BF200" s="247"/>
      <c r="BG200" s="247"/>
      <c r="BH200" s="247"/>
      <c r="BI200" s="247"/>
      <c r="BJ200" s="247"/>
      <c r="BK200" s="247"/>
      <c r="BL200" s="247"/>
      <c r="BM200" s="247"/>
      <c r="BN200" s="247"/>
      <c r="BO200" s="247"/>
      <c r="BP200" s="247"/>
      <c r="BQ200" s="247"/>
      <c r="BR200" s="247"/>
      <c r="BS200" s="247"/>
      <c r="BT200" s="247"/>
      <c r="BU200" s="247"/>
      <c r="BV200" s="247"/>
      <c r="BW200" s="247"/>
      <c r="BX200" s="247"/>
      <c r="BY200" s="247"/>
      <c r="BZ200" s="247"/>
      <c r="CA200" s="247"/>
      <c r="CB200" s="247"/>
      <c r="CC200" s="247"/>
      <c r="CD200" s="247"/>
      <c r="CE200" s="247"/>
    </row>
    <row r="201" spans="1:83" s="314" customFormat="1" ht="24" customHeight="1" x14ac:dyDescent="0.25">
      <c r="A201" s="923"/>
      <c r="B201" s="902"/>
      <c r="C201" s="913" t="s">
        <v>346</v>
      </c>
      <c r="D201" s="335" t="s">
        <v>34</v>
      </c>
      <c r="E201" s="229">
        <f>53+118</f>
        <v>171</v>
      </c>
      <c r="F201" s="229">
        <v>53</v>
      </c>
      <c r="G201" s="229">
        <f>53+118</f>
        <v>171</v>
      </c>
      <c r="H201" s="506">
        <v>171</v>
      </c>
      <c r="I201" s="229"/>
      <c r="J201" s="306"/>
      <c r="K201" s="215">
        <v>122</v>
      </c>
      <c r="L201" s="221">
        <v>95</v>
      </c>
      <c r="M201" s="221"/>
      <c r="N201" s="236">
        <f t="shared" si="12"/>
        <v>95</v>
      </c>
      <c r="O201" s="236"/>
      <c r="P201" s="306"/>
      <c r="Q201" s="891" t="s">
        <v>312</v>
      </c>
      <c r="R201" s="891"/>
      <c r="S201" s="891" t="s">
        <v>353</v>
      </c>
      <c r="T201" s="891" t="s">
        <v>507</v>
      </c>
      <c r="U201" s="891" t="s">
        <v>350</v>
      </c>
      <c r="V201" s="891">
        <v>139</v>
      </c>
      <c r="W201" s="891">
        <v>83</v>
      </c>
      <c r="X201" s="891" t="s">
        <v>231</v>
      </c>
      <c r="Y201" s="891" t="s">
        <v>225</v>
      </c>
      <c r="Z201" s="891" t="s">
        <v>232</v>
      </c>
      <c r="AA201" s="999">
        <f>+V201+W201</f>
        <v>222</v>
      </c>
      <c r="AB201" s="1"/>
      <c r="AC201" s="1"/>
      <c r="AD201" s="1"/>
      <c r="AE201" s="1"/>
      <c r="AF201" s="1"/>
      <c r="AG201" s="1"/>
      <c r="AH201" s="1"/>
      <c r="AI201" s="1"/>
      <c r="AJ201" s="1"/>
      <c r="AK201" s="1"/>
      <c r="AL201" s="1"/>
      <c r="AM201" s="1"/>
      <c r="AN201" s="1"/>
      <c r="AO201" s="1"/>
      <c r="AP201" s="247"/>
      <c r="AQ201" s="247"/>
      <c r="AR201" s="247"/>
      <c r="AS201" s="247"/>
      <c r="AT201" s="247"/>
      <c r="AU201" s="247"/>
      <c r="AV201" s="247"/>
      <c r="AW201" s="247"/>
      <c r="AX201" s="247"/>
      <c r="AY201" s="247"/>
      <c r="AZ201" s="247"/>
      <c r="BA201" s="247"/>
      <c r="BB201" s="247"/>
      <c r="BC201" s="247"/>
      <c r="BD201" s="247"/>
      <c r="BE201" s="247"/>
      <c r="BF201" s="247"/>
      <c r="BG201" s="247"/>
      <c r="BH201" s="247"/>
      <c r="BI201" s="247"/>
      <c r="BJ201" s="247"/>
      <c r="BK201" s="247"/>
      <c r="BL201" s="247"/>
      <c r="BM201" s="247"/>
      <c r="BN201" s="247"/>
      <c r="BO201" s="247"/>
      <c r="BP201" s="247"/>
      <c r="BQ201" s="247"/>
      <c r="BR201" s="247"/>
      <c r="BS201" s="247"/>
      <c r="BT201" s="247"/>
      <c r="BU201" s="247"/>
      <c r="BV201" s="247"/>
      <c r="BW201" s="247"/>
      <c r="BX201" s="247"/>
      <c r="BY201" s="247"/>
      <c r="BZ201" s="247"/>
      <c r="CA201" s="247"/>
      <c r="CB201" s="247"/>
      <c r="CC201" s="247"/>
      <c r="CD201" s="247"/>
      <c r="CE201" s="247"/>
    </row>
    <row r="202" spans="1:83" s="314" customFormat="1" ht="24" customHeight="1" x14ac:dyDescent="0.25">
      <c r="A202" s="923"/>
      <c r="B202" s="902"/>
      <c r="C202" s="913"/>
      <c r="D202" s="335" t="s">
        <v>36</v>
      </c>
      <c r="E202" s="207">
        <f>1136499000*E201/450</f>
        <v>431869620</v>
      </c>
      <c r="F202" s="207">
        <v>490565999.7619043</v>
      </c>
      <c r="G202" s="207">
        <f>1136499000*G201/450</f>
        <v>431869620</v>
      </c>
      <c r="H202" s="508">
        <v>431869620</v>
      </c>
      <c r="I202" s="207"/>
      <c r="J202" s="207"/>
      <c r="K202" s="207">
        <f>136917900/2</f>
        <v>68458950</v>
      </c>
      <c r="L202" s="598">
        <f>791414050*L201/$L$209</f>
        <v>265669027.38515902</v>
      </c>
      <c r="M202" s="598"/>
      <c r="N202" s="236">
        <f t="shared" si="12"/>
        <v>265669027.38515902</v>
      </c>
      <c r="O202" s="236"/>
      <c r="P202" s="207"/>
      <c r="Q202" s="891"/>
      <c r="R202" s="891"/>
      <c r="S202" s="891"/>
      <c r="T202" s="891"/>
      <c r="U202" s="891"/>
      <c r="V202" s="891">
        <v>139</v>
      </c>
      <c r="W202" s="891">
        <v>83</v>
      </c>
      <c r="X202" s="891"/>
      <c r="Y202" s="891"/>
      <c r="Z202" s="891"/>
      <c r="AA202" s="999"/>
      <c r="AB202" s="1"/>
      <c r="AC202" s="1"/>
      <c r="AD202" s="1"/>
      <c r="AE202" s="1"/>
      <c r="AF202" s="1"/>
      <c r="AG202" s="1"/>
      <c r="AH202" s="1"/>
      <c r="AI202" s="1"/>
      <c r="AJ202" s="1"/>
      <c r="AK202" s="1"/>
      <c r="AL202" s="1"/>
      <c r="AM202" s="1"/>
      <c r="AN202" s="1"/>
      <c r="AO202" s="1"/>
      <c r="AP202" s="247"/>
      <c r="AQ202" s="247"/>
      <c r="AR202" s="247"/>
      <c r="AS202" s="247"/>
      <c r="AT202" s="247"/>
      <c r="AU202" s="247"/>
      <c r="AV202" s="247"/>
      <c r="AW202" s="247"/>
      <c r="AX202" s="247"/>
      <c r="AY202" s="247"/>
      <c r="AZ202" s="247"/>
      <c r="BA202" s="247"/>
      <c r="BB202" s="247"/>
      <c r="BC202" s="247"/>
      <c r="BD202" s="247"/>
      <c r="BE202" s="247"/>
      <c r="BF202" s="247"/>
      <c r="BG202" s="247"/>
      <c r="BH202" s="247"/>
      <c r="BI202" s="247"/>
      <c r="BJ202" s="247"/>
      <c r="BK202" s="247"/>
      <c r="BL202" s="247"/>
      <c r="BM202" s="247"/>
      <c r="BN202" s="247"/>
      <c r="BO202" s="247"/>
      <c r="BP202" s="247"/>
      <c r="BQ202" s="247"/>
      <c r="BR202" s="247"/>
      <c r="BS202" s="247"/>
      <c r="BT202" s="247"/>
      <c r="BU202" s="247"/>
      <c r="BV202" s="247"/>
      <c r="BW202" s="247"/>
      <c r="BX202" s="247"/>
      <c r="BY202" s="247"/>
      <c r="BZ202" s="247"/>
      <c r="CA202" s="247"/>
      <c r="CB202" s="247"/>
      <c r="CC202" s="247"/>
      <c r="CD202" s="247"/>
      <c r="CE202" s="247"/>
    </row>
    <row r="203" spans="1:83" s="314" customFormat="1" ht="24" customHeight="1" x14ac:dyDescent="0.25">
      <c r="A203" s="923"/>
      <c r="B203" s="902"/>
      <c r="C203" s="913"/>
      <c r="D203" s="335" t="s">
        <v>37</v>
      </c>
      <c r="E203" s="229"/>
      <c r="F203" s="229">
        <v>0</v>
      </c>
      <c r="G203" s="229"/>
      <c r="H203" s="506"/>
      <c r="I203" s="229"/>
      <c r="J203" s="229"/>
      <c r="K203" s="236"/>
      <c r="L203" s="599"/>
      <c r="M203" s="599"/>
      <c r="N203" s="236">
        <f t="shared" si="12"/>
        <v>0</v>
      </c>
      <c r="O203" s="236"/>
      <c r="P203" s="229"/>
      <c r="Q203" s="891"/>
      <c r="R203" s="891"/>
      <c r="S203" s="891"/>
      <c r="T203" s="891"/>
      <c r="U203" s="891"/>
      <c r="V203" s="891">
        <v>139</v>
      </c>
      <c r="W203" s="891">
        <v>83</v>
      </c>
      <c r="X203" s="891"/>
      <c r="Y203" s="891"/>
      <c r="Z203" s="891"/>
      <c r="AA203" s="999"/>
      <c r="AB203" s="1"/>
      <c r="AC203" s="1"/>
      <c r="AD203" s="1"/>
      <c r="AE203" s="1"/>
      <c r="AF203" s="1"/>
      <c r="AG203" s="1"/>
      <c r="AH203" s="1"/>
      <c r="AI203" s="1"/>
      <c r="AJ203" s="1"/>
      <c r="AK203" s="1"/>
      <c r="AL203" s="1"/>
      <c r="AM203" s="1"/>
      <c r="AN203" s="1"/>
      <c r="AO203" s="1"/>
      <c r="AP203" s="247"/>
      <c r="AQ203" s="247"/>
      <c r="AR203" s="247"/>
      <c r="AS203" s="247"/>
      <c r="AT203" s="247"/>
      <c r="AU203" s="247"/>
      <c r="AV203" s="247"/>
      <c r="AW203" s="247"/>
      <c r="AX203" s="247"/>
      <c r="AY203" s="247"/>
      <c r="AZ203" s="247"/>
      <c r="BA203" s="247"/>
      <c r="BB203" s="247"/>
      <c r="BC203" s="247"/>
      <c r="BD203" s="247"/>
      <c r="BE203" s="247"/>
      <c r="BF203" s="247"/>
      <c r="BG203" s="247"/>
      <c r="BH203" s="247"/>
      <c r="BI203" s="247"/>
      <c r="BJ203" s="247"/>
      <c r="BK203" s="247"/>
      <c r="BL203" s="247"/>
      <c r="BM203" s="247"/>
      <c r="BN203" s="247"/>
      <c r="BO203" s="247"/>
      <c r="BP203" s="247"/>
      <c r="BQ203" s="247"/>
      <c r="BR203" s="247"/>
      <c r="BS203" s="247"/>
      <c r="BT203" s="247"/>
      <c r="BU203" s="247"/>
      <c r="BV203" s="247"/>
      <c r="BW203" s="247"/>
      <c r="BX203" s="247"/>
      <c r="BY203" s="247"/>
      <c r="BZ203" s="247"/>
      <c r="CA203" s="247"/>
      <c r="CB203" s="247"/>
      <c r="CC203" s="247"/>
      <c r="CD203" s="247"/>
      <c r="CE203" s="247"/>
    </row>
    <row r="204" spans="1:83" s="314" customFormat="1" ht="24" customHeight="1" x14ac:dyDescent="0.25">
      <c r="A204" s="923"/>
      <c r="B204" s="902"/>
      <c r="C204" s="913"/>
      <c r="D204" s="335" t="s">
        <v>38</v>
      </c>
      <c r="E204" s="207">
        <f>1147005000*53/161</f>
        <v>377585496.89440995</v>
      </c>
      <c r="F204" s="207">
        <v>124414333.5</v>
      </c>
      <c r="G204" s="207">
        <f>1147005000*53/161</f>
        <v>377585496.89440995</v>
      </c>
      <c r="H204" s="508">
        <v>377585496.89440995</v>
      </c>
      <c r="I204" s="207"/>
      <c r="J204" s="207"/>
      <c r="K204" s="207">
        <f>29669000/2</f>
        <v>14834500</v>
      </c>
      <c r="L204" s="601">
        <f>+H204/H212*622349572</f>
        <v>204872840.47204968</v>
      </c>
      <c r="M204" s="601"/>
      <c r="N204" s="236">
        <f t="shared" si="12"/>
        <v>204872840.47204968</v>
      </c>
      <c r="O204" s="236"/>
      <c r="P204" s="207"/>
      <c r="Q204" s="891"/>
      <c r="R204" s="891"/>
      <c r="S204" s="891"/>
      <c r="T204" s="891"/>
      <c r="U204" s="891"/>
      <c r="V204" s="891">
        <v>139</v>
      </c>
      <c r="W204" s="891">
        <v>83</v>
      </c>
      <c r="X204" s="891"/>
      <c r="Y204" s="891"/>
      <c r="Z204" s="891"/>
      <c r="AA204" s="999"/>
      <c r="AB204" s="1"/>
      <c r="AC204" s="1"/>
      <c r="AD204" s="1"/>
      <c r="AE204" s="1"/>
      <c r="AF204" s="1"/>
      <c r="AG204" s="1"/>
      <c r="AH204" s="1"/>
      <c r="AI204" s="1"/>
      <c r="AJ204" s="1"/>
      <c r="AK204" s="1"/>
      <c r="AL204" s="1"/>
      <c r="AM204" s="1"/>
      <c r="AN204" s="1"/>
      <c r="AO204" s="1"/>
      <c r="AP204" s="247"/>
      <c r="AQ204" s="247"/>
      <c r="AR204" s="247"/>
      <c r="AS204" s="247"/>
      <c r="AT204" s="247"/>
      <c r="AU204" s="247"/>
      <c r="AV204" s="247"/>
      <c r="AW204" s="247"/>
      <c r="AX204" s="247"/>
      <c r="AY204" s="247"/>
      <c r="AZ204" s="247"/>
      <c r="BA204" s="247"/>
      <c r="BB204" s="247"/>
      <c r="BC204" s="247"/>
      <c r="BD204" s="247"/>
      <c r="BE204" s="247"/>
      <c r="BF204" s="247"/>
      <c r="BG204" s="247"/>
      <c r="BH204" s="247"/>
      <c r="BI204" s="247"/>
      <c r="BJ204" s="247"/>
      <c r="BK204" s="247"/>
      <c r="BL204" s="247"/>
      <c r="BM204" s="247"/>
      <c r="BN204" s="247"/>
      <c r="BO204" s="247"/>
      <c r="BP204" s="247"/>
      <c r="BQ204" s="247"/>
      <c r="BR204" s="247"/>
      <c r="BS204" s="247"/>
      <c r="BT204" s="247"/>
      <c r="BU204" s="247"/>
      <c r="BV204" s="247"/>
      <c r="BW204" s="247"/>
      <c r="BX204" s="247"/>
      <c r="BY204" s="247"/>
      <c r="BZ204" s="247"/>
      <c r="CA204" s="247"/>
      <c r="CB204" s="247"/>
      <c r="CC204" s="247"/>
      <c r="CD204" s="247"/>
      <c r="CE204" s="247"/>
    </row>
    <row r="205" spans="1:83" s="314" customFormat="1" ht="24" customHeight="1" x14ac:dyDescent="0.25">
      <c r="A205" s="923"/>
      <c r="B205" s="902"/>
      <c r="C205" s="899" t="s">
        <v>347</v>
      </c>
      <c r="D205" s="335" t="s">
        <v>34</v>
      </c>
      <c r="E205" s="215">
        <f>31+30</f>
        <v>61</v>
      </c>
      <c r="F205" s="215">
        <v>31</v>
      </c>
      <c r="G205" s="215">
        <f>31+30</f>
        <v>61</v>
      </c>
      <c r="H205" s="509">
        <v>61</v>
      </c>
      <c r="I205" s="215"/>
      <c r="J205" s="306"/>
      <c r="K205" s="215">
        <v>45</v>
      </c>
      <c r="L205" s="221">
        <v>54</v>
      </c>
      <c r="M205" s="221"/>
      <c r="N205" s="236">
        <f t="shared" si="12"/>
        <v>54</v>
      </c>
      <c r="O205" s="236"/>
      <c r="P205" s="306"/>
      <c r="Q205" s="891" t="s">
        <v>349</v>
      </c>
      <c r="R205" s="891"/>
      <c r="S205" s="891" t="s">
        <v>404</v>
      </c>
      <c r="T205" s="891" t="s">
        <v>508</v>
      </c>
      <c r="U205" s="891" t="s">
        <v>351</v>
      </c>
      <c r="V205" s="891">
        <v>3315</v>
      </c>
      <c r="W205" s="891">
        <v>3078</v>
      </c>
      <c r="X205" s="891" t="s">
        <v>231</v>
      </c>
      <c r="Y205" s="891" t="s">
        <v>225</v>
      </c>
      <c r="Z205" s="891" t="s">
        <v>232</v>
      </c>
      <c r="AA205" s="999">
        <f>+V205+W205</f>
        <v>6393</v>
      </c>
      <c r="AB205" s="1"/>
      <c r="AC205" s="1"/>
      <c r="AD205" s="1"/>
      <c r="AE205" s="1"/>
      <c r="AF205" s="1"/>
      <c r="AG205" s="1"/>
      <c r="AH205" s="1"/>
      <c r="AI205" s="1"/>
      <c r="AJ205" s="1"/>
      <c r="AK205" s="1"/>
      <c r="AL205" s="1"/>
      <c r="AM205" s="1"/>
      <c r="AN205" s="1"/>
      <c r="AO205" s="1"/>
      <c r="AP205" s="247"/>
      <c r="AQ205" s="247"/>
      <c r="AR205" s="247"/>
      <c r="AS205" s="247"/>
      <c r="AT205" s="247"/>
      <c r="AU205" s="247"/>
      <c r="AV205" s="247"/>
      <c r="AW205" s="247"/>
      <c r="AX205" s="247"/>
      <c r="AY205" s="247"/>
      <c r="AZ205" s="247"/>
      <c r="BA205" s="247"/>
      <c r="BB205" s="247"/>
      <c r="BC205" s="247"/>
      <c r="BD205" s="247"/>
      <c r="BE205" s="247"/>
      <c r="BF205" s="247"/>
      <c r="BG205" s="247"/>
      <c r="BH205" s="247"/>
      <c r="BI205" s="247"/>
      <c r="BJ205" s="247"/>
      <c r="BK205" s="247"/>
      <c r="BL205" s="247"/>
      <c r="BM205" s="247"/>
      <c r="BN205" s="247"/>
      <c r="BO205" s="247"/>
      <c r="BP205" s="247"/>
      <c r="BQ205" s="247"/>
      <c r="BR205" s="247"/>
      <c r="BS205" s="247"/>
      <c r="BT205" s="247"/>
      <c r="BU205" s="247"/>
      <c r="BV205" s="247"/>
      <c r="BW205" s="247"/>
      <c r="BX205" s="247"/>
      <c r="BY205" s="247"/>
      <c r="BZ205" s="247"/>
      <c r="CA205" s="247"/>
      <c r="CB205" s="247"/>
      <c r="CC205" s="247"/>
      <c r="CD205" s="247"/>
      <c r="CE205" s="247"/>
    </row>
    <row r="206" spans="1:83" s="314" customFormat="1" ht="24" customHeight="1" x14ac:dyDescent="0.25">
      <c r="A206" s="923"/>
      <c r="B206" s="902"/>
      <c r="C206" s="899"/>
      <c r="D206" s="335" t="s">
        <v>36</v>
      </c>
      <c r="E206" s="207">
        <f>1136499000*E205/450</f>
        <v>154058753.33333334</v>
      </c>
      <c r="F206" s="207">
        <v>299906761.90476233</v>
      </c>
      <c r="G206" s="207">
        <f>1136499000*G205/450</f>
        <v>154058753.33333334</v>
      </c>
      <c r="H206" s="508">
        <v>154058753.33333334</v>
      </c>
      <c r="I206" s="214"/>
      <c r="J206" s="214"/>
      <c r="K206" s="207">
        <v>66728550</v>
      </c>
      <c r="L206" s="598">
        <f>791414050*L205/$L$209</f>
        <v>151011868.19787985</v>
      </c>
      <c r="M206" s="598"/>
      <c r="N206" s="236">
        <f t="shared" si="12"/>
        <v>151011868.19787985</v>
      </c>
      <c r="O206" s="236"/>
      <c r="P206" s="214"/>
      <c r="Q206" s="891"/>
      <c r="R206" s="891"/>
      <c r="S206" s="891"/>
      <c r="T206" s="891"/>
      <c r="U206" s="891"/>
      <c r="V206" s="891">
        <v>3315</v>
      </c>
      <c r="W206" s="891">
        <v>3078</v>
      </c>
      <c r="X206" s="891"/>
      <c r="Y206" s="891"/>
      <c r="Z206" s="891"/>
      <c r="AA206" s="999"/>
      <c r="AB206" s="1"/>
      <c r="AC206" s="1"/>
      <c r="AD206" s="1"/>
      <c r="AE206" s="1"/>
      <c r="AF206" s="1"/>
      <c r="AG206" s="1"/>
      <c r="AH206" s="1"/>
      <c r="AI206" s="1"/>
      <c r="AJ206" s="1"/>
      <c r="AK206" s="1"/>
      <c r="AL206" s="1"/>
      <c r="AM206" s="1"/>
      <c r="AN206" s="1"/>
      <c r="AO206" s="1"/>
      <c r="AP206" s="247"/>
      <c r="AQ206" s="247"/>
      <c r="AR206" s="247"/>
      <c r="AS206" s="247"/>
      <c r="AT206" s="247"/>
      <c r="AU206" s="247"/>
      <c r="AV206" s="247"/>
      <c r="AW206" s="247"/>
      <c r="AX206" s="247"/>
      <c r="AY206" s="247"/>
      <c r="AZ206" s="247"/>
      <c r="BA206" s="247"/>
      <c r="BB206" s="247"/>
      <c r="BC206" s="247"/>
      <c r="BD206" s="247"/>
      <c r="BE206" s="247"/>
      <c r="BF206" s="247"/>
      <c r="BG206" s="247"/>
      <c r="BH206" s="247"/>
      <c r="BI206" s="247"/>
      <c r="BJ206" s="247"/>
      <c r="BK206" s="247"/>
      <c r="BL206" s="247"/>
      <c r="BM206" s="247"/>
      <c r="BN206" s="247"/>
      <c r="BO206" s="247"/>
      <c r="BP206" s="247"/>
      <c r="BQ206" s="247"/>
      <c r="BR206" s="247"/>
      <c r="BS206" s="247"/>
      <c r="BT206" s="247"/>
      <c r="BU206" s="247"/>
      <c r="BV206" s="247"/>
      <c r="BW206" s="247"/>
      <c r="BX206" s="247"/>
      <c r="BY206" s="247"/>
      <c r="BZ206" s="247"/>
      <c r="CA206" s="247"/>
      <c r="CB206" s="247"/>
      <c r="CC206" s="247"/>
      <c r="CD206" s="247"/>
      <c r="CE206" s="247"/>
    </row>
    <row r="207" spans="1:83" s="314" customFormat="1" ht="24" customHeight="1" x14ac:dyDescent="0.25">
      <c r="A207" s="923"/>
      <c r="B207" s="902"/>
      <c r="C207" s="899"/>
      <c r="D207" s="335" t="s">
        <v>37</v>
      </c>
      <c r="E207" s="481"/>
      <c r="F207" s="481"/>
      <c r="G207" s="481"/>
      <c r="H207" s="602"/>
      <c r="I207" s="241"/>
      <c r="J207" s="241"/>
      <c r="K207" s="236"/>
      <c r="L207" s="599"/>
      <c r="M207" s="599"/>
      <c r="N207" s="236">
        <f t="shared" si="12"/>
        <v>0</v>
      </c>
      <c r="O207" s="236"/>
      <c r="P207" s="241"/>
      <c r="Q207" s="891"/>
      <c r="R207" s="891"/>
      <c r="S207" s="891"/>
      <c r="T207" s="891"/>
      <c r="U207" s="891"/>
      <c r="V207" s="891">
        <v>3315</v>
      </c>
      <c r="W207" s="891">
        <v>3078</v>
      </c>
      <c r="X207" s="891"/>
      <c r="Y207" s="891"/>
      <c r="Z207" s="891"/>
      <c r="AA207" s="999"/>
      <c r="AB207" s="1"/>
      <c r="AC207" s="1"/>
      <c r="AD207" s="1"/>
      <c r="AE207" s="1"/>
      <c r="AF207" s="1"/>
      <c r="AG207" s="1"/>
      <c r="AH207" s="1"/>
      <c r="AI207" s="1"/>
      <c r="AJ207" s="1"/>
      <c r="AK207" s="1"/>
      <c r="AL207" s="1"/>
      <c r="AM207" s="1"/>
      <c r="AN207" s="1"/>
      <c r="AO207" s="1"/>
      <c r="AP207" s="247"/>
      <c r="AQ207" s="247"/>
      <c r="AR207" s="247"/>
      <c r="AS207" s="247"/>
      <c r="AT207" s="247"/>
      <c r="AU207" s="247"/>
      <c r="AV207" s="247"/>
      <c r="AW207" s="247"/>
      <c r="AX207" s="247"/>
      <c r="AY207" s="247"/>
      <c r="AZ207" s="247"/>
      <c r="BA207" s="247"/>
      <c r="BB207" s="247"/>
      <c r="BC207" s="247"/>
      <c r="BD207" s="247"/>
      <c r="BE207" s="247"/>
      <c r="BF207" s="247"/>
      <c r="BG207" s="247"/>
      <c r="BH207" s="247"/>
      <c r="BI207" s="247"/>
      <c r="BJ207" s="247"/>
      <c r="BK207" s="247"/>
      <c r="BL207" s="247"/>
      <c r="BM207" s="247"/>
      <c r="BN207" s="247"/>
      <c r="BO207" s="247"/>
      <c r="BP207" s="247"/>
      <c r="BQ207" s="247"/>
      <c r="BR207" s="247"/>
      <c r="BS207" s="247"/>
      <c r="BT207" s="247"/>
      <c r="BU207" s="247"/>
      <c r="BV207" s="247"/>
      <c r="BW207" s="247"/>
      <c r="BX207" s="247"/>
      <c r="BY207" s="247"/>
      <c r="BZ207" s="247"/>
      <c r="CA207" s="247"/>
      <c r="CB207" s="247"/>
      <c r="CC207" s="247"/>
      <c r="CD207" s="247"/>
      <c r="CE207" s="247"/>
    </row>
    <row r="208" spans="1:83" s="314" customFormat="1" ht="24" customHeight="1" x14ac:dyDescent="0.25">
      <c r="A208" s="923"/>
      <c r="B208" s="902"/>
      <c r="C208" s="899"/>
      <c r="D208" s="335" t="s">
        <v>38</v>
      </c>
      <c r="E208" s="207">
        <f>1147005000*31/161</f>
        <v>220851894.40993789</v>
      </c>
      <c r="F208" s="207"/>
      <c r="G208" s="207">
        <f>1147005000*31/161</f>
        <v>220851894.40993789</v>
      </c>
      <c r="H208" s="508">
        <v>220851894.40993789</v>
      </c>
      <c r="I208" s="307"/>
      <c r="J208" s="307"/>
      <c r="K208" s="236">
        <v>4607334</v>
      </c>
      <c r="L208" s="600">
        <f>+H208/H212*622349572</f>
        <v>119831284.04968944</v>
      </c>
      <c r="M208" s="600"/>
      <c r="N208" s="236">
        <f t="shared" si="12"/>
        <v>119831284.04968944</v>
      </c>
      <c r="O208" s="236"/>
      <c r="P208" s="307"/>
      <c r="Q208" s="891"/>
      <c r="R208" s="891"/>
      <c r="S208" s="891"/>
      <c r="T208" s="891"/>
      <c r="U208" s="891"/>
      <c r="V208" s="891">
        <v>3315</v>
      </c>
      <c r="W208" s="891">
        <v>3078</v>
      </c>
      <c r="X208" s="891"/>
      <c r="Y208" s="891"/>
      <c r="Z208" s="891"/>
      <c r="AA208" s="999"/>
      <c r="AB208" s="1"/>
      <c r="AC208" s="1"/>
      <c r="AD208" s="1"/>
      <c r="AE208" s="1"/>
      <c r="AF208" s="1"/>
      <c r="AG208" s="1"/>
      <c r="AH208" s="1"/>
      <c r="AI208" s="1"/>
      <c r="AJ208" s="1"/>
      <c r="AK208" s="1"/>
      <c r="AL208" s="1"/>
      <c r="AM208" s="1"/>
      <c r="AN208" s="1"/>
      <c r="AO208" s="1"/>
      <c r="AP208" s="247"/>
      <c r="AQ208" s="247"/>
      <c r="AR208" s="247"/>
      <c r="AS208" s="247"/>
      <c r="AT208" s="247"/>
      <c r="AU208" s="247"/>
      <c r="AV208" s="247"/>
      <c r="AW208" s="247"/>
      <c r="AX208" s="247"/>
      <c r="AY208" s="247"/>
      <c r="AZ208" s="247"/>
      <c r="BA208" s="247"/>
      <c r="BB208" s="247"/>
      <c r="BC208" s="247"/>
      <c r="BD208" s="247"/>
      <c r="BE208" s="247"/>
      <c r="BF208" s="247"/>
      <c r="BG208" s="247"/>
      <c r="BH208" s="247"/>
      <c r="BI208" s="247"/>
      <c r="BJ208" s="247"/>
      <c r="BK208" s="247"/>
      <c r="BL208" s="247"/>
      <c r="BM208" s="247"/>
      <c r="BN208" s="247"/>
      <c r="BO208" s="247"/>
      <c r="BP208" s="247"/>
      <c r="BQ208" s="247"/>
      <c r="BR208" s="247"/>
      <c r="BS208" s="247"/>
      <c r="BT208" s="247"/>
      <c r="BU208" s="247"/>
      <c r="BV208" s="247"/>
      <c r="BW208" s="247"/>
      <c r="BX208" s="247"/>
      <c r="BY208" s="247"/>
      <c r="BZ208" s="247"/>
      <c r="CA208" s="247"/>
      <c r="CB208" s="247"/>
      <c r="CC208" s="247"/>
      <c r="CD208" s="247"/>
      <c r="CE208" s="247"/>
    </row>
    <row r="209" spans="1:83" s="314" customFormat="1" ht="24" customHeight="1" x14ac:dyDescent="0.25">
      <c r="A209" s="923"/>
      <c r="B209" s="902"/>
      <c r="C209" s="899" t="s">
        <v>391</v>
      </c>
      <c r="D209" s="335" t="s">
        <v>34</v>
      </c>
      <c r="E209" s="308">
        <f>E197+E201+E205</f>
        <v>450</v>
      </c>
      <c r="F209" s="308">
        <v>161</v>
      </c>
      <c r="G209" s="308">
        <f>G197+G201+G205</f>
        <v>450</v>
      </c>
      <c r="H209" s="603">
        <v>450</v>
      </c>
      <c r="I209" s="307"/>
      <c r="J209" s="308"/>
      <c r="K209" s="308">
        <f>K197+K201+K205</f>
        <v>244</v>
      </c>
      <c r="L209" s="604">
        <v>283</v>
      </c>
      <c r="M209" s="604">
        <v>283</v>
      </c>
      <c r="N209" s="236">
        <f t="shared" si="12"/>
        <v>0</v>
      </c>
      <c r="O209" s="308"/>
      <c r="P209" s="308"/>
      <c r="Q209" s="282"/>
      <c r="R209" s="282"/>
      <c r="S209" s="282"/>
      <c r="T209" s="282"/>
      <c r="U209" s="282"/>
      <c r="V209" s="282"/>
      <c r="W209" s="282"/>
      <c r="X209" s="282"/>
      <c r="Y209" s="282"/>
      <c r="Z209" s="282"/>
      <c r="AA209" s="283"/>
      <c r="AB209" s="1"/>
      <c r="AC209" s="1"/>
      <c r="AD209" s="1"/>
      <c r="AE209" s="1"/>
      <c r="AF209" s="1"/>
      <c r="AG209" s="1"/>
      <c r="AH209" s="1"/>
      <c r="AI209" s="1"/>
      <c r="AJ209" s="1"/>
      <c r="AK209" s="1"/>
      <c r="AL209" s="1"/>
      <c r="AM209" s="1"/>
      <c r="AN209" s="1"/>
      <c r="AO209" s="1"/>
      <c r="AP209" s="247"/>
      <c r="AQ209" s="247"/>
      <c r="AR209" s="247"/>
      <c r="AS209" s="247"/>
      <c r="AT209" s="247"/>
      <c r="AU209" s="247"/>
      <c r="AV209" s="247"/>
      <c r="AW209" s="247"/>
      <c r="AX209" s="247"/>
      <c r="AY209" s="247"/>
      <c r="AZ209" s="247"/>
      <c r="BA209" s="247"/>
      <c r="BB209" s="247"/>
      <c r="BC209" s="247"/>
      <c r="BD209" s="247"/>
      <c r="BE209" s="247"/>
      <c r="BF209" s="247"/>
      <c r="BG209" s="247"/>
      <c r="BH209" s="247"/>
      <c r="BI209" s="247"/>
      <c r="BJ209" s="247"/>
      <c r="BK209" s="247"/>
      <c r="BL209" s="247"/>
      <c r="BM209" s="247"/>
      <c r="BN209" s="247"/>
      <c r="BO209" s="247"/>
      <c r="BP209" s="247"/>
      <c r="BQ209" s="247"/>
      <c r="BR209" s="247"/>
      <c r="BS209" s="247"/>
      <c r="BT209" s="247"/>
      <c r="BU209" s="247"/>
      <c r="BV209" s="247"/>
      <c r="BW209" s="247"/>
      <c r="BX209" s="247"/>
      <c r="BY209" s="247"/>
      <c r="BZ209" s="247"/>
      <c r="CA209" s="247"/>
      <c r="CB209" s="247"/>
      <c r="CC209" s="247"/>
      <c r="CD209" s="247"/>
      <c r="CE209" s="247"/>
    </row>
    <row r="210" spans="1:83" s="314" customFormat="1" ht="24" customHeight="1" x14ac:dyDescent="0.25">
      <c r="A210" s="923"/>
      <c r="B210" s="902"/>
      <c r="C210" s="899"/>
      <c r="D210" s="335" t="s">
        <v>36</v>
      </c>
      <c r="E210" s="214">
        <f>E198+E202+E206</f>
        <v>1136499000</v>
      </c>
      <c r="F210" s="214">
        <v>1364351999.9999998</v>
      </c>
      <c r="G210" s="214">
        <f>G198+G202+G206</f>
        <v>1136499000</v>
      </c>
      <c r="H210" s="541">
        <v>1136499000</v>
      </c>
      <c r="I210" s="307"/>
      <c r="J210" s="214"/>
      <c r="K210" s="214">
        <f>K198+K202+K206</f>
        <v>203646450</v>
      </c>
      <c r="L210" s="214">
        <f>L198+L202+L206</f>
        <v>791414050</v>
      </c>
      <c r="M210" s="214">
        <v>791414050</v>
      </c>
      <c r="N210" s="236">
        <f t="shared" si="12"/>
        <v>0</v>
      </c>
      <c r="O210" s="214"/>
      <c r="P210" s="214"/>
      <c r="Q210" s="282"/>
      <c r="R210" s="282"/>
      <c r="S210" s="282"/>
      <c r="T210" s="282"/>
      <c r="U210" s="282"/>
      <c r="V210" s="282"/>
      <c r="W210" s="282"/>
      <c r="X210" s="282"/>
      <c r="Y210" s="282"/>
      <c r="Z210" s="282"/>
      <c r="AA210" s="283"/>
      <c r="AB210" s="1"/>
      <c r="AC210" s="1"/>
      <c r="AD210" s="1"/>
      <c r="AE210" s="1"/>
      <c r="AF210" s="1"/>
      <c r="AG210" s="1"/>
      <c r="AH210" s="1"/>
      <c r="AI210" s="1"/>
      <c r="AJ210" s="1"/>
      <c r="AK210" s="1"/>
      <c r="AL210" s="1"/>
      <c r="AM210" s="1"/>
      <c r="AN210" s="1"/>
      <c r="AO210" s="1"/>
      <c r="AP210" s="247"/>
      <c r="AQ210" s="247"/>
      <c r="AR210" s="247"/>
      <c r="AS210" s="247"/>
      <c r="AT210" s="247"/>
      <c r="AU210" s="247"/>
      <c r="AV210" s="247"/>
      <c r="AW210" s="247"/>
      <c r="AX210" s="247"/>
      <c r="AY210" s="247"/>
      <c r="AZ210" s="247"/>
      <c r="BA210" s="247"/>
      <c r="BB210" s="247"/>
      <c r="BC210" s="247"/>
      <c r="BD210" s="247"/>
      <c r="BE210" s="247"/>
      <c r="BF210" s="247"/>
      <c r="BG210" s="247"/>
      <c r="BH210" s="247"/>
      <c r="BI210" s="247"/>
      <c r="BJ210" s="247"/>
      <c r="BK210" s="247"/>
      <c r="BL210" s="247"/>
      <c r="BM210" s="247"/>
      <c r="BN210" s="247"/>
      <c r="BO210" s="247"/>
      <c r="BP210" s="247"/>
      <c r="BQ210" s="247"/>
      <c r="BR210" s="247"/>
      <c r="BS210" s="247"/>
      <c r="BT210" s="247"/>
      <c r="BU210" s="247"/>
      <c r="BV210" s="247"/>
      <c r="BW210" s="247"/>
      <c r="BX210" s="247"/>
      <c r="BY210" s="247"/>
      <c r="BZ210" s="247"/>
      <c r="CA210" s="247"/>
      <c r="CB210" s="247"/>
      <c r="CC210" s="247"/>
      <c r="CD210" s="247"/>
      <c r="CE210" s="247"/>
    </row>
    <row r="211" spans="1:83" s="314" customFormat="1" ht="24" customHeight="1" x14ac:dyDescent="0.25">
      <c r="A211" s="923"/>
      <c r="B211" s="902"/>
      <c r="C211" s="899"/>
      <c r="D211" s="335" t="s">
        <v>37</v>
      </c>
      <c r="E211" s="308"/>
      <c r="F211" s="308">
        <v>0</v>
      </c>
      <c r="G211" s="308"/>
      <c r="H211" s="603"/>
      <c r="I211" s="307"/>
      <c r="J211" s="308"/>
      <c r="K211" s="308"/>
      <c r="L211" s="308"/>
      <c r="M211" s="308"/>
      <c r="N211" s="236">
        <f t="shared" si="12"/>
        <v>0</v>
      </c>
      <c r="O211" s="308"/>
      <c r="P211" s="308"/>
      <c r="Q211" s="282"/>
      <c r="R211" s="282"/>
      <c r="S211" s="282"/>
      <c r="T211" s="282"/>
      <c r="U211" s="282"/>
      <c r="V211" s="282"/>
      <c r="W211" s="282"/>
      <c r="X211" s="282"/>
      <c r="Y211" s="282"/>
      <c r="Z211" s="282"/>
      <c r="AA211" s="283"/>
      <c r="AB211" s="1"/>
      <c r="AC211" s="1"/>
      <c r="AD211" s="1"/>
      <c r="AE211" s="1"/>
      <c r="AF211" s="1"/>
      <c r="AG211" s="1"/>
      <c r="AH211" s="1"/>
      <c r="AI211" s="1"/>
      <c r="AJ211" s="1"/>
      <c r="AK211" s="1"/>
      <c r="AL211" s="1"/>
      <c r="AM211" s="1"/>
      <c r="AN211" s="1"/>
      <c r="AO211" s="1"/>
      <c r="AP211" s="247"/>
      <c r="AQ211" s="247"/>
      <c r="AR211" s="247"/>
      <c r="AS211" s="247"/>
      <c r="AT211" s="247"/>
      <c r="AU211" s="247"/>
      <c r="AV211" s="247"/>
      <c r="AW211" s="247"/>
      <c r="AX211" s="247"/>
      <c r="AY211" s="247"/>
      <c r="AZ211" s="247"/>
      <c r="BA211" s="247"/>
      <c r="BB211" s="247"/>
      <c r="BC211" s="247"/>
      <c r="BD211" s="247"/>
      <c r="BE211" s="247"/>
      <c r="BF211" s="247"/>
      <c r="BG211" s="247"/>
      <c r="BH211" s="247"/>
      <c r="BI211" s="247"/>
      <c r="BJ211" s="247"/>
      <c r="BK211" s="247"/>
      <c r="BL211" s="247"/>
      <c r="BM211" s="247"/>
      <c r="BN211" s="247"/>
      <c r="BO211" s="247"/>
      <c r="BP211" s="247"/>
      <c r="BQ211" s="247"/>
      <c r="BR211" s="247"/>
      <c r="BS211" s="247"/>
      <c r="BT211" s="247"/>
      <c r="BU211" s="247"/>
      <c r="BV211" s="247"/>
      <c r="BW211" s="247"/>
      <c r="BX211" s="247"/>
      <c r="BY211" s="247"/>
      <c r="BZ211" s="247"/>
      <c r="CA211" s="247"/>
      <c r="CB211" s="247"/>
      <c r="CC211" s="247"/>
      <c r="CD211" s="247"/>
      <c r="CE211" s="247"/>
    </row>
    <row r="212" spans="1:83" s="314" customFormat="1" ht="24" customHeight="1" thickBot="1" x14ac:dyDescent="0.3">
      <c r="A212" s="976"/>
      <c r="B212" s="903"/>
      <c r="C212" s="900"/>
      <c r="D212" s="468" t="s">
        <v>38</v>
      </c>
      <c r="E212" s="605">
        <f>E200+E204+E208</f>
        <v>1147005000</v>
      </c>
      <c r="F212" s="605">
        <v>248828667</v>
      </c>
      <c r="G212" s="605">
        <f>G200+G204+G208</f>
        <v>1147005000</v>
      </c>
      <c r="H212" s="606">
        <v>1147005000</v>
      </c>
      <c r="I212" s="607"/>
      <c r="J212" s="605"/>
      <c r="K212" s="605">
        <f>K200+K204+K208</f>
        <v>34276334</v>
      </c>
      <c r="L212" s="605">
        <f>L200+L204+L208</f>
        <v>622349571.99999988</v>
      </c>
      <c r="M212" s="605">
        <v>622349572</v>
      </c>
      <c r="N212" s="204">
        <f t="shared" si="12"/>
        <v>0</v>
      </c>
      <c r="O212" s="605"/>
      <c r="P212" s="605"/>
      <c r="Q212" s="284"/>
      <c r="R212" s="284"/>
      <c r="S212" s="284"/>
      <c r="T212" s="284"/>
      <c r="U212" s="284"/>
      <c r="V212" s="284"/>
      <c r="W212" s="284"/>
      <c r="X212" s="284"/>
      <c r="Y212" s="284"/>
      <c r="Z212" s="284"/>
      <c r="AA212" s="285"/>
      <c r="AB212" s="1"/>
      <c r="AC212" s="1"/>
      <c r="AD212" s="1"/>
      <c r="AE212" s="1"/>
      <c r="AF212" s="1"/>
      <c r="AG212" s="1"/>
      <c r="AH212" s="1"/>
      <c r="AI212" s="1"/>
      <c r="AJ212" s="1"/>
      <c r="AK212" s="1"/>
      <c r="AL212" s="1"/>
      <c r="AM212" s="1"/>
      <c r="AN212" s="1"/>
      <c r="AO212" s="1"/>
      <c r="AP212" s="247"/>
      <c r="AQ212" s="247"/>
      <c r="AR212" s="247"/>
      <c r="AS212" s="247"/>
      <c r="AT212" s="247"/>
      <c r="AU212" s="247"/>
      <c r="AV212" s="247"/>
      <c r="AW212" s="247"/>
      <c r="AX212" s="247"/>
      <c r="AY212" s="247"/>
      <c r="AZ212" s="247"/>
      <c r="BA212" s="247"/>
      <c r="BB212" s="247"/>
      <c r="BC212" s="247"/>
      <c r="BD212" s="247"/>
      <c r="BE212" s="247"/>
      <c r="BF212" s="247"/>
      <c r="BG212" s="247"/>
      <c r="BH212" s="247"/>
      <c r="BI212" s="247"/>
      <c r="BJ212" s="247"/>
      <c r="BK212" s="247"/>
      <c r="BL212" s="247"/>
      <c r="BM212" s="247"/>
      <c r="BN212" s="247"/>
      <c r="BO212" s="247"/>
      <c r="BP212" s="247"/>
      <c r="BQ212" s="247"/>
      <c r="BR212" s="247"/>
      <c r="BS212" s="247"/>
      <c r="BT212" s="247"/>
      <c r="BU212" s="247"/>
      <c r="BV212" s="247"/>
      <c r="BW212" s="247"/>
      <c r="BX212" s="247"/>
      <c r="BY212" s="247"/>
      <c r="BZ212" s="247"/>
      <c r="CA212" s="247"/>
      <c r="CB212" s="247"/>
      <c r="CC212" s="247"/>
      <c r="CD212" s="247"/>
      <c r="CE212" s="247"/>
    </row>
    <row r="213" spans="1:83" s="314" customFormat="1" ht="33.75" customHeight="1" x14ac:dyDescent="0.25">
      <c r="A213" s="922">
        <v>17</v>
      </c>
      <c r="B213" s="901" t="s">
        <v>177</v>
      </c>
      <c r="C213" s="895" t="s">
        <v>354</v>
      </c>
      <c r="D213" s="484" t="s">
        <v>34</v>
      </c>
      <c r="E213" s="242">
        <f>44.3+10.3</f>
        <v>54.599999999999994</v>
      </c>
      <c r="F213" s="242">
        <v>44.3</v>
      </c>
      <c r="G213" s="242">
        <f>44.3+10.3</f>
        <v>54.599999999999994</v>
      </c>
      <c r="H213" s="510">
        <v>54.599999999999994</v>
      </c>
      <c r="I213" s="242"/>
      <c r="J213" s="309"/>
      <c r="K213" s="242">
        <v>47.1</v>
      </c>
      <c r="L213" s="597">
        <v>47.3</v>
      </c>
      <c r="M213" s="597"/>
      <c r="N213" s="264">
        <f t="shared" si="12"/>
        <v>47.3</v>
      </c>
      <c r="O213" s="242"/>
      <c r="P213" s="309"/>
      <c r="Q213" s="895" t="s">
        <v>357</v>
      </c>
      <c r="R213" s="895"/>
      <c r="S213" s="895" t="s">
        <v>371</v>
      </c>
      <c r="T213" s="895" t="s">
        <v>529</v>
      </c>
      <c r="U213" s="895" t="s">
        <v>358</v>
      </c>
      <c r="V213" s="895">
        <v>139</v>
      </c>
      <c r="W213" s="895">
        <v>83</v>
      </c>
      <c r="X213" s="895" t="s">
        <v>231</v>
      </c>
      <c r="Y213" s="895" t="s">
        <v>225</v>
      </c>
      <c r="Z213" s="895" t="s">
        <v>232</v>
      </c>
      <c r="AA213" s="1000" t="s">
        <v>373</v>
      </c>
      <c r="AB213" s="1"/>
      <c r="AC213" s="1"/>
      <c r="AD213" s="1"/>
      <c r="AE213" s="1"/>
      <c r="AF213" s="1"/>
      <c r="AG213" s="1"/>
      <c r="AH213" s="1"/>
      <c r="AI213" s="1"/>
      <c r="AJ213" s="1"/>
      <c r="AK213" s="1"/>
      <c r="AL213" s="1"/>
      <c r="AM213" s="1"/>
      <c r="AN213" s="1"/>
      <c r="AO213" s="1"/>
      <c r="AP213" s="247"/>
      <c r="AQ213" s="247"/>
      <c r="AR213" s="247"/>
      <c r="AS213" s="247"/>
      <c r="AT213" s="247"/>
      <c r="AU213" s="247"/>
      <c r="AV213" s="247"/>
      <c r="AW213" s="247"/>
      <c r="AX213" s="247"/>
      <c r="AY213" s="247"/>
      <c r="AZ213" s="247"/>
      <c r="BA213" s="247"/>
      <c r="BB213" s="247"/>
      <c r="BC213" s="247"/>
      <c r="BD213" s="247"/>
      <c r="BE213" s="247"/>
      <c r="BF213" s="247"/>
      <c r="BG213" s="247"/>
      <c r="BH213" s="247"/>
      <c r="BI213" s="247"/>
      <c r="BJ213" s="247"/>
      <c r="BK213" s="247"/>
      <c r="BL213" s="247"/>
      <c r="BM213" s="247"/>
      <c r="BN213" s="247"/>
      <c r="BO213" s="247"/>
      <c r="BP213" s="247"/>
      <c r="BQ213" s="247"/>
      <c r="BR213" s="247"/>
      <c r="BS213" s="247"/>
      <c r="BT213" s="247"/>
      <c r="BU213" s="247"/>
      <c r="BV213" s="247"/>
      <c r="BW213" s="247"/>
      <c r="BX213" s="247"/>
      <c r="BY213" s="247"/>
      <c r="BZ213" s="247"/>
      <c r="CA213" s="247"/>
      <c r="CB213" s="247"/>
      <c r="CC213" s="247"/>
      <c r="CD213" s="247"/>
      <c r="CE213" s="247"/>
    </row>
    <row r="214" spans="1:83" s="314" customFormat="1" ht="33.75" customHeight="1" x14ac:dyDescent="0.25">
      <c r="A214" s="923"/>
      <c r="B214" s="902"/>
      <c r="C214" s="891"/>
      <c r="D214" s="335" t="s">
        <v>36</v>
      </c>
      <c r="E214" s="207">
        <f>584994000/90*E213</f>
        <v>354896359.99999994</v>
      </c>
      <c r="F214" s="207">
        <v>146338804.66666669</v>
      </c>
      <c r="G214" s="207">
        <f>584994000/90*G213</f>
        <v>354896359.99999994</v>
      </c>
      <c r="H214" s="508">
        <v>354896359.99999994</v>
      </c>
      <c r="I214" s="207"/>
      <c r="J214" s="207"/>
      <c r="K214" s="207">
        <f>(91494900-16249833)/2</f>
        <v>37622533.5</v>
      </c>
      <c r="L214" s="581">
        <f>106356200/3+49532700/2+98762394*L213/L225</f>
        <v>112401853.17470956</v>
      </c>
      <c r="M214" s="581"/>
      <c r="N214" s="236">
        <f t="shared" si="12"/>
        <v>112401853.17470956</v>
      </c>
      <c r="O214" s="236"/>
      <c r="P214" s="207"/>
      <c r="Q214" s="891"/>
      <c r="R214" s="891"/>
      <c r="S214" s="891"/>
      <c r="T214" s="891"/>
      <c r="U214" s="891"/>
      <c r="V214" s="891">
        <v>139</v>
      </c>
      <c r="W214" s="891">
        <v>83</v>
      </c>
      <c r="X214" s="891"/>
      <c r="Y214" s="891"/>
      <c r="Z214" s="891"/>
      <c r="AA214" s="999"/>
      <c r="AB214" s="1"/>
      <c r="AC214" s="1"/>
      <c r="AD214" s="1"/>
      <c r="AE214" s="1"/>
      <c r="AF214" s="1"/>
      <c r="AG214" s="1"/>
      <c r="AH214" s="1"/>
      <c r="AI214" s="1"/>
      <c r="AJ214" s="1"/>
      <c r="AK214" s="1"/>
      <c r="AL214" s="1"/>
      <c r="AM214" s="1"/>
      <c r="AN214" s="1"/>
      <c r="AO214" s="1"/>
      <c r="AP214" s="247"/>
      <c r="AQ214" s="247"/>
      <c r="AR214" s="247"/>
      <c r="AS214" s="247"/>
      <c r="AT214" s="247"/>
      <c r="AU214" s="247"/>
      <c r="AV214" s="247"/>
      <c r="AW214" s="247"/>
      <c r="AX214" s="247"/>
      <c r="AY214" s="247"/>
      <c r="AZ214" s="247"/>
      <c r="BA214" s="247"/>
      <c r="BB214" s="247"/>
      <c r="BC214" s="247"/>
      <c r="BD214" s="247"/>
      <c r="BE214" s="247"/>
      <c r="BF214" s="247"/>
      <c r="BG214" s="247"/>
      <c r="BH214" s="247"/>
      <c r="BI214" s="247"/>
      <c r="BJ214" s="247"/>
      <c r="BK214" s="247"/>
      <c r="BL214" s="247"/>
      <c r="BM214" s="247"/>
      <c r="BN214" s="247"/>
      <c r="BO214" s="247"/>
      <c r="BP214" s="247"/>
      <c r="BQ214" s="247"/>
      <c r="BR214" s="247"/>
      <c r="BS214" s="247"/>
      <c r="BT214" s="247"/>
      <c r="BU214" s="247"/>
      <c r="BV214" s="247"/>
      <c r="BW214" s="247"/>
      <c r="BX214" s="247"/>
      <c r="BY214" s="247"/>
      <c r="BZ214" s="247"/>
      <c r="CA214" s="247"/>
      <c r="CB214" s="247"/>
      <c r="CC214" s="247"/>
      <c r="CD214" s="247"/>
      <c r="CE214" s="247"/>
    </row>
    <row r="215" spans="1:83" s="314" customFormat="1" ht="33.75" customHeight="1" x14ac:dyDescent="0.25">
      <c r="A215" s="923"/>
      <c r="B215" s="902"/>
      <c r="C215" s="891"/>
      <c r="D215" s="335" t="s">
        <v>37</v>
      </c>
      <c r="E215" s="229"/>
      <c r="F215" s="229"/>
      <c r="G215" s="229"/>
      <c r="H215" s="506"/>
      <c r="I215" s="229"/>
      <c r="J215" s="229"/>
      <c r="K215" s="236"/>
      <c r="L215" s="581"/>
      <c r="M215" s="581"/>
      <c r="N215" s="236">
        <f t="shared" si="12"/>
        <v>0</v>
      </c>
      <c r="O215" s="236"/>
      <c r="P215" s="229"/>
      <c r="Q215" s="891"/>
      <c r="R215" s="891"/>
      <c r="S215" s="891"/>
      <c r="T215" s="891"/>
      <c r="U215" s="891"/>
      <c r="V215" s="891">
        <v>139</v>
      </c>
      <c r="W215" s="891">
        <v>83</v>
      </c>
      <c r="X215" s="891"/>
      <c r="Y215" s="891"/>
      <c r="Z215" s="891"/>
      <c r="AA215" s="999"/>
      <c r="AB215" s="1"/>
      <c r="AC215" s="1"/>
      <c r="AD215" s="1"/>
      <c r="AE215" s="1"/>
      <c r="AF215" s="1"/>
      <c r="AG215" s="1"/>
      <c r="AH215" s="1"/>
      <c r="AI215" s="1"/>
      <c r="AJ215" s="1"/>
      <c r="AK215" s="1"/>
      <c r="AL215" s="1"/>
      <c r="AM215" s="1"/>
      <c r="AN215" s="1"/>
      <c r="AO215" s="1"/>
      <c r="AP215" s="247"/>
      <c r="AQ215" s="247"/>
      <c r="AR215" s="247"/>
      <c r="AS215" s="247"/>
      <c r="AT215" s="247"/>
      <c r="AU215" s="247"/>
      <c r="AV215" s="247"/>
      <c r="AW215" s="247"/>
      <c r="AX215" s="247"/>
      <c r="AY215" s="247"/>
      <c r="AZ215" s="247"/>
      <c r="BA215" s="247"/>
      <c r="BB215" s="247"/>
      <c r="BC215" s="247"/>
      <c r="BD215" s="247"/>
      <c r="BE215" s="247"/>
      <c r="BF215" s="247"/>
      <c r="BG215" s="247"/>
      <c r="BH215" s="247"/>
      <c r="BI215" s="247"/>
      <c r="BJ215" s="247"/>
      <c r="BK215" s="247"/>
      <c r="BL215" s="247"/>
      <c r="BM215" s="247"/>
      <c r="BN215" s="247"/>
      <c r="BO215" s="247"/>
      <c r="BP215" s="247"/>
      <c r="BQ215" s="247"/>
      <c r="BR215" s="247"/>
      <c r="BS215" s="247"/>
      <c r="BT215" s="247"/>
      <c r="BU215" s="247"/>
      <c r="BV215" s="247"/>
      <c r="BW215" s="247"/>
      <c r="BX215" s="247"/>
      <c r="BY215" s="247"/>
      <c r="BZ215" s="247"/>
      <c r="CA215" s="247"/>
      <c r="CB215" s="247"/>
      <c r="CC215" s="247"/>
      <c r="CD215" s="247"/>
      <c r="CE215" s="247"/>
    </row>
    <row r="216" spans="1:83" s="314" customFormat="1" ht="33.75" customHeight="1" x14ac:dyDescent="0.25">
      <c r="A216" s="923"/>
      <c r="B216" s="902"/>
      <c r="C216" s="891"/>
      <c r="D216" s="335" t="s">
        <v>38</v>
      </c>
      <c r="E216" s="220">
        <f>246589276.333333/64.9*44.3</f>
        <v>168319028.37544915</v>
      </c>
      <c r="F216" s="220">
        <v>145894863.5</v>
      </c>
      <c r="G216" s="220">
        <f>246589276.333333/64.9*44.3</f>
        <v>168319028.37544915</v>
      </c>
      <c r="H216" s="546">
        <v>168319028.37544915</v>
      </c>
      <c r="I216" s="220"/>
      <c r="J216" s="220"/>
      <c r="K216" s="220">
        <f>(181417759-759905)/2</f>
        <v>90328927</v>
      </c>
      <c r="L216" s="600">
        <f>+H216/H228*246589276.33</f>
        <v>168319028.3731741</v>
      </c>
      <c r="M216" s="600"/>
      <c r="N216" s="236">
        <f t="shared" si="12"/>
        <v>168319028.3731741</v>
      </c>
      <c r="O216" s="236"/>
      <c r="P216" s="220"/>
      <c r="Q216" s="891"/>
      <c r="R216" s="891"/>
      <c r="S216" s="891"/>
      <c r="T216" s="891"/>
      <c r="U216" s="891"/>
      <c r="V216" s="891">
        <v>139</v>
      </c>
      <c r="W216" s="891">
        <v>83</v>
      </c>
      <c r="X216" s="891"/>
      <c r="Y216" s="891"/>
      <c r="Z216" s="891"/>
      <c r="AA216" s="999"/>
      <c r="AB216" s="1"/>
      <c r="AC216" s="1"/>
      <c r="AD216" s="1"/>
      <c r="AE216" s="1"/>
      <c r="AF216" s="1"/>
      <c r="AG216" s="1"/>
      <c r="AH216" s="1"/>
      <c r="AI216" s="1"/>
      <c r="AJ216" s="1"/>
      <c r="AK216" s="1"/>
      <c r="AL216" s="1"/>
      <c r="AM216" s="1"/>
      <c r="AN216" s="1"/>
      <c r="AO216" s="1"/>
      <c r="AP216" s="247"/>
      <c r="AQ216" s="247"/>
      <c r="AR216" s="247"/>
      <c r="AS216" s="247"/>
      <c r="AT216" s="247"/>
      <c r="AU216" s="247"/>
      <c r="AV216" s="247"/>
      <c r="AW216" s="247"/>
      <c r="AX216" s="247"/>
      <c r="AY216" s="247"/>
      <c r="AZ216" s="247"/>
      <c r="BA216" s="247"/>
      <c r="BB216" s="247"/>
      <c r="BC216" s="247"/>
      <c r="BD216" s="247"/>
      <c r="BE216" s="247"/>
      <c r="BF216" s="247"/>
      <c r="BG216" s="247"/>
      <c r="BH216" s="247"/>
      <c r="BI216" s="247"/>
      <c r="BJ216" s="247"/>
      <c r="BK216" s="247"/>
      <c r="BL216" s="247"/>
      <c r="BM216" s="247"/>
      <c r="BN216" s="247"/>
      <c r="BO216" s="247"/>
      <c r="BP216" s="247"/>
      <c r="BQ216" s="247"/>
      <c r="BR216" s="247"/>
      <c r="BS216" s="247"/>
      <c r="BT216" s="247"/>
      <c r="BU216" s="247"/>
      <c r="BV216" s="247"/>
      <c r="BW216" s="247"/>
      <c r="BX216" s="247"/>
      <c r="BY216" s="247"/>
      <c r="BZ216" s="247"/>
      <c r="CA216" s="247"/>
      <c r="CB216" s="247"/>
      <c r="CC216" s="247"/>
      <c r="CD216" s="247"/>
      <c r="CE216" s="247"/>
    </row>
    <row r="217" spans="1:83" s="314" customFormat="1" ht="30" customHeight="1" x14ac:dyDescent="0.25">
      <c r="A217" s="923"/>
      <c r="B217" s="902"/>
      <c r="C217" s="891" t="s">
        <v>355</v>
      </c>
      <c r="D217" s="335" t="s">
        <v>34</v>
      </c>
      <c r="E217" s="229">
        <f>20.4+12.5</f>
        <v>32.9</v>
      </c>
      <c r="F217" s="229">
        <v>20.399999999999999</v>
      </c>
      <c r="G217" s="229">
        <f>20.4+12.5</f>
        <v>32.9</v>
      </c>
      <c r="H217" s="506">
        <v>32.9</v>
      </c>
      <c r="I217" s="229"/>
      <c r="J217" s="310"/>
      <c r="K217" s="229">
        <v>21.19</v>
      </c>
      <c r="L217" s="586">
        <v>41.5</v>
      </c>
      <c r="M217" s="586"/>
      <c r="N217" s="236">
        <f t="shared" si="12"/>
        <v>41.5</v>
      </c>
      <c r="O217" s="205"/>
      <c r="P217" s="310"/>
      <c r="Q217" s="891" t="s">
        <v>289</v>
      </c>
      <c r="R217" s="891"/>
      <c r="S217" s="891" t="s">
        <v>405</v>
      </c>
      <c r="T217" s="891" t="s">
        <v>530</v>
      </c>
      <c r="U217" s="891" t="s">
        <v>358</v>
      </c>
      <c r="V217" s="891">
        <v>161</v>
      </c>
      <c r="W217" s="891">
        <v>89</v>
      </c>
      <c r="X217" s="891" t="s">
        <v>231</v>
      </c>
      <c r="Y217" s="891" t="s">
        <v>225</v>
      </c>
      <c r="Z217" s="891" t="s">
        <v>232</v>
      </c>
      <c r="AA217" s="999" t="s">
        <v>374</v>
      </c>
      <c r="AB217" s="1"/>
      <c r="AC217" s="1"/>
      <c r="AD217" s="1"/>
      <c r="AE217" s="1"/>
      <c r="AF217" s="1"/>
      <c r="AG217" s="1"/>
      <c r="AH217" s="1"/>
      <c r="AI217" s="1"/>
      <c r="AJ217" s="1"/>
      <c r="AK217" s="1"/>
      <c r="AL217" s="1"/>
      <c r="AM217" s="1"/>
      <c r="AN217" s="1"/>
      <c r="AO217" s="1"/>
      <c r="AP217" s="247"/>
      <c r="AQ217" s="247"/>
      <c r="AR217" s="247"/>
      <c r="AS217" s="247"/>
      <c r="AT217" s="247"/>
      <c r="AU217" s="247"/>
      <c r="AV217" s="247"/>
      <c r="AW217" s="247"/>
      <c r="AX217" s="247"/>
      <c r="AY217" s="247"/>
      <c r="AZ217" s="247"/>
      <c r="BA217" s="247"/>
      <c r="BB217" s="247"/>
      <c r="BC217" s="247"/>
      <c r="BD217" s="247"/>
      <c r="BE217" s="247"/>
      <c r="BF217" s="247"/>
      <c r="BG217" s="247"/>
      <c r="BH217" s="247"/>
      <c r="BI217" s="247"/>
      <c r="BJ217" s="247"/>
      <c r="BK217" s="247"/>
      <c r="BL217" s="247"/>
      <c r="BM217" s="247"/>
      <c r="BN217" s="247"/>
      <c r="BO217" s="247"/>
      <c r="BP217" s="247"/>
      <c r="BQ217" s="247"/>
      <c r="BR217" s="247"/>
      <c r="BS217" s="247"/>
      <c r="BT217" s="247"/>
      <c r="BU217" s="247"/>
      <c r="BV217" s="247"/>
      <c r="BW217" s="247"/>
      <c r="BX217" s="247"/>
      <c r="BY217" s="247"/>
      <c r="BZ217" s="247"/>
      <c r="CA217" s="247"/>
      <c r="CB217" s="247"/>
      <c r="CC217" s="247"/>
      <c r="CD217" s="247"/>
      <c r="CE217" s="247"/>
    </row>
    <row r="218" spans="1:83" s="314" customFormat="1" ht="30" customHeight="1" x14ac:dyDescent="0.25">
      <c r="A218" s="923"/>
      <c r="B218" s="902"/>
      <c r="C218" s="891"/>
      <c r="D218" s="335" t="s">
        <v>36</v>
      </c>
      <c r="E218" s="207">
        <f>584994000/90*E217</f>
        <v>213847806.66666666</v>
      </c>
      <c r="F218" s="207">
        <v>146338804.66666669</v>
      </c>
      <c r="G218" s="207">
        <f>584994000/90*G217</f>
        <v>213847806.66666666</v>
      </c>
      <c r="H218" s="508">
        <v>213847806.66666666</v>
      </c>
      <c r="I218" s="207"/>
      <c r="J218" s="207"/>
      <c r="K218" s="207">
        <f>(91494900-16249833)/2</f>
        <v>37622533.5</v>
      </c>
      <c r="L218" s="581">
        <f>106356200/3+49532700/2+98762394*L217/L225</f>
        <v>106003038.55004469</v>
      </c>
      <c r="M218" s="581"/>
      <c r="N218" s="236">
        <f t="shared" si="12"/>
        <v>106003038.55004469</v>
      </c>
      <c r="O218" s="236"/>
      <c r="P218" s="207"/>
      <c r="Q218" s="891"/>
      <c r="R218" s="891"/>
      <c r="S218" s="891"/>
      <c r="T218" s="891"/>
      <c r="U218" s="891"/>
      <c r="V218" s="891">
        <v>161</v>
      </c>
      <c r="W218" s="891">
        <v>89</v>
      </c>
      <c r="X218" s="891"/>
      <c r="Y218" s="891"/>
      <c r="Z218" s="891"/>
      <c r="AA218" s="999"/>
      <c r="AB218" s="1"/>
      <c r="AC218" s="1"/>
      <c r="AD218" s="1"/>
      <c r="AE218" s="1"/>
      <c r="AF218" s="1"/>
      <c r="AG218" s="1"/>
      <c r="AH218" s="1"/>
      <c r="AI218" s="1"/>
      <c r="AJ218" s="1"/>
      <c r="AK218" s="1"/>
      <c r="AL218" s="1"/>
      <c r="AM218" s="1"/>
      <c r="AN218" s="1"/>
      <c r="AO218" s="1"/>
      <c r="AP218" s="247"/>
      <c r="AQ218" s="247"/>
      <c r="AR218" s="247"/>
      <c r="AS218" s="247"/>
      <c r="AT218" s="247"/>
      <c r="AU218" s="247"/>
      <c r="AV218" s="247"/>
      <c r="AW218" s="247"/>
      <c r="AX218" s="247"/>
      <c r="AY218" s="247"/>
      <c r="AZ218" s="247"/>
      <c r="BA218" s="247"/>
      <c r="BB218" s="247"/>
      <c r="BC218" s="247"/>
      <c r="BD218" s="247"/>
      <c r="BE218" s="247"/>
      <c r="BF218" s="247"/>
      <c r="BG218" s="247"/>
      <c r="BH218" s="247"/>
      <c r="BI218" s="247"/>
      <c r="BJ218" s="247"/>
      <c r="BK218" s="247"/>
      <c r="BL218" s="247"/>
      <c r="BM218" s="247"/>
      <c r="BN218" s="247"/>
      <c r="BO218" s="247"/>
      <c r="BP218" s="247"/>
      <c r="BQ218" s="247"/>
      <c r="BR218" s="247"/>
      <c r="BS218" s="247"/>
      <c r="BT218" s="247"/>
      <c r="BU218" s="247"/>
      <c r="BV218" s="247"/>
      <c r="BW218" s="247"/>
      <c r="BX218" s="247"/>
      <c r="BY218" s="247"/>
      <c r="BZ218" s="247"/>
      <c r="CA218" s="247"/>
      <c r="CB218" s="247"/>
      <c r="CC218" s="247"/>
      <c r="CD218" s="247"/>
      <c r="CE218" s="247"/>
    </row>
    <row r="219" spans="1:83" s="314" customFormat="1" ht="30" customHeight="1" x14ac:dyDescent="0.25">
      <c r="A219" s="923"/>
      <c r="B219" s="902"/>
      <c r="C219" s="891"/>
      <c r="D219" s="335" t="s">
        <v>37</v>
      </c>
      <c r="E219" s="229"/>
      <c r="F219" s="229"/>
      <c r="G219" s="229"/>
      <c r="H219" s="506"/>
      <c r="I219" s="229"/>
      <c r="J219" s="229"/>
      <c r="K219" s="236"/>
      <c r="L219" s="581"/>
      <c r="M219" s="581"/>
      <c r="N219" s="236">
        <f t="shared" si="12"/>
        <v>0</v>
      </c>
      <c r="O219" s="236"/>
      <c r="P219" s="229"/>
      <c r="Q219" s="891"/>
      <c r="R219" s="891"/>
      <c r="S219" s="891"/>
      <c r="T219" s="891"/>
      <c r="U219" s="891"/>
      <c r="V219" s="891">
        <v>161</v>
      </c>
      <c r="W219" s="891">
        <v>89</v>
      </c>
      <c r="X219" s="891"/>
      <c r="Y219" s="891"/>
      <c r="Z219" s="891"/>
      <c r="AA219" s="999"/>
      <c r="AB219" s="1"/>
      <c r="AC219" s="1"/>
      <c r="AD219" s="1"/>
      <c r="AE219" s="1"/>
      <c r="AF219" s="1"/>
      <c r="AG219" s="1"/>
      <c r="AH219" s="1"/>
      <c r="AI219" s="1"/>
      <c r="AJ219" s="1"/>
      <c r="AK219" s="1"/>
      <c r="AL219" s="1"/>
      <c r="AM219" s="1"/>
      <c r="AN219" s="1"/>
      <c r="AO219" s="1"/>
      <c r="AP219" s="247"/>
      <c r="AQ219" s="247"/>
      <c r="AR219" s="247"/>
      <c r="AS219" s="247"/>
      <c r="AT219" s="247"/>
      <c r="AU219" s="247"/>
      <c r="AV219" s="247"/>
      <c r="AW219" s="247"/>
      <c r="AX219" s="247"/>
      <c r="AY219" s="247"/>
      <c r="AZ219" s="247"/>
      <c r="BA219" s="247"/>
      <c r="BB219" s="247"/>
      <c r="BC219" s="247"/>
      <c r="BD219" s="247"/>
      <c r="BE219" s="247"/>
      <c r="BF219" s="247"/>
      <c r="BG219" s="247"/>
      <c r="BH219" s="247"/>
      <c r="BI219" s="247"/>
      <c r="BJ219" s="247"/>
      <c r="BK219" s="247"/>
      <c r="BL219" s="247"/>
      <c r="BM219" s="247"/>
      <c r="BN219" s="247"/>
      <c r="BO219" s="247"/>
      <c r="BP219" s="247"/>
      <c r="BQ219" s="247"/>
      <c r="BR219" s="247"/>
      <c r="BS219" s="247"/>
      <c r="BT219" s="247"/>
      <c r="BU219" s="247"/>
      <c r="BV219" s="247"/>
      <c r="BW219" s="247"/>
      <c r="BX219" s="247"/>
      <c r="BY219" s="247"/>
      <c r="BZ219" s="247"/>
      <c r="CA219" s="247"/>
      <c r="CB219" s="247"/>
      <c r="CC219" s="247"/>
      <c r="CD219" s="247"/>
      <c r="CE219" s="247"/>
    </row>
    <row r="220" spans="1:83" s="314" customFormat="1" ht="30" customHeight="1" x14ac:dyDescent="0.25">
      <c r="A220" s="923"/>
      <c r="B220" s="902"/>
      <c r="C220" s="891"/>
      <c r="D220" s="335" t="s">
        <v>38</v>
      </c>
      <c r="E220" s="220">
        <f>246589276.333333/64.9*20.4</f>
        <v>77510342.637904346</v>
      </c>
      <c r="F220" s="220">
        <v>145894863.5</v>
      </c>
      <c r="G220" s="220">
        <f>246589276.333333/64.9*20.4</f>
        <v>77510342.637904346</v>
      </c>
      <c r="H220" s="546">
        <v>77510342.637904346</v>
      </c>
      <c r="I220" s="220"/>
      <c r="J220" s="220"/>
      <c r="K220" s="220">
        <f>(181417759-759905)/2</f>
        <v>90328927</v>
      </c>
      <c r="L220" s="581">
        <f>+H220/H228*246589276.33</f>
        <v>77510342.63685669</v>
      </c>
      <c r="M220" s="581"/>
      <c r="N220" s="236">
        <f t="shared" si="12"/>
        <v>77510342.63685669</v>
      </c>
      <c r="O220" s="236"/>
      <c r="P220" s="220"/>
      <c r="Q220" s="891"/>
      <c r="R220" s="891"/>
      <c r="S220" s="891"/>
      <c r="T220" s="891"/>
      <c r="U220" s="891"/>
      <c r="V220" s="891">
        <v>161</v>
      </c>
      <c r="W220" s="891">
        <v>89</v>
      </c>
      <c r="X220" s="891"/>
      <c r="Y220" s="891"/>
      <c r="Z220" s="891"/>
      <c r="AA220" s="999"/>
      <c r="AB220" s="1"/>
      <c r="AC220" s="1"/>
      <c r="AD220" s="1"/>
      <c r="AE220" s="1"/>
      <c r="AF220" s="1"/>
      <c r="AG220" s="1"/>
      <c r="AH220" s="1"/>
      <c r="AI220" s="1"/>
      <c r="AJ220" s="1"/>
      <c r="AK220" s="1"/>
      <c r="AL220" s="1"/>
      <c r="AM220" s="1"/>
      <c r="AN220" s="1"/>
      <c r="AO220" s="1"/>
      <c r="AP220" s="247"/>
      <c r="AQ220" s="247"/>
      <c r="AR220" s="247"/>
      <c r="AS220" s="247"/>
      <c r="AT220" s="247"/>
      <c r="AU220" s="247"/>
      <c r="AV220" s="247"/>
      <c r="AW220" s="247"/>
      <c r="AX220" s="247"/>
      <c r="AY220" s="247"/>
      <c r="AZ220" s="247"/>
      <c r="BA220" s="247"/>
      <c r="BB220" s="247"/>
      <c r="BC220" s="247"/>
      <c r="BD220" s="247"/>
      <c r="BE220" s="247"/>
      <c r="BF220" s="247"/>
      <c r="BG220" s="247"/>
      <c r="BH220" s="247"/>
      <c r="BI220" s="247"/>
      <c r="BJ220" s="247"/>
      <c r="BK220" s="247"/>
      <c r="BL220" s="247"/>
      <c r="BM220" s="247"/>
      <c r="BN220" s="247"/>
      <c r="BO220" s="247"/>
      <c r="BP220" s="247"/>
      <c r="BQ220" s="247"/>
      <c r="BR220" s="247"/>
      <c r="BS220" s="247"/>
      <c r="BT220" s="247"/>
      <c r="BU220" s="247"/>
      <c r="BV220" s="247"/>
      <c r="BW220" s="247"/>
      <c r="BX220" s="247"/>
      <c r="BY220" s="247"/>
      <c r="BZ220" s="247"/>
      <c r="CA220" s="247"/>
      <c r="CB220" s="247"/>
      <c r="CC220" s="247"/>
      <c r="CD220" s="247"/>
      <c r="CE220" s="247"/>
    </row>
    <row r="221" spans="1:83" s="314" customFormat="1" ht="24" customHeight="1" x14ac:dyDescent="0.25">
      <c r="A221" s="923"/>
      <c r="B221" s="902"/>
      <c r="C221" s="891" t="s">
        <v>356</v>
      </c>
      <c r="D221" s="335" t="s">
        <v>34</v>
      </c>
      <c r="E221" s="215">
        <v>2.5</v>
      </c>
      <c r="F221" s="215">
        <v>0.2</v>
      </c>
      <c r="G221" s="215">
        <v>2.5</v>
      </c>
      <c r="H221" s="509">
        <v>2.5</v>
      </c>
      <c r="I221" s="215"/>
      <c r="J221" s="310"/>
      <c r="K221" s="243">
        <v>0.26</v>
      </c>
      <c r="L221" s="215">
        <v>0.72</v>
      </c>
      <c r="M221" s="215"/>
      <c r="N221" s="236">
        <f t="shared" si="12"/>
        <v>0.72</v>
      </c>
      <c r="O221" s="229"/>
      <c r="P221" s="310"/>
      <c r="Q221" s="891" t="s">
        <v>349</v>
      </c>
      <c r="R221" s="891"/>
      <c r="S221" s="891" t="s">
        <v>372</v>
      </c>
      <c r="T221" s="891" t="s">
        <v>531</v>
      </c>
      <c r="U221" s="891" t="s">
        <v>358</v>
      </c>
      <c r="V221" s="891">
        <v>3315</v>
      </c>
      <c r="W221" s="891">
        <v>3078</v>
      </c>
      <c r="X221" s="891" t="s">
        <v>231</v>
      </c>
      <c r="Y221" s="891" t="s">
        <v>225</v>
      </c>
      <c r="Z221" s="891" t="s">
        <v>232</v>
      </c>
      <c r="AA221" s="999" t="s">
        <v>375</v>
      </c>
      <c r="AB221" s="1"/>
      <c r="AC221" s="1"/>
      <c r="AD221" s="1"/>
      <c r="AE221" s="1"/>
      <c r="AF221" s="1"/>
      <c r="AG221" s="1"/>
      <c r="AH221" s="1"/>
      <c r="AI221" s="1"/>
      <c r="AJ221" s="1"/>
      <c r="AK221" s="1"/>
      <c r="AL221" s="1"/>
      <c r="AM221" s="1"/>
      <c r="AN221" s="1"/>
      <c r="AO221" s="1"/>
      <c r="AP221" s="247"/>
      <c r="AQ221" s="247"/>
      <c r="AR221" s="247"/>
      <c r="AS221" s="247"/>
      <c r="AT221" s="247"/>
      <c r="AU221" s="247"/>
      <c r="AV221" s="247"/>
      <c r="AW221" s="247"/>
      <c r="AX221" s="247"/>
      <c r="AY221" s="247"/>
      <c r="AZ221" s="247"/>
      <c r="BA221" s="247"/>
      <c r="BB221" s="247"/>
      <c r="BC221" s="247"/>
      <c r="BD221" s="247"/>
      <c r="BE221" s="247"/>
      <c r="BF221" s="247"/>
      <c r="BG221" s="247"/>
      <c r="BH221" s="247"/>
      <c r="BI221" s="247"/>
      <c r="BJ221" s="247"/>
      <c r="BK221" s="247"/>
      <c r="BL221" s="247"/>
      <c r="BM221" s="247"/>
      <c r="BN221" s="247"/>
      <c r="BO221" s="247"/>
      <c r="BP221" s="247"/>
      <c r="BQ221" s="247"/>
      <c r="BR221" s="247"/>
      <c r="BS221" s="247"/>
      <c r="BT221" s="247"/>
      <c r="BU221" s="247"/>
      <c r="BV221" s="247"/>
      <c r="BW221" s="247"/>
      <c r="BX221" s="247"/>
      <c r="BY221" s="247"/>
      <c r="BZ221" s="247"/>
      <c r="CA221" s="247"/>
      <c r="CB221" s="247"/>
      <c r="CC221" s="247"/>
      <c r="CD221" s="247"/>
      <c r="CE221" s="247"/>
    </row>
    <row r="222" spans="1:83" s="314" customFormat="1" ht="24" customHeight="1" x14ac:dyDescent="0.25">
      <c r="A222" s="923"/>
      <c r="B222" s="902"/>
      <c r="C222" s="891"/>
      <c r="D222" s="335" t="s">
        <v>36</v>
      </c>
      <c r="E222" s="207">
        <f>584994000/90*E221</f>
        <v>16249833.333333332</v>
      </c>
      <c r="F222" s="207">
        <v>65137410.666666701</v>
      </c>
      <c r="G222" s="207">
        <f>584994000/90*G221</f>
        <v>16249833.333333332</v>
      </c>
      <c r="H222" s="508">
        <v>16249833.333333332</v>
      </c>
      <c r="I222" s="214"/>
      <c r="J222" s="214"/>
      <c r="K222" s="207">
        <v>16249833</v>
      </c>
      <c r="L222" s="581">
        <f>106356200/3+11103400+98762394*L221/L225</f>
        <v>47349802.275245756</v>
      </c>
      <c r="M222" s="581"/>
      <c r="N222" s="236">
        <f t="shared" si="12"/>
        <v>47349802.275245756</v>
      </c>
      <c r="O222" s="236"/>
      <c r="P222" s="214"/>
      <c r="Q222" s="891"/>
      <c r="R222" s="891"/>
      <c r="S222" s="891"/>
      <c r="T222" s="891"/>
      <c r="U222" s="891"/>
      <c r="V222" s="891">
        <v>3315</v>
      </c>
      <c r="W222" s="891">
        <v>3078</v>
      </c>
      <c r="X222" s="891"/>
      <c r="Y222" s="891"/>
      <c r="Z222" s="891"/>
      <c r="AA222" s="999"/>
      <c r="AB222" s="1"/>
      <c r="AC222" s="1"/>
      <c r="AD222" s="1"/>
      <c r="AE222" s="1"/>
      <c r="AF222" s="1"/>
      <c r="AG222" s="1"/>
      <c r="AH222" s="1"/>
      <c r="AI222" s="1"/>
      <c r="AJ222" s="1"/>
      <c r="AK222" s="1"/>
      <c r="AL222" s="1"/>
      <c r="AM222" s="1"/>
      <c r="AN222" s="1"/>
      <c r="AO222" s="1"/>
      <c r="AP222" s="247"/>
      <c r="AQ222" s="247"/>
      <c r="AR222" s="247"/>
      <c r="AS222" s="247"/>
      <c r="AT222" s="247"/>
      <c r="AU222" s="247"/>
      <c r="AV222" s="247"/>
      <c r="AW222" s="247"/>
      <c r="AX222" s="247"/>
      <c r="AY222" s="247"/>
      <c r="AZ222" s="247"/>
      <c r="BA222" s="247"/>
      <c r="BB222" s="247"/>
      <c r="BC222" s="247"/>
      <c r="BD222" s="247"/>
      <c r="BE222" s="247"/>
      <c r="BF222" s="247"/>
      <c r="BG222" s="247"/>
      <c r="BH222" s="247"/>
      <c r="BI222" s="247"/>
      <c r="BJ222" s="247"/>
      <c r="BK222" s="247"/>
      <c r="BL222" s="247"/>
      <c r="BM222" s="247"/>
      <c r="BN222" s="247"/>
      <c r="BO222" s="247"/>
      <c r="BP222" s="247"/>
      <c r="BQ222" s="247"/>
      <c r="BR222" s="247"/>
      <c r="BS222" s="247"/>
      <c r="BT222" s="247"/>
      <c r="BU222" s="247"/>
      <c r="BV222" s="247"/>
      <c r="BW222" s="247"/>
      <c r="BX222" s="247"/>
      <c r="BY222" s="247"/>
      <c r="BZ222" s="247"/>
      <c r="CA222" s="247"/>
      <c r="CB222" s="247"/>
      <c r="CC222" s="247"/>
      <c r="CD222" s="247"/>
      <c r="CE222" s="247"/>
    </row>
    <row r="223" spans="1:83" s="314" customFormat="1" ht="24" customHeight="1" x14ac:dyDescent="0.25">
      <c r="A223" s="923"/>
      <c r="B223" s="902"/>
      <c r="C223" s="891"/>
      <c r="D223" s="335" t="s">
        <v>37</v>
      </c>
      <c r="E223" s="244"/>
      <c r="F223" s="244"/>
      <c r="G223" s="244"/>
      <c r="H223" s="608"/>
      <c r="I223" s="244"/>
      <c r="J223" s="244"/>
      <c r="K223" s="236"/>
      <c r="L223" s="581"/>
      <c r="M223" s="581"/>
      <c r="N223" s="236">
        <f t="shared" si="12"/>
        <v>0</v>
      </c>
      <c r="O223" s="236"/>
      <c r="P223" s="244"/>
      <c r="Q223" s="891"/>
      <c r="R223" s="891"/>
      <c r="S223" s="891"/>
      <c r="T223" s="891"/>
      <c r="U223" s="891"/>
      <c r="V223" s="891">
        <v>3315</v>
      </c>
      <c r="W223" s="891">
        <v>3078</v>
      </c>
      <c r="X223" s="891"/>
      <c r="Y223" s="891"/>
      <c r="Z223" s="891"/>
      <c r="AA223" s="999"/>
      <c r="AB223" s="1"/>
      <c r="AC223" s="1"/>
      <c r="AD223" s="1"/>
      <c r="AE223" s="1"/>
      <c r="AF223" s="1"/>
      <c r="AG223" s="1"/>
      <c r="AH223" s="1"/>
      <c r="AI223" s="1"/>
      <c r="AJ223" s="1"/>
      <c r="AK223" s="1"/>
      <c r="AL223" s="1"/>
      <c r="AM223" s="1"/>
      <c r="AN223" s="1"/>
      <c r="AO223" s="1"/>
      <c r="AP223" s="247"/>
      <c r="AQ223" s="247"/>
      <c r="AR223" s="247"/>
      <c r="AS223" s="247"/>
      <c r="AT223" s="247"/>
      <c r="AU223" s="247"/>
      <c r="AV223" s="247"/>
      <c r="AW223" s="247"/>
      <c r="AX223" s="247"/>
      <c r="AY223" s="247"/>
      <c r="AZ223" s="247"/>
      <c r="BA223" s="247"/>
      <c r="BB223" s="247"/>
      <c r="BC223" s="247"/>
      <c r="BD223" s="247"/>
      <c r="BE223" s="247"/>
      <c r="BF223" s="247"/>
      <c r="BG223" s="247"/>
      <c r="BH223" s="247"/>
      <c r="BI223" s="247"/>
      <c r="BJ223" s="247"/>
      <c r="BK223" s="247"/>
      <c r="BL223" s="247"/>
      <c r="BM223" s="247"/>
      <c r="BN223" s="247"/>
      <c r="BO223" s="247"/>
      <c r="BP223" s="247"/>
      <c r="BQ223" s="247"/>
      <c r="BR223" s="247"/>
      <c r="BS223" s="247"/>
      <c r="BT223" s="247"/>
      <c r="BU223" s="247"/>
      <c r="BV223" s="247"/>
      <c r="BW223" s="247"/>
      <c r="BX223" s="247"/>
      <c r="BY223" s="247"/>
      <c r="BZ223" s="247"/>
      <c r="CA223" s="247"/>
      <c r="CB223" s="247"/>
      <c r="CC223" s="247"/>
      <c r="CD223" s="247"/>
      <c r="CE223" s="247"/>
    </row>
    <row r="224" spans="1:83" s="314" customFormat="1" ht="24" customHeight="1" x14ac:dyDescent="0.25">
      <c r="A224" s="923"/>
      <c r="B224" s="902"/>
      <c r="C224" s="891"/>
      <c r="D224" s="335" t="s">
        <v>38</v>
      </c>
      <c r="E224" s="220">
        <f>246589276.333333/64.9*0.2</f>
        <v>759905.31997945439</v>
      </c>
      <c r="F224" s="220"/>
      <c r="G224" s="220">
        <f>246589276.333333/64.9*0.2</f>
        <v>759905.31997945439</v>
      </c>
      <c r="H224" s="546">
        <v>759905.31997945439</v>
      </c>
      <c r="I224" s="218"/>
      <c r="J224" s="218"/>
      <c r="K224" s="236">
        <v>759905</v>
      </c>
      <c r="L224" s="581">
        <f>+H224/H228*246589276.33</f>
        <v>759905.31996918342</v>
      </c>
      <c r="M224" s="581"/>
      <c r="N224" s="236">
        <f t="shared" si="12"/>
        <v>759905.31996918342</v>
      </c>
      <c r="O224" s="236"/>
      <c r="P224" s="218"/>
      <c r="Q224" s="891"/>
      <c r="R224" s="891"/>
      <c r="S224" s="891"/>
      <c r="T224" s="891"/>
      <c r="U224" s="891"/>
      <c r="V224" s="891">
        <v>3315</v>
      </c>
      <c r="W224" s="891">
        <v>3078</v>
      </c>
      <c r="X224" s="891"/>
      <c r="Y224" s="891"/>
      <c r="Z224" s="891"/>
      <c r="AA224" s="999"/>
      <c r="AB224" s="1"/>
      <c r="AC224" s="1"/>
      <c r="AD224" s="1"/>
      <c r="AE224" s="1"/>
      <c r="AF224" s="1"/>
      <c r="AG224" s="1"/>
      <c r="AH224" s="1"/>
      <c r="AI224" s="1"/>
      <c r="AJ224" s="1"/>
      <c r="AK224" s="1"/>
      <c r="AL224" s="1"/>
      <c r="AM224" s="1"/>
      <c r="AN224" s="1"/>
      <c r="AO224" s="1"/>
      <c r="AP224" s="247"/>
      <c r="AQ224" s="247"/>
      <c r="AR224" s="247"/>
      <c r="AS224" s="247"/>
      <c r="AT224" s="247"/>
      <c r="AU224" s="247"/>
      <c r="AV224" s="247"/>
      <c r="AW224" s="247"/>
      <c r="AX224" s="247"/>
      <c r="AY224" s="247"/>
      <c r="AZ224" s="247"/>
      <c r="BA224" s="247"/>
      <c r="BB224" s="247"/>
      <c r="BC224" s="247"/>
      <c r="BD224" s="247"/>
      <c r="BE224" s="247"/>
      <c r="BF224" s="247"/>
      <c r="BG224" s="247"/>
      <c r="BH224" s="247"/>
      <c r="BI224" s="247"/>
      <c r="BJ224" s="247"/>
      <c r="BK224" s="247"/>
      <c r="BL224" s="247"/>
      <c r="BM224" s="247"/>
      <c r="BN224" s="247"/>
      <c r="BO224" s="247"/>
      <c r="BP224" s="247"/>
      <c r="BQ224" s="247"/>
      <c r="BR224" s="247"/>
      <c r="BS224" s="247"/>
      <c r="BT224" s="247"/>
      <c r="BU224" s="247"/>
      <c r="BV224" s="247"/>
      <c r="BW224" s="247"/>
      <c r="BX224" s="247"/>
      <c r="BY224" s="247"/>
      <c r="BZ224" s="247"/>
      <c r="CA224" s="247"/>
      <c r="CB224" s="247"/>
      <c r="CC224" s="247"/>
      <c r="CD224" s="247"/>
      <c r="CE224" s="247"/>
    </row>
    <row r="225" spans="1:83" s="314" customFormat="1" ht="24" customHeight="1" x14ac:dyDescent="0.25">
      <c r="A225" s="923"/>
      <c r="B225" s="902"/>
      <c r="C225" s="891" t="s">
        <v>406</v>
      </c>
      <c r="D225" s="335" t="s">
        <v>34</v>
      </c>
      <c r="E225" s="312">
        <f>E213+E217+E221</f>
        <v>90</v>
      </c>
      <c r="F225" s="312">
        <v>64.899999999999991</v>
      </c>
      <c r="G225" s="312">
        <f t="shared" ref="G225:G228" si="15">G213+G217+G221</f>
        <v>90</v>
      </c>
      <c r="H225" s="509">
        <v>90</v>
      </c>
      <c r="I225" s="312">
        <f t="shared" ref="I225:L228" si="16">I213+I217+I221</f>
        <v>0</v>
      </c>
      <c r="J225" s="312">
        <f t="shared" si="16"/>
        <v>0</v>
      </c>
      <c r="K225" s="482">
        <f t="shared" si="16"/>
        <v>68.550000000000011</v>
      </c>
      <c r="L225" s="609">
        <v>89.52</v>
      </c>
      <c r="M225" s="311">
        <v>89.52</v>
      </c>
      <c r="N225" s="236">
        <f t="shared" si="12"/>
        <v>0</v>
      </c>
      <c r="O225" s="311"/>
      <c r="P225" s="312"/>
      <c r="Q225" s="218"/>
      <c r="R225" s="218"/>
      <c r="S225" s="218"/>
      <c r="T225" s="218"/>
      <c r="U225" s="218"/>
      <c r="V225" s="218"/>
      <c r="W225" s="218"/>
      <c r="X225" s="218"/>
      <c r="Y225" s="218"/>
      <c r="Z225" s="218"/>
      <c r="AA225" s="289"/>
      <c r="AB225" s="1"/>
      <c r="AC225" s="1"/>
      <c r="AD225" s="1"/>
      <c r="AE225" s="1"/>
      <c r="AF225" s="1"/>
      <c r="AG225" s="1"/>
      <c r="AH225" s="1"/>
      <c r="AI225" s="1"/>
      <c r="AJ225" s="1"/>
      <c r="AK225" s="1"/>
      <c r="AL225" s="1"/>
      <c r="AM225" s="1"/>
      <c r="AN225" s="1"/>
      <c r="AO225" s="1"/>
      <c r="AP225" s="247"/>
      <c r="AQ225" s="247"/>
      <c r="AR225" s="247"/>
      <c r="AS225" s="247"/>
      <c r="AT225" s="247"/>
      <c r="AU225" s="247"/>
      <c r="AV225" s="247"/>
      <c r="AW225" s="247"/>
      <c r="AX225" s="247"/>
      <c r="AY225" s="247"/>
      <c r="AZ225" s="247"/>
      <c r="BA225" s="247"/>
      <c r="BB225" s="247"/>
      <c r="BC225" s="247"/>
      <c r="BD225" s="247"/>
      <c r="BE225" s="247"/>
      <c r="BF225" s="247"/>
      <c r="BG225" s="247"/>
      <c r="BH225" s="247"/>
      <c r="BI225" s="247"/>
      <c r="BJ225" s="247"/>
      <c r="BK225" s="247"/>
      <c r="BL225" s="247"/>
      <c r="BM225" s="247"/>
      <c r="BN225" s="247"/>
      <c r="BO225" s="247"/>
      <c r="BP225" s="247"/>
      <c r="BQ225" s="247"/>
      <c r="BR225" s="247"/>
      <c r="BS225" s="247"/>
      <c r="BT225" s="247"/>
      <c r="BU225" s="247"/>
      <c r="BV225" s="247"/>
      <c r="BW225" s="247"/>
      <c r="BX225" s="247"/>
      <c r="BY225" s="247"/>
      <c r="BZ225" s="247"/>
      <c r="CA225" s="247"/>
      <c r="CB225" s="247"/>
      <c r="CC225" s="247"/>
      <c r="CD225" s="247"/>
      <c r="CE225" s="247"/>
    </row>
    <row r="226" spans="1:83" s="314" customFormat="1" ht="24" customHeight="1" x14ac:dyDescent="0.25">
      <c r="A226" s="923"/>
      <c r="B226" s="902"/>
      <c r="C226" s="891"/>
      <c r="D226" s="335" t="s">
        <v>36</v>
      </c>
      <c r="E226" s="218">
        <f>E214+E218+E222</f>
        <v>584994000</v>
      </c>
      <c r="F226" s="218">
        <v>357815020.00000006</v>
      </c>
      <c r="G226" s="218">
        <f t="shared" si="15"/>
        <v>584994000</v>
      </c>
      <c r="H226" s="544">
        <v>584994000</v>
      </c>
      <c r="I226" s="218">
        <f t="shared" si="16"/>
        <v>0</v>
      </c>
      <c r="J226" s="218">
        <f t="shared" si="16"/>
        <v>0</v>
      </c>
      <c r="K226" s="218">
        <f t="shared" si="16"/>
        <v>91494900</v>
      </c>
      <c r="L226" s="581">
        <f t="shared" si="16"/>
        <v>265754694</v>
      </c>
      <c r="M226" s="581">
        <v>265754694</v>
      </c>
      <c r="N226" s="236">
        <f t="shared" si="12"/>
        <v>0</v>
      </c>
      <c r="O226" s="218"/>
      <c r="P226" s="218"/>
      <c r="Q226" s="218"/>
      <c r="R226" s="218"/>
      <c r="S226" s="218"/>
      <c r="T226" s="218"/>
      <c r="U226" s="218"/>
      <c r="V226" s="218"/>
      <c r="W226" s="218"/>
      <c r="X226" s="218"/>
      <c r="Y226" s="218"/>
      <c r="Z226" s="218"/>
      <c r="AA226" s="289"/>
      <c r="AB226" s="1"/>
      <c r="AC226" s="1"/>
      <c r="AD226" s="1"/>
      <c r="AE226" s="1"/>
      <c r="AF226" s="1"/>
      <c r="AG226" s="1"/>
      <c r="AH226" s="1"/>
      <c r="AI226" s="1"/>
      <c r="AJ226" s="1"/>
      <c r="AK226" s="1"/>
      <c r="AL226" s="1"/>
      <c r="AM226" s="1"/>
      <c r="AN226" s="1"/>
      <c r="AO226" s="1"/>
      <c r="AP226" s="247"/>
      <c r="AQ226" s="247"/>
      <c r="AR226" s="247"/>
      <c r="AS226" s="247"/>
      <c r="AT226" s="247"/>
      <c r="AU226" s="247"/>
      <c r="AV226" s="247"/>
      <c r="AW226" s="247"/>
      <c r="AX226" s="247"/>
      <c r="AY226" s="247"/>
      <c r="AZ226" s="247"/>
      <c r="BA226" s="247"/>
      <c r="BB226" s="247"/>
      <c r="BC226" s="247"/>
      <c r="BD226" s="247"/>
      <c r="BE226" s="247"/>
      <c r="BF226" s="247"/>
      <c r="BG226" s="247"/>
      <c r="BH226" s="247"/>
      <c r="BI226" s="247"/>
      <c r="BJ226" s="247"/>
      <c r="BK226" s="247"/>
      <c r="BL226" s="247"/>
      <c r="BM226" s="247"/>
      <c r="BN226" s="247"/>
      <c r="BO226" s="247"/>
      <c r="BP226" s="247"/>
      <c r="BQ226" s="247"/>
      <c r="BR226" s="247"/>
      <c r="BS226" s="247"/>
      <c r="BT226" s="247"/>
      <c r="BU226" s="247"/>
      <c r="BV226" s="247"/>
      <c r="BW226" s="247"/>
      <c r="BX226" s="247"/>
      <c r="BY226" s="247"/>
      <c r="BZ226" s="247"/>
      <c r="CA226" s="247"/>
      <c r="CB226" s="247"/>
      <c r="CC226" s="247"/>
      <c r="CD226" s="247"/>
      <c r="CE226" s="247"/>
    </row>
    <row r="227" spans="1:83" s="314" customFormat="1" ht="24" customHeight="1" x14ac:dyDescent="0.25">
      <c r="A227" s="923"/>
      <c r="B227" s="902"/>
      <c r="C227" s="891"/>
      <c r="D227" s="335" t="s">
        <v>37</v>
      </c>
      <c r="E227" s="313">
        <f>E215+E219+E223</f>
        <v>0</v>
      </c>
      <c r="F227" s="313">
        <v>0</v>
      </c>
      <c r="G227" s="313">
        <f t="shared" si="15"/>
        <v>0</v>
      </c>
      <c r="H227" s="610">
        <v>0</v>
      </c>
      <c r="I227" s="313">
        <f t="shared" si="16"/>
        <v>0</v>
      </c>
      <c r="J227" s="313">
        <f t="shared" si="16"/>
        <v>0</v>
      </c>
      <c r="K227" s="313">
        <f t="shared" si="16"/>
        <v>0</v>
      </c>
      <c r="L227" s="313"/>
      <c r="M227" s="313"/>
      <c r="N227" s="236">
        <f t="shared" si="12"/>
        <v>0</v>
      </c>
      <c r="O227" s="313"/>
      <c r="P227" s="313"/>
      <c r="Q227" s="218"/>
      <c r="R227" s="218"/>
      <c r="S227" s="218"/>
      <c r="T227" s="218"/>
      <c r="U227" s="218"/>
      <c r="V227" s="218"/>
      <c r="W227" s="218"/>
      <c r="X227" s="218"/>
      <c r="Y227" s="218"/>
      <c r="Z227" s="218"/>
      <c r="AA227" s="289"/>
      <c r="AB227" s="1"/>
      <c r="AC227" s="1"/>
      <c r="AD227" s="1"/>
      <c r="AE227" s="1"/>
      <c r="AF227" s="1"/>
      <c r="AG227" s="1"/>
      <c r="AH227" s="1"/>
      <c r="AI227" s="1"/>
      <c r="AJ227" s="1"/>
      <c r="AK227" s="1"/>
      <c r="AL227" s="1"/>
      <c r="AM227" s="1"/>
      <c r="AN227" s="1"/>
      <c r="AO227" s="1"/>
      <c r="AP227" s="247"/>
      <c r="AQ227" s="247"/>
      <c r="AR227" s="247"/>
      <c r="AS227" s="247"/>
      <c r="AT227" s="247"/>
      <c r="AU227" s="247"/>
      <c r="AV227" s="247"/>
      <c r="AW227" s="247"/>
      <c r="AX227" s="247"/>
      <c r="AY227" s="247"/>
      <c r="AZ227" s="247"/>
      <c r="BA227" s="247"/>
      <c r="BB227" s="247"/>
      <c r="BC227" s="247"/>
      <c r="BD227" s="247"/>
      <c r="BE227" s="247"/>
      <c r="BF227" s="247"/>
      <c r="BG227" s="247"/>
      <c r="BH227" s="247"/>
      <c r="BI227" s="247"/>
      <c r="BJ227" s="247"/>
      <c r="BK227" s="247"/>
      <c r="BL227" s="247"/>
      <c r="BM227" s="247"/>
      <c r="BN227" s="247"/>
      <c r="BO227" s="247"/>
      <c r="BP227" s="247"/>
      <c r="BQ227" s="247"/>
      <c r="BR227" s="247"/>
      <c r="BS227" s="247"/>
      <c r="BT227" s="247"/>
      <c r="BU227" s="247"/>
      <c r="BV227" s="247"/>
      <c r="BW227" s="247"/>
      <c r="BX227" s="247"/>
      <c r="BY227" s="247"/>
      <c r="BZ227" s="247"/>
      <c r="CA227" s="247"/>
      <c r="CB227" s="247"/>
      <c r="CC227" s="247"/>
      <c r="CD227" s="247"/>
      <c r="CE227" s="247"/>
    </row>
    <row r="228" spans="1:83" s="314" customFormat="1" ht="24" customHeight="1" thickBot="1" x14ac:dyDescent="0.3">
      <c r="A228" s="924"/>
      <c r="B228" s="903"/>
      <c r="C228" s="911"/>
      <c r="D228" s="468" t="s">
        <v>38</v>
      </c>
      <c r="E228" s="219">
        <f>E216+E220+E224</f>
        <v>246589276.33333296</v>
      </c>
      <c r="F228" s="219">
        <v>291789727</v>
      </c>
      <c r="G228" s="219">
        <f t="shared" si="15"/>
        <v>246589276.33333296</v>
      </c>
      <c r="H228" s="611">
        <v>246589276.33333296</v>
      </c>
      <c r="I228" s="219">
        <f t="shared" si="16"/>
        <v>0</v>
      </c>
      <c r="J228" s="219">
        <f t="shared" si="16"/>
        <v>0</v>
      </c>
      <c r="K228" s="219">
        <f t="shared" si="16"/>
        <v>181417759</v>
      </c>
      <c r="L228" s="219"/>
      <c r="M228" s="219">
        <v>246589276.32999998</v>
      </c>
      <c r="N228" s="204">
        <f t="shared" ref="N228:N252" si="17">L228-M228</f>
        <v>-246589276.32999998</v>
      </c>
      <c r="O228" s="219"/>
      <c r="P228" s="219"/>
      <c r="Q228" s="219"/>
      <c r="R228" s="219"/>
      <c r="S228" s="219"/>
      <c r="T228" s="219"/>
      <c r="U228" s="219"/>
      <c r="V228" s="219"/>
      <c r="W228" s="219"/>
      <c r="X228" s="219"/>
      <c r="Y228" s="219"/>
      <c r="Z228" s="219"/>
      <c r="AA228" s="290"/>
      <c r="AB228" s="1"/>
      <c r="AC228" s="1"/>
      <c r="AD228" s="1"/>
      <c r="AE228" s="1"/>
      <c r="AF228" s="1"/>
      <c r="AG228" s="1"/>
      <c r="AH228" s="1"/>
      <c r="AI228" s="1"/>
      <c r="AJ228" s="1"/>
      <c r="AK228" s="1"/>
      <c r="AL228" s="1"/>
      <c r="AM228" s="1"/>
      <c r="AN228" s="1"/>
      <c r="AO228" s="1"/>
      <c r="AP228" s="247"/>
      <c r="AQ228" s="247"/>
      <c r="AR228" s="247"/>
      <c r="AS228" s="247"/>
      <c r="AT228" s="247"/>
      <c r="AU228" s="247"/>
      <c r="AV228" s="247"/>
      <c r="AW228" s="247"/>
      <c r="AX228" s="247"/>
      <c r="AY228" s="247"/>
      <c r="AZ228" s="247"/>
      <c r="BA228" s="247"/>
      <c r="BB228" s="247"/>
      <c r="BC228" s="247"/>
      <c r="BD228" s="247"/>
      <c r="BE228" s="247"/>
      <c r="BF228" s="247"/>
      <c r="BG228" s="247"/>
      <c r="BH228" s="247"/>
      <c r="BI228" s="247"/>
      <c r="BJ228" s="247"/>
      <c r="BK228" s="247"/>
      <c r="BL228" s="247"/>
      <c r="BM228" s="247"/>
      <c r="BN228" s="247"/>
      <c r="BO228" s="247"/>
      <c r="BP228" s="247"/>
      <c r="BQ228" s="247"/>
      <c r="BR228" s="247"/>
      <c r="BS228" s="247"/>
      <c r="BT228" s="247"/>
      <c r="BU228" s="247"/>
      <c r="BV228" s="247"/>
      <c r="BW228" s="247"/>
      <c r="BX228" s="247"/>
      <c r="BY228" s="247"/>
      <c r="BZ228" s="247"/>
      <c r="CA228" s="247"/>
      <c r="CB228" s="247"/>
      <c r="CC228" s="247"/>
      <c r="CD228" s="247"/>
      <c r="CE228" s="247"/>
    </row>
    <row r="229" spans="1:83" s="314" customFormat="1" ht="24" customHeight="1" x14ac:dyDescent="0.25">
      <c r="A229" s="977">
        <v>18</v>
      </c>
      <c r="B229" s="901" t="s">
        <v>178</v>
      </c>
      <c r="C229" s="912" t="s">
        <v>359</v>
      </c>
      <c r="D229" s="484" t="s">
        <v>34</v>
      </c>
      <c r="E229" s="209">
        <v>2</v>
      </c>
      <c r="F229" s="209">
        <v>1.5</v>
      </c>
      <c r="G229" s="209">
        <v>2</v>
      </c>
      <c r="H229" s="476">
        <v>2</v>
      </c>
      <c r="I229" s="209"/>
      <c r="J229" s="209"/>
      <c r="K229" s="209">
        <v>1.63</v>
      </c>
      <c r="L229" s="212">
        <v>1.75</v>
      </c>
      <c r="M229" s="212">
        <v>1.75</v>
      </c>
      <c r="N229" s="264">
        <f t="shared" si="17"/>
        <v>0</v>
      </c>
      <c r="O229" s="612"/>
      <c r="P229" s="209"/>
      <c r="Q229" s="925" t="s">
        <v>338</v>
      </c>
      <c r="R229" s="908"/>
      <c r="S229" s="892"/>
      <c r="T229" s="908"/>
      <c r="U229" s="895" t="s">
        <v>360</v>
      </c>
      <c r="V229" s="892">
        <f>7642+25783+90671+55281</f>
        <v>179377</v>
      </c>
      <c r="W229" s="892">
        <f>8345+26161+94442+57747</f>
        <v>186695</v>
      </c>
      <c r="X229" s="892" t="s">
        <v>231</v>
      </c>
      <c r="Y229" s="892" t="s">
        <v>225</v>
      </c>
      <c r="Z229" s="892" t="s">
        <v>232</v>
      </c>
      <c r="AA229" s="984">
        <f>+V229+W229</f>
        <v>366072</v>
      </c>
      <c r="AB229" s="1"/>
      <c r="AC229" s="1"/>
      <c r="AD229" s="1"/>
      <c r="AE229" s="1"/>
      <c r="AF229" s="1"/>
      <c r="AG229" s="1"/>
      <c r="AH229" s="1"/>
      <c r="AI229" s="1"/>
      <c r="AJ229" s="1"/>
      <c r="AK229" s="1"/>
      <c r="AL229" s="1"/>
      <c r="AM229" s="1"/>
      <c r="AN229" s="1"/>
      <c r="AO229" s="1"/>
      <c r="AP229" s="247"/>
      <c r="AQ229" s="247"/>
      <c r="AR229" s="247"/>
      <c r="AS229" s="247"/>
      <c r="AT229" s="247"/>
      <c r="AU229" s="247"/>
      <c r="AV229" s="247"/>
      <c r="AW229" s="247"/>
      <c r="AX229" s="247"/>
      <c r="AY229" s="247"/>
      <c r="AZ229" s="247"/>
      <c r="BA229" s="247"/>
      <c r="BB229" s="247"/>
      <c r="BC229" s="247"/>
      <c r="BD229" s="247"/>
      <c r="BE229" s="247"/>
      <c r="BF229" s="247"/>
      <c r="BG229" s="247"/>
      <c r="BH229" s="247"/>
      <c r="BI229" s="247"/>
      <c r="BJ229" s="247"/>
      <c r="BK229" s="247"/>
      <c r="BL229" s="247"/>
      <c r="BM229" s="247"/>
      <c r="BN229" s="247"/>
      <c r="BO229" s="247"/>
      <c r="BP229" s="247"/>
      <c r="BQ229" s="247"/>
      <c r="BR229" s="247"/>
      <c r="BS229" s="247"/>
      <c r="BT229" s="247"/>
      <c r="BU229" s="247"/>
      <c r="BV229" s="247"/>
      <c r="BW229" s="247"/>
      <c r="BX229" s="247"/>
      <c r="BY229" s="247"/>
      <c r="BZ229" s="247"/>
      <c r="CA229" s="247"/>
      <c r="CB229" s="247"/>
      <c r="CC229" s="247"/>
      <c r="CD229" s="247"/>
      <c r="CE229" s="247"/>
    </row>
    <row r="230" spans="1:83" s="314" customFormat="1" ht="24" customHeight="1" x14ac:dyDescent="0.25">
      <c r="A230" s="923"/>
      <c r="B230" s="902"/>
      <c r="C230" s="913"/>
      <c r="D230" s="335" t="s">
        <v>36</v>
      </c>
      <c r="E230" s="207">
        <v>58506000</v>
      </c>
      <c r="F230" s="207">
        <v>64280000</v>
      </c>
      <c r="G230" s="207">
        <v>58506000</v>
      </c>
      <c r="H230" s="508">
        <v>58506000</v>
      </c>
      <c r="I230" s="207"/>
      <c r="J230" s="207"/>
      <c r="K230" s="207">
        <v>58323407</v>
      </c>
      <c r="L230" s="214">
        <v>58323407</v>
      </c>
      <c r="M230" s="214">
        <v>58323407</v>
      </c>
      <c r="N230" s="236">
        <f t="shared" si="17"/>
        <v>0</v>
      </c>
      <c r="O230" s="236"/>
      <c r="P230" s="207"/>
      <c r="Q230" s="907"/>
      <c r="R230" s="909"/>
      <c r="S230" s="893"/>
      <c r="T230" s="909"/>
      <c r="U230" s="891"/>
      <c r="V230" s="893"/>
      <c r="W230" s="893"/>
      <c r="X230" s="893"/>
      <c r="Y230" s="893"/>
      <c r="Z230" s="893"/>
      <c r="AA230" s="985"/>
      <c r="AB230" s="1"/>
      <c r="AC230" s="1"/>
      <c r="AD230" s="1"/>
      <c r="AE230" s="1"/>
      <c r="AF230" s="1"/>
      <c r="AG230" s="1"/>
      <c r="AH230" s="1"/>
      <c r="AI230" s="1"/>
      <c r="AJ230" s="1"/>
      <c r="AK230" s="1"/>
      <c r="AL230" s="1"/>
      <c r="AM230" s="1"/>
      <c r="AN230" s="1"/>
      <c r="AO230" s="1"/>
      <c r="AP230" s="247"/>
      <c r="AQ230" s="247"/>
      <c r="AR230" s="247"/>
      <c r="AS230" s="247"/>
      <c r="AT230" s="247"/>
      <c r="AU230" s="247"/>
      <c r="AV230" s="247"/>
      <c r="AW230" s="247"/>
      <c r="AX230" s="247"/>
      <c r="AY230" s="247"/>
      <c r="AZ230" s="247"/>
      <c r="BA230" s="247"/>
      <c r="BB230" s="247"/>
      <c r="BC230" s="247"/>
      <c r="BD230" s="247"/>
      <c r="BE230" s="247"/>
      <c r="BF230" s="247"/>
      <c r="BG230" s="247"/>
      <c r="BH230" s="247"/>
      <c r="BI230" s="247"/>
      <c r="BJ230" s="247"/>
      <c r="BK230" s="247"/>
      <c r="BL230" s="247"/>
      <c r="BM230" s="247"/>
      <c r="BN230" s="247"/>
      <c r="BO230" s="247"/>
      <c r="BP230" s="247"/>
      <c r="BQ230" s="247"/>
      <c r="BR230" s="247"/>
      <c r="BS230" s="247"/>
      <c r="BT230" s="247"/>
      <c r="BU230" s="247"/>
      <c r="BV230" s="247"/>
      <c r="BW230" s="247"/>
      <c r="BX230" s="247"/>
      <c r="BY230" s="247"/>
      <c r="BZ230" s="247"/>
      <c r="CA230" s="247"/>
      <c r="CB230" s="247"/>
      <c r="CC230" s="247"/>
      <c r="CD230" s="247"/>
      <c r="CE230" s="247"/>
    </row>
    <row r="231" spans="1:83" s="314" customFormat="1" ht="24" customHeight="1" x14ac:dyDescent="0.25">
      <c r="A231" s="923"/>
      <c r="B231" s="902"/>
      <c r="C231" s="913"/>
      <c r="D231" s="335" t="s">
        <v>37</v>
      </c>
      <c r="E231" s="207"/>
      <c r="F231" s="207"/>
      <c r="G231" s="207"/>
      <c r="H231" s="508"/>
      <c r="I231" s="207"/>
      <c r="J231" s="207"/>
      <c r="K231" s="207"/>
      <c r="L231" s="214"/>
      <c r="M231" s="214"/>
      <c r="N231" s="236">
        <f t="shared" si="17"/>
        <v>0</v>
      </c>
      <c r="O231" s="236"/>
      <c r="P231" s="207"/>
      <c r="Q231" s="907"/>
      <c r="R231" s="909"/>
      <c r="S231" s="893"/>
      <c r="T231" s="909"/>
      <c r="U231" s="891"/>
      <c r="V231" s="893"/>
      <c r="W231" s="893"/>
      <c r="X231" s="893"/>
      <c r="Y231" s="893"/>
      <c r="Z231" s="893"/>
      <c r="AA231" s="985"/>
      <c r="AB231" s="1"/>
      <c r="AC231" s="1"/>
      <c r="AD231" s="1"/>
      <c r="AE231" s="1"/>
      <c r="AF231" s="1"/>
      <c r="AG231" s="1"/>
      <c r="AH231" s="1"/>
      <c r="AI231" s="1"/>
      <c r="AJ231" s="1"/>
      <c r="AK231" s="1"/>
      <c r="AL231" s="1"/>
      <c r="AM231" s="1"/>
      <c r="AN231" s="1"/>
      <c r="AO231" s="1"/>
      <c r="AP231" s="247"/>
      <c r="AQ231" s="247"/>
      <c r="AR231" s="247"/>
      <c r="AS231" s="247"/>
      <c r="AT231" s="247"/>
      <c r="AU231" s="247"/>
      <c r="AV231" s="247"/>
      <c r="AW231" s="247"/>
      <c r="AX231" s="247"/>
      <c r="AY231" s="247"/>
      <c r="AZ231" s="247"/>
      <c r="BA231" s="247"/>
      <c r="BB231" s="247"/>
      <c r="BC231" s="247"/>
      <c r="BD231" s="247"/>
      <c r="BE231" s="247"/>
      <c r="BF231" s="247"/>
      <c r="BG231" s="247"/>
      <c r="BH231" s="247"/>
      <c r="BI231" s="247"/>
      <c r="BJ231" s="247"/>
      <c r="BK231" s="247"/>
      <c r="BL231" s="247"/>
      <c r="BM231" s="247"/>
      <c r="BN231" s="247"/>
      <c r="BO231" s="247"/>
      <c r="BP231" s="247"/>
      <c r="BQ231" s="247"/>
      <c r="BR231" s="247"/>
      <c r="BS231" s="247"/>
      <c r="BT231" s="247"/>
      <c r="BU231" s="247"/>
      <c r="BV231" s="247"/>
      <c r="BW231" s="247"/>
      <c r="BX231" s="247"/>
      <c r="BY231" s="247"/>
      <c r="BZ231" s="247"/>
      <c r="CA231" s="247"/>
      <c r="CB231" s="247"/>
      <c r="CC231" s="247"/>
      <c r="CD231" s="247"/>
      <c r="CE231" s="247"/>
    </row>
    <row r="232" spans="1:83" s="314" customFormat="1" ht="24" customHeight="1" thickBot="1" x14ac:dyDescent="0.3">
      <c r="A232" s="976"/>
      <c r="B232" s="903"/>
      <c r="C232" s="942"/>
      <c r="D232" s="468" t="s">
        <v>38</v>
      </c>
      <c r="E232" s="477">
        <v>13606333</v>
      </c>
      <c r="F232" s="477">
        <v>6852666</v>
      </c>
      <c r="G232" s="477">
        <v>13606333</v>
      </c>
      <c r="H232" s="535">
        <v>13606333</v>
      </c>
      <c r="I232" s="208"/>
      <c r="J232" s="208"/>
      <c r="K232" s="208">
        <v>13008333</v>
      </c>
      <c r="L232" s="605">
        <v>13606333</v>
      </c>
      <c r="M232" s="605">
        <v>13606333</v>
      </c>
      <c r="N232" s="204">
        <f t="shared" si="17"/>
        <v>0</v>
      </c>
      <c r="O232" s="204"/>
      <c r="P232" s="208"/>
      <c r="Q232" s="944"/>
      <c r="R232" s="910"/>
      <c r="S232" s="894"/>
      <c r="T232" s="910"/>
      <c r="U232" s="911"/>
      <c r="V232" s="894"/>
      <c r="W232" s="894"/>
      <c r="X232" s="894"/>
      <c r="Y232" s="894"/>
      <c r="Z232" s="894"/>
      <c r="AA232" s="986"/>
      <c r="AB232" s="1"/>
      <c r="AC232" s="1"/>
      <c r="AD232" s="1"/>
      <c r="AE232" s="1"/>
      <c r="AF232" s="1"/>
      <c r="AG232" s="1"/>
      <c r="AH232" s="1"/>
      <c r="AI232" s="1"/>
      <c r="AJ232" s="1"/>
      <c r="AK232" s="1"/>
      <c r="AL232" s="1"/>
      <c r="AM232" s="1"/>
      <c r="AN232" s="1"/>
      <c r="AO232" s="1"/>
      <c r="AP232" s="247"/>
      <c r="AQ232" s="247"/>
      <c r="AR232" s="247"/>
      <c r="AS232" s="247"/>
      <c r="AT232" s="247"/>
      <c r="AU232" s="247"/>
      <c r="AV232" s="247"/>
      <c r="AW232" s="247"/>
      <c r="AX232" s="247"/>
      <c r="AY232" s="247"/>
      <c r="AZ232" s="247"/>
      <c r="BA232" s="247"/>
      <c r="BB232" s="247"/>
      <c r="BC232" s="247"/>
      <c r="BD232" s="247"/>
      <c r="BE232" s="247"/>
      <c r="BF232" s="247"/>
      <c r="BG232" s="247"/>
      <c r="BH232" s="247"/>
      <c r="BI232" s="247"/>
      <c r="BJ232" s="247"/>
      <c r="BK232" s="247"/>
      <c r="BL232" s="247"/>
      <c r="BM232" s="247"/>
      <c r="BN232" s="247"/>
      <c r="BO232" s="247"/>
      <c r="BP232" s="247"/>
      <c r="BQ232" s="247"/>
      <c r="BR232" s="247"/>
      <c r="BS232" s="247"/>
      <c r="BT232" s="247"/>
      <c r="BU232" s="247"/>
      <c r="BV232" s="247"/>
      <c r="BW232" s="247"/>
      <c r="BX232" s="247"/>
      <c r="BY232" s="247"/>
      <c r="BZ232" s="247"/>
      <c r="CA232" s="247"/>
      <c r="CB232" s="247"/>
      <c r="CC232" s="247"/>
      <c r="CD232" s="247"/>
      <c r="CE232" s="247"/>
    </row>
    <row r="233" spans="1:83" s="314" customFormat="1" ht="37.5" customHeight="1" x14ac:dyDescent="0.25">
      <c r="A233" s="922">
        <v>19</v>
      </c>
      <c r="B233" s="901" t="s">
        <v>179</v>
      </c>
      <c r="C233" s="904" t="s">
        <v>242</v>
      </c>
      <c r="D233" s="484" t="s">
        <v>34</v>
      </c>
      <c r="E233" s="246">
        <v>1</v>
      </c>
      <c r="F233" s="246">
        <v>1</v>
      </c>
      <c r="G233" s="246">
        <v>1</v>
      </c>
      <c r="H233" s="613">
        <v>1</v>
      </c>
      <c r="I233" s="246"/>
      <c r="J233" s="246"/>
      <c r="K233" s="246">
        <v>1</v>
      </c>
      <c r="L233" s="212">
        <v>1</v>
      </c>
      <c r="M233" s="212">
        <v>1</v>
      </c>
      <c r="N233" s="264">
        <f t="shared" si="17"/>
        <v>0</v>
      </c>
      <c r="O233" s="246"/>
      <c r="P233" s="246"/>
      <c r="Q233" s="925" t="s">
        <v>341</v>
      </c>
      <c r="R233" s="908" t="s">
        <v>341</v>
      </c>
      <c r="S233" s="892" t="s">
        <v>226</v>
      </c>
      <c r="T233" s="908" t="s">
        <v>342</v>
      </c>
      <c r="U233" s="895" t="s">
        <v>343</v>
      </c>
      <c r="V233" s="892">
        <v>3758224</v>
      </c>
      <c r="W233" s="892">
        <v>4018621</v>
      </c>
      <c r="X233" s="892" t="s">
        <v>231</v>
      </c>
      <c r="Y233" s="892" t="s">
        <v>225</v>
      </c>
      <c r="Z233" s="892" t="s">
        <v>232</v>
      </c>
      <c r="AA233" s="984">
        <f>+V233+W233</f>
        <v>7776845</v>
      </c>
      <c r="AB233" s="1"/>
      <c r="AC233" s="1"/>
      <c r="AD233" s="1"/>
      <c r="AE233" s="1"/>
      <c r="AF233" s="1"/>
      <c r="AG233" s="1"/>
      <c r="AH233" s="1"/>
      <c r="AI233" s="1"/>
      <c r="AJ233" s="1"/>
      <c r="AK233" s="1"/>
      <c r="AL233" s="1"/>
      <c r="AM233" s="1"/>
      <c r="AN233" s="1"/>
      <c r="AO233" s="1"/>
      <c r="AP233" s="247"/>
      <c r="AQ233" s="247"/>
      <c r="AR233" s="247"/>
      <c r="AS233" s="247"/>
      <c r="AT233" s="247"/>
      <c r="AU233" s="247"/>
      <c r="AV233" s="247"/>
      <c r="AW233" s="247"/>
      <c r="AX233" s="247"/>
      <c r="AY233" s="247"/>
      <c r="AZ233" s="247"/>
      <c r="BA233" s="247"/>
      <c r="BB233" s="247"/>
      <c r="BC233" s="247"/>
      <c r="BD233" s="247"/>
      <c r="BE233" s="247"/>
      <c r="BF233" s="247"/>
      <c r="BG233" s="247"/>
      <c r="BH233" s="247"/>
      <c r="BI233" s="247"/>
      <c r="BJ233" s="247"/>
      <c r="BK233" s="247"/>
      <c r="BL233" s="247"/>
      <c r="BM233" s="247"/>
      <c r="BN233" s="247"/>
      <c r="BO233" s="247"/>
      <c r="BP233" s="247"/>
      <c r="BQ233" s="247"/>
      <c r="BR233" s="247"/>
      <c r="BS233" s="247"/>
      <c r="BT233" s="247"/>
      <c r="BU233" s="247"/>
      <c r="BV233" s="247"/>
      <c r="BW233" s="247"/>
      <c r="BX233" s="247"/>
      <c r="BY233" s="247"/>
      <c r="BZ233" s="247"/>
      <c r="CA233" s="247"/>
      <c r="CB233" s="247"/>
      <c r="CC233" s="247"/>
      <c r="CD233" s="247"/>
      <c r="CE233" s="247"/>
    </row>
    <row r="234" spans="1:83" s="314" customFormat="1" ht="37.5" customHeight="1" x14ac:dyDescent="0.25">
      <c r="A234" s="923"/>
      <c r="B234" s="902"/>
      <c r="C234" s="905"/>
      <c r="D234" s="335" t="s">
        <v>36</v>
      </c>
      <c r="E234" s="207">
        <v>98846000</v>
      </c>
      <c r="F234" s="207">
        <v>448441667</v>
      </c>
      <c r="G234" s="207">
        <v>98846000</v>
      </c>
      <c r="H234" s="508">
        <v>195964700</v>
      </c>
      <c r="I234" s="207"/>
      <c r="J234" s="207"/>
      <c r="K234" s="207">
        <v>87493350</v>
      </c>
      <c r="L234" s="214">
        <v>191397567</v>
      </c>
      <c r="M234" s="214">
        <v>191397567</v>
      </c>
      <c r="N234" s="236">
        <f t="shared" si="17"/>
        <v>0</v>
      </c>
      <c r="O234" s="236"/>
      <c r="P234" s="236"/>
      <c r="Q234" s="907"/>
      <c r="R234" s="909"/>
      <c r="S234" s="893"/>
      <c r="T234" s="909"/>
      <c r="U234" s="891"/>
      <c r="V234" s="893"/>
      <c r="W234" s="893"/>
      <c r="X234" s="893"/>
      <c r="Y234" s="893"/>
      <c r="Z234" s="893"/>
      <c r="AA234" s="985"/>
      <c r="AB234" s="1"/>
      <c r="AC234" s="1"/>
      <c r="AD234" s="1"/>
      <c r="AE234" s="1"/>
      <c r="AF234" s="1"/>
      <c r="AG234" s="1"/>
      <c r="AH234" s="1"/>
      <c r="AI234" s="1"/>
      <c r="AJ234" s="1"/>
      <c r="AK234" s="1"/>
      <c r="AL234" s="1"/>
      <c r="AM234" s="1"/>
      <c r="AN234" s="1"/>
      <c r="AO234" s="1"/>
      <c r="AP234" s="247"/>
      <c r="AQ234" s="247"/>
      <c r="AR234" s="247"/>
      <c r="AS234" s="247"/>
      <c r="AT234" s="247"/>
      <c r="AU234" s="247"/>
      <c r="AV234" s="247"/>
      <c r="AW234" s="247"/>
      <c r="AX234" s="247"/>
      <c r="AY234" s="247"/>
      <c r="AZ234" s="247"/>
      <c r="BA234" s="247"/>
      <c r="BB234" s="247"/>
      <c r="BC234" s="247"/>
      <c r="BD234" s="247"/>
      <c r="BE234" s="247"/>
      <c r="BF234" s="247"/>
      <c r="BG234" s="247"/>
      <c r="BH234" s="247"/>
      <c r="BI234" s="247"/>
      <c r="BJ234" s="247"/>
      <c r="BK234" s="247"/>
      <c r="BL234" s="247"/>
      <c r="BM234" s="247"/>
      <c r="BN234" s="247"/>
      <c r="BO234" s="247"/>
      <c r="BP234" s="247"/>
      <c r="BQ234" s="247"/>
      <c r="BR234" s="247"/>
      <c r="BS234" s="247"/>
      <c r="BT234" s="247"/>
      <c r="BU234" s="247"/>
      <c r="BV234" s="247"/>
      <c r="BW234" s="247"/>
      <c r="BX234" s="247"/>
      <c r="BY234" s="247"/>
      <c r="BZ234" s="247"/>
      <c r="CA234" s="247"/>
      <c r="CB234" s="247"/>
      <c r="CC234" s="247"/>
      <c r="CD234" s="247"/>
      <c r="CE234" s="247"/>
    </row>
    <row r="235" spans="1:83" s="314" customFormat="1" ht="37.5" customHeight="1" x14ac:dyDescent="0.25">
      <c r="A235" s="923"/>
      <c r="B235" s="902"/>
      <c r="C235" s="905"/>
      <c r="D235" s="335" t="s">
        <v>37</v>
      </c>
      <c r="E235" s="229"/>
      <c r="F235" s="229"/>
      <c r="G235" s="229"/>
      <c r="H235" s="506"/>
      <c r="I235" s="229"/>
      <c r="J235" s="229"/>
      <c r="K235" s="229"/>
      <c r="L235" s="214"/>
      <c r="M235" s="214"/>
      <c r="N235" s="236">
        <f t="shared" si="17"/>
        <v>0</v>
      </c>
      <c r="O235" s="236"/>
      <c r="P235" s="236"/>
      <c r="Q235" s="907"/>
      <c r="R235" s="909"/>
      <c r="S235" s="893"/>
      <c r="T235" s="909"/>
      <c r="U235" s="891"/>
      <c r="V235" s="893"/>
      <c r="W235" s="893"/>
      <c r="X235" s="893"/>
      <c r="Y235" s="893"/>
      <c r="Z235" s="893"/>
      <c r="AA235" s="985"/>
      <c r="AB235" s="1"/>
      <c r="AC235" s="1"/>
      <c r="AD235" s="1"/>
      <c r="AE235" s="1"/>
      <c r="AF235" s="1"/>
      <c r="AG235" s="1"/>
      <c r="AH235" s="1"/>
      <c r="AI235" s="1"/>
      <c r="AJ235" s="1"/>
      <c r="AK235" s="1"/>
      <c r="AL235" s="1"/>
      <c r="AM235" s="1"/>
      <c r="AN235" s="1"/>
      <c r="AO235" s="1"/>
      <c r="AP235" s="247"/>
      <c r="AQ235" s="247"/>
      <c r="AR235" s="247"/>
      <c r="AS235" s="247"/>
      <c r="AT235" s="247"/>
      <c r="AU235" s="247"/>
      <c r="AV235" s="247"/>
      <c r="AW235" s="247"/>
      <c r="AX235" s="247"/>
      <c r="AY235" s="247"/>
      <c r="AZ235" s="247"/>
      <c r="BA235" s="247"/>
      <c r="BB235" s="247"/>
      <c r="BC235" s="247"/>
      <c r="BD235" s="247"/>
      <c r="BE235" s="247"/>
      <c r="BF235" s="247"/>
      <c r="BG235" s="247"/>
      <c r="BH235" s="247"/>
      <c r="BI235" s="247"/>
      <c r="BJ235" s="247"/>
      <c r="BK235" s="247"/>
      <c r="BL235" s="247"/>
      <c r="BM235" s="247"/>
      <c r="BN235" s="247"/>
      <c r="BO235" s="247"/>
      <c r="BP235" s="247"/>
      <c r="BQ235" s="247"/>
      <c r="BR235" s="247"/>
      <c r="BS235" s="247"/>
      <c r="BT235" s="247"/>
      <c r="BU235" s="247"/>
      <c r="BV235" s="247"/>
      <c r="BW235" s="247"/>
      <c r="BX235" s="247"/>
      <c r="BY235" s="247"/>
      <c r="BZ235" s="247"/>
      <c r="CA235" s="247"/>
      <c r="CB235" s="247"/>
      <c r="CC235" s="247"/>
      <c r="CD235" s="247"/>
      <c r="CE235" s="247"/>
    </row>
    <row r="236" spans="1:83" s="314" customFormat="1" ht="37.5" customHeight="1" thickBot="1" x14ac:dyDescent="0.3">
      <c r="A236" s="924"/>
      <c r="B236" s="903"/>
      <c r="C236" s="906"/>
      <c r="D236" s="468" t="s">
        <v>38</v>
      </c>
      <c r="E236" s="477">
        <v>34530334</v>
      </c>
      <c r="F236" s="477">
        <v>63203999</v>
      </c>
      <c r="G236" s="477">
        <v>34530334</v>
      </c>
      <c r="H236" s="535">
        <v>34530334</v>
      </c>
      <c r="I236" s="208"/>
      <c r="J236" s="208"/>
      <c r="K236" s="208">
        <v>34530333</v>
      </c>
      <c r="L236" s="605">
        <v>34530333</v>
      </c>
      <c r="M236" s="605">
        <v>34530333</v>
      </c>
      <c r="N236" s="204">
        <f t="shared" si="17"/>
        <v>0</v>
      </c>
      <c r="O236" s="204"/>
      <c r="P236" s="204"/>
      <c r="Q236" s="944"/>
      <c r="R236" s="910"/>
      <c r="S236" s="894"/>
      <c r="T236" s="910"/>
      <c r="U236" s="911"/>
      <c r="V236" s="894"/>
      <c r="W236" s="894"/>
      <c r="X236" s="894"/>
      <c r="Y236" s="894"/>
      <c r="Z236" s="894"/>
      <c r="AA236" s="986"/>
      <c r="AB236" s="1"/>
      <c r="AC236" s="1"/>
      <c r="AD236" s="1"/>
      <c r="AE236" s="1"/>
      <c r="AF236" s="1"/>
      <c r="AG236" s="1"/>
      <c r="AH236" s="1"/>
      <c r="AI236" s="1"/>
      <c r="AJ236" s="1"/>
      <c r="AK236" s="1"/>
      <c r="AL236" s="1"/>
      <c r="AM236" s="1"/>
      <c r="AN236" s="1"/>
      <c r="AO236" s="1"/>
      <c r="AP236" s="247"/>
      <c r="AQ236" s="247"/>
      <c r="AR236" s="247"/>
      <c r="AS236" s="247"/>
      <c r="AT236" s="247"/>
      <c r="AU236" s="247"/>
      <c r="AV236" s="247"/>
      <c r="AW236" s="247"/>
      <c r="AX236" s="247"/>
      <c r="AY236" s="247"/>
      <c r="AZ236" s="247"/>
      <c r="BA236" s="247"/>
      <c r="BB236" s="247"/>
      <c r="BC236" s="247"/>
      <c r="BD236" s="247"/>
      <c r="BE236" s="247"/>
      <c r="BF236" s="247"/>
      <c r="BG236" s="247"/>
      <c r="BH236" s="247"/>
      <c r="BI236" s="247"/>
      <c r="BJ236" s="247"/>
      <c r="BK236" s="247"/>
      <c r="BL236" s="247"/>
      <c r="BM236" s="247"/>
      <c r="BN236" s="247"/>
      <c r="BO236" s="247"/>
      <c r="BP236" s="247"/>
      <c r="BQ236" s="247"/>
      <c r="BR236" s="247"/>
      <c r="BS236" s="247"/>
      <c r="BT236" s="247"/>
      <c r="BU236" s="247"/>
      <c r="BV236" s="247"/>
      <c r="BW236" s="247"/>
      <c r="BX236" s="247"/>
      <c r="BY236" s="247"/>
      <c r="BZ236" s="247"/>
      <c r="CA236" s="247"/>
      <c r="CB236" s="247"/>
      <c r="CC236" s="247"/>
      <c r="CD236" s="247"/>
      <c r="CE236" s="247"/>
    </row>
    <row r="237" spans="1:83" s="314" customFormat="1" ht="29.25" customHeight="1" x14ac:dyDescent="0.25">
      <c r="A237" s="977">
        <v>20</v>
      </c>
      <c r="B237" s="901" t="s">
        <v>180</v>
      </c>
      <c r="C237" s="904" t="s">
        <v>242</v>
      </c>
      <c r="D237" s="484" t="s">
        <v>34</v>
      </c>
      <c r="E237" s="614">
        <v>100</v>
      </c>
      <c r="F237" s="614">
        <v>100</v>
      </c>
      <c r="G237" s="614">
        <v>100</v>
      </c>
      <c r="H237" s="615">
        <v>100</v>
      </c>
      <c r="I237" s="614"/>
      <c r="J237" s="614"/>
      <c r="K237" s="614">
        <v>100</v>
      </c>
      <c r="L237" s="614">
        <v>100</v>
      </c>
      <c r="M237" s="614">
        <v>100</v>
      </c>
      <c r="N237" s="264">
        <f t="shared" si="17"/>
        <v>0</v>
      </c>
      <c r="O237" s="614"/>
      <c r="P237" s="614"/>
      <c r="Q237" s="925" t="s">
        <v>341</v>
      </c>
      <c r="R237" s="908" t="s">
        <v>341</v>
      </c>
      <c r="S237" s="892" t="s">
        <v>226</v>
      </c>
      <c r="T237" s="908" t="s">
        <v>342</v>
      </c>
      <c r="U237" s="895" t="s">
        <v>343</v>
      </c>
      <c r="V237" s="892">
        <v>3758224</v>
      </c>
      <c r="W237" s="892">
        <v>4018621</v>
      </c>
      <c r="X237" s="892" t="s">
        <v>231</v>
      </c>
      <c r="Y237" s="892" t="s">
        <v>225</v>
      </c>
      <c r="Z237" s="892" t="s">
        <v>232</v>
      </c>
      <c r="AA237" s="984">
        <f>+V237+W237</f>
        <v>7776845</v>
      </c>
      <c r="AB237" s="1"/>
      <c r="AC237" s="1"/>
      <c r="AD237" s="1"/>
      <c r="AE237" s="1"/>
      <c r="AF237" s="1"/>
      <c r="AG237" s="1"/>
      <c r="AH237" s="1"/>
      <c r="AI237" s="1"/>
      <c r="AJ237" s="1"/>
      <c r="AK237" s="1"/>
      <c r="AL237" s="1"/>
      <c r="AM237" s="1"/>
      <c r="AN237" s="1"/>
      <c r="AO237" s="1"/>
      <c r="AP237" s="247"/>
      <c r="AQ237" s="247"/>
      <c r="AR237" s="247"/>
      <c r="AS237" s="247"/>
      <c r="AT237" s="247"/>
      <c r="AU237" s="247"/>
      <c r="AV237" s="247"/>
      <c r="AW237" s="247"/>
      <c r="AX237" s="247"/>
      <c r="AY237" s="247"/>
      <c r="AZ237" s="247"/>
      <c r="BA237" s="247"/>
      <c r="BB237" s="247"/>
      <c r="BC237" s="247"/>
      <c r="BD237" s="247"/>
      <c r="BE237" s="247"/>
      <c r="BF237" s="247"/>
      <c r="BG237" s="247"/>
      <c r="BH237" s="247"/>
      <c r="BI237" s="247"/>
      <c r="BJ237" s="247"/>
      <c r="BK237" s="247"/>
      <c r="BL237" s="247"/>
      <c r="BM237" s="247"/>
      <c r="BN237" s="247"/>
      <c r="BO237" s="247"/>
      <c r="BP237" s="247"/>
      <c r="BQ237" s="247"/>
      <c r="BR237" s="247"/>
      <c r="BS237" s="247"/>
      <c r="BT237" s="247"/>
      <c r="BU237" s="247"/>
      <c r="BV237" s="247"/>
      <c r="BW237" s="247"/>
      <c r="BX237" s="247"/>
      <c r="BY237" s="247"/>
      <c r="BZ237" s="247"/>
      <c r="CA237" s="247"/>
      <c r="CB237" s="247"/>
      <c r="CC237" s="247"/>
      <c r="CD237" s="247"/>
      <c r="CE237" s="247"/>
    </row>
    <row r="238" spans="1:83" s="314" customFormat="1" ht="29.25" customHeight="1" x14ac:dyDescent="0.25">
      <c r="A238" s="923"/>
      <c r="B238" s="902"/>
      <c r="C238" s="905"/>
      <c r="D238" s="335" t="s">
        <v>36</v>
      </c>
      <c r="E238" s="207">
        <v>658702000</v>
      </c>
      <c r="F238" s="207">
        <v>576649800</v>
      </c>
      <c r="G238" s="207">
        <v>658702000</v>
      </c>
      <c r="H238" s="508">
        <v>738105500</v>
      </c>
      <c r="I238" s="207"/>
      <c r="J238" s="207"/>
      <c r="K238" s="207">
        <v>361221000</v>
      </c>
      <c r="L238" s="207">
        <v>698088832</v>
      </c>
      <c r="M238" s="207">
        <v>698088832</v>
      </c>
      <c r="N238" s="236">
        <f t="shared" si="17"/>
        <v>0</v>
      </c>
      <c r="O238" s="236"/>
      <c r="P238" s="236"/>
      <c r="Q238" s="907"/>
      <c r="R238" s="909"/>
      <c r="S238" s="893"/>
      <c r="T238" s="909"/>
      <c r="U238" s="891"/>
      <c r="V238" s="893"/>
      <c r="W238" s="893"/>
      <c r="X238" s="893"/>
      <c r="Y238" s="893"/>
      <c r="Z238" s="893"/>
      <c r="AA238" s="985"/>
      <c r="AB238" s="1"/>
      <c r="AC238" s="1"/>
      <c r="AD238" s="1"/>
      <c r="AE238" s="1"/>
      <c r="AF238" s="1"/>
      <c r="AG238" s="1"/>
      <c r="AH238" s="1"/>
      <c r="AI238" s="1"/>
      <c r="AJ238" s="1"/>
      <c r="AK238" s="1"/>
      <c r="AL238" s="1"/>
      <c r="AM238" s="1"/>
      <c r="AN238" s="1"/>
      <c r="AO238" s="1"/>
      <c r="AP238" s="247"/>
      <c r="AQ238" s="247"/>
      <c r="AR238" s="247"/>
      <c r="AS238" s="247"/>
      <c r="AT238" s="247"/>
      <c r="AU238" s="247"/>
      <c r="AV238" s="247"/>
      <c r="AW238" s="247"/>
      <c r="AX238" s="247"/>
      <c r="AY238" s="247"/>
      <c r="AZ238" s="247"/>
      <c r="BA238" s="247"/>
      <c r="BB238" s="247"/>
      <c r="BC238" s="247"/>
      <c r="BD238" s="247"/>
      <c r="BE238" s="247"/>
      <c r="BF238" s="247"/>
      <c r="BG238" s="247"/>
      <c r="BH238" s="247"/>
      <c r="BI238" s="247"/>
      <c r="BJ238" s="247"/>
      <c r="BK238" s="247"/>
      <c r="BL238" s="247"/>
      <c r="BM238" s="247"/>
      <c r="BN238" s="247"/>
      <c r="BO238" s="247"/>
      <c r="BP238" s="247"/>
      <c r="BQ238" s="247"/>
      <c r="BR238" s="247"/>
      <c r="BS238" s="247"/>
      <c r="BT238" s="247"/>
      <c r="BU238" s="247"/>
      <c r="BV238" s="247"/>
      <c r="BW238" s="247"/>
      <c r="BX238" s="247"/>
      <c r="BY238" s="247"/>
      <c r="BZ238" s="247"/>
      <c r="CA238" s="247"/>
      <c r="CB238" s="247"/>
      <c r="CC238" s="247"/>
      <c r="CD238" s="247"/>
      <c r="CE238" s="247"/>
    </row>
    <row r="239" spans="1:83" s="314" customFormat="1" ht="29.25" customHeight="1" x14ac:dyDescent="0.25">
      <c r="A239" s="923"/>
      <c r="B239" s="902"/>
      <c r="C239" s="905"/>
      <c r="D239" s="335" t="s">
        <v>37</v>
      </c>
      <c r="E239" s="240"/>
      <c r="F239" s="240"/>
      <c r="G239" s="240"/>
      <c r="H239" s="595"/>
      <c r="I239" s="240"/>
      <c r="J239" s="240"/>
      <c r="K239" s="240"/>
      <c r="L239" s="240"/>
      <c r="M239" s="240"/>
      <c r="N239" s="236">
        <f t="shared" si="17"/>
        <v>0</v>
      </c>
      <c r="O239" s="236"/>
      <c r="P239" s="236"/>
      <c r="Q239" s="907"/>
      <c r="R239" s="909"/>
      <c r="S239" s="893"/>
      <c r="T239" s="909"/>
      <c r="U239" s="891"/>
      <c r="V239" s="893"/>
      <c r="W239" s="893"/>
      <c r="X239" s="893"/>
      <c r="Y239" s="893"/>
      <c r="Z239" s="893"/>
      <c r="AA239" s="985"/>
      <c r="AB239" s="1"/>
      <c r="AC239" s="1"/>
      <c r="AD239" s="1"/>
      <c r="AE239" s="1"/>
      <c r="AF239" s="1"/>
      <c r="AG239" s="1"/>
      <c r="AH239" s="1"/>
      <c r="AI239" s="1"/>
      <c r="AJ239" s="1"/>
      <c r="AK239" s="1"/>
      <c r="AL239" s="1"/>
      <c r="AM239" s="1"/>
      <c r="AN239" s="1"/>
      <c r="AO239" s="1"/>
      <c r="AP239" s="247"/>
      <c r="AQ239" s="247"/>
      <c r="AR239" s="247"/>
      <c r="AS239" s="247"/>
      <c r="AT239" s="247"/>
      <c r="AU239" s="247"/>
      <c r="AV239" s="247"/>
      <c r="AW239" s="247"/>
      <c r="AX239" s="247"/>
      <c r="AY239" s="247"/>
      <c r="AZ239" s="247"/>
      <c r="BA239" s="247"/>
      <c r="BB239" s="247"/>
      <c r="BC239" s="247"/>
      <c r="BD239" s="247"/>
      <c r="BE239" s="247"/>
      <c r="BF239" s="247"/>
      <c r="BG239" s="247"/>
      <c r="BH239" s="247"/>
      <c r="BI239" s="247"/>
      <c r="BJ239" s="247"/>
      <c r="BK239" s="247"/>
      <c r="BL239" s="247"/>
      <c r="BM239" s="247"/>
      <c r="BN239" s="247"/>
      <c r="BO239" s="247"/>
      <c r="BP239" s="247"/>
      <c r="BQ239" s="247"/>
      <c r="BR239" s="247"/>
      <c r="BS239" s="247"/>
      <c r="BT239" s="247"/>
      <c r="BU239" s="247"/>
      <c r="BV239" s="247"/>
      <c r="BW239" s="247"/>
      <c r="BX239" s="247"/>
      <c r="BY239" s="247"/>
      <c r="BZ239" s="247"/>
      <c r="CA239" s="247"/>
      <c r="CB239" s="247"/>
      <c r="CC239" s="247"/>
      <c r="CD239" s="247"/>
      <c r="CE239" s="247"/>
    </row>
    <row r="240" spans="1:83" s="314" customFormat="1" ht="29.25" customHeight="1" thickBot="1" x14ac:dyDescent="0.3">
      <c r="A240" s="976"/>
      <c r="B240" s="903"/>
      <c r="C240" s="906"/>
      <c r="D240" s="468" t="s">
        <v>38</v>
      </c>
      <c r="E240" s="477">
        <v>203588195</v>
      </c>
      <c r="F240" s="477">
        <v>135413828</v>
      </c>
      <c r="G240" s="477">
        <v>203588195</v>
      </c>
      <c r="H240" s="535">
        <v>188048195</v>
      </c>
      <c r="I240" s="208"/>
      <c r="J240" s="208"/>
      <c r="K240" s="208">
        <v>19667667</v>
      </c>
      <c r="L240" s="208">
        <v>44375289</v>
      </c>
      <c r="M240" s="208">
        <v>44375289</v>
      </c>
      <c r="N240" s="204">
        <f t="shared" si="17"/>
        <v>0</v>
      </c>
      <c r="O240" s="204"/>
      <c r="P240" s="204"/>
      <c r="Q240" s="944"/>
      <c r="R240" s="910"/>
      <c r="S240" s="894"/>
      <c r="T240" s="910"/>
      <c r="U240" s="911"/>
      <c r="V240" s="894"/>
      <c r="W240" s="894"/>
      <c r="X240" s="894"/>
      <c r="Y240" s="894"/>
      <c r="Z240" s="894"/>
      <c r="AA240" s="986"/>
      <c r="AB240" s="1"/>
      <c r="AC240" s="1"/>
      <c r="AD240" s="1"/>
      <c r="AE240" s="1"/>
      <c r="AF240" s="1"/>
      <c r="AG240" s="1"/>
      <c r="AH240" s="1"/>
      <c r="AI240" s="1"/>
      <c r="AJ240" s="1"/>
      <c r="AK240" s="1"/>
      <c r="AL240" s="1"/>
      <c r="AM240" s="1"/>
      <c r="AN240" s="1"/>
      <c r="AO240" s="1"/>
      <c r="AP240" s="247"/>
      <c r="AQ240" s="247"/>
      <c r="AR240" s="247"/>
      <c r="AS240" s="247"/>
      <c r="AT240" s="247"/>
      <c r="AU240" s="247"/>
      <c r="AV240" s="247"/>
      <c r="AW240" s="247"/>
      <c r="AX240" s="247"/>
      <c r="AY240" s="247"/>
      <c r="AZ240" s="247"/>
      <c r="BA240" s="247"/>
      <c r="BB240" s="247"/>
      <c r="BC240" s="247"/>
      <c r="BD240" s="247"/>
      <c r="BE240" s="247"/>
      <c r="BF240" s="247"/>
      <c r="BG240" s="247"/>
      <c r="BH240" s="247"/>
      <c r="BI240" s="247"/>
      <c r="BJ240" s="247"/>
      <c r="BK240" s="247"/>
      <c r="BL240" s="247"/>
      <c r="BM240" s="247"/>
      <c r="BN240" s="247"/>
      <c r="BO240" s="247"/>
      <c r="BP240" s="247"/>
      <c r="BQ240" s="247"/>
      <c r="BR240" s="247"/>
      <c r="BS240" s="247"/>
      <c r="BT240" s="247"/>
      <c r="BU240" s="247"/>
      <c r="BV240" s="247"/>
      <c r="BW240" s="247"/>
      <c r="BX240" s="247"/>
      <c r="BY240" s="247"/>
      <c r="BZ240" s="247"/>
      <c r="CA240" s="247"/>
      <c r="CB240" s="247"/>
      <c r="CC240" s="247"/>
      <c r="CD240" s="247"/>
      <c r="CE240" s="247"/>
    </row>
    <row r="241" spans="1:83" s="314" customFormat="1" ht="24" customHeight="1" x14ac:dyDescent="0.25">
      <c r="A241" s="922">
        <v>21</v>
      </c>
      <c r="B241" s="901" t="s">
        <v>181</v>
      </c>
      <c r="C241" s="912" t="s">
        <v>361</v>
      </c>
      <c r="D241" s="484" t="s">
        <v>34</v>
      </c>
      <c r="E241" s="510">
        <v>0.5</v>
      </c>
      <c r="F241" s="510">
        <v>0.35</v>
      </c>
      <c r="G241" s="510">
        <v>0.5</v>
      </c>
      <c r="H241" s="510">
        <v>0.5</v>
      </c>
      <c r="I241" s="510"/>
      <c r="J241" s="315"/>
      <c r="K241" s="510">
        <f>0.76/2</f>
        <v>0.38</v>
      </c>
      <c r="L241" s="237">
        <f>0.91/2</f>
        <v>0.45500000000000002</v>
      </c>
      <c r="M241" s="237"/>
      <c r="N241" s="264">
        <f t="shared" si="17"/>
        <v>0.45500000000000002</v>
      </c>
      <c r="O241" s="264"/>
      <c r="P241" s="510"/>
      <c r="Q241" s="895" t="s">
        <v>289</v>
      </c>
      <c r="R241" s="895"/>
      <c r="S241" s="895" t="s">
        <v>364</v>
      </c>
      <c r="T241" s="895" t="s">
        <v>365</v>
      </c>
      <c r="U241" s="895" t="s">
        <v>365</v>
      </c>
      <c r="V241" s="895">
        <v>161</v>
      </c>
      <c r="W241" s="895">
        <v>89</v>
      </c>
      <c r="X241" s="895" t="s">
        <v>231</v>
      </c>
      <c r="Y241" s="895" t="s">
        <v>225</v>
      </c>
      <c r="Z241" s="895" t="s">
        <v>232</v>
      </c>
      <c r="AA241" s="1000">
        <f>+V241+W241</f>
        <v>250</v>
      </c>
      <c r="AB241" s="1"/>
      <c r="AC241" s="1"/>
      <c r="AD241" s="1"/>
      <c r="AE241" s="1"/>
      <c r="AF241" s="1"/>
      <c r="AG241" s="1"/>
      <c r="AH241" s="1"/>
      <c r="AI241" s="1"/>
      <c r="AJ241" s="1"/>
      <c r="AK241" s="1"/>
      <c r="AL241" s="1"/>
      <c r="AM241" s="1"/>
      <c r="AN241" s="1"/>
      <c r="AO241" s="1"/>
      <c r="AP241" s="247"/>
      <c r="AQ241" s="247"/>
      <c r="AR241" s="247"/>
      <c r="AS241" s="247"/>
      <c r="AT241" s="247"/>
      <c r="AU241" s="247"/>
      <c r="AV241" s="247"/>
      <c r="AW241" s="247"/>
      <c r="AX241" s="247"/>
      <c r="AY241" s="247"/>
      <c r="AZ241" s="247"/>
      <c r="BA241" s="247"/>
      <c r="BB241" s="247"/>
      <c r="BC241" s="247"/>
      <c r="BD241" s="247"/>
      <c r="BE241" s="247"/>
      <c r="BF241" s="247"/>
      <c r="BG241" s="247"/>
      <c r="BH241" s="247"/>
      <c r="BI241" s="247"/>
      <c r="BJ241" s="247"/>
      <c r="BK241" s="247"/>
      <c r="BL241" s="247"/>
      <c r="BM241" s="247"/>
      <c r="BN241" s="247"/>
      <c r="BO241" s="247"/>
      <c r="BP241" s="247"/>
      <c r="BQ241" s="247"/>
      <c r="BR241" s="247"/>
      <c r="BS241" s="247"/>
      <c r="BT241" s="247"/>
      <c r="BU241" s="247"/>
      <c r="BV241" s="247"/>
      <c r="BW241" s="247"/>
      <c r="BX241" s="247"/>
      <c r="BY241" s="247"/>
      <c r="BZ241" s="247"/>
      <c r="CA241" s="247"/>
      <c r="CB241" s="247"/>
      <c r="CC241" s="247"/>
      <c r="CD241" s="247"/>
      <c r="CE241" s="247"/>
    </row>
    <row r="242" spans="1:83" s="314" customFormat="1" ht="24" customHeight="1" x14ac:dyDescent="0.25">
      <c r="A242" s="923"/>
      <c r="B242" s="902"/>
      <c r="C242" s="913"/>
      <c r="D242" s="335" t="s">
        <v>36</v>
      </c>
      <c r="E242" s="507">
        <f>74082750/2</f>
        <v>37041375</v>
      </c>
      <c r="F242" s="507">
        <v>80286925.5</v>
      </c>
      <c r="G242" s="507">
        <f>74082750/2</f>
        <v>37041375</v>
      </c>
      <c r="H242" s="507">
        <v>37041625</v>
      </c>
      <c r="I242" s="507"/>
      <c r="J242" s="507"/>
      <c r="K242" s="507">
        <f>51189970/2</f>
        <v>25594985</v>
      </c>
      <c r="L242" s="507">
        <f>68576370/2</f>
        <v>34288185</v>
      </c>
      <c r="M242" s="507"/>
      <c r="N242" s="236">
        <f t="shared" si="17"/>
        <v>34288185</v>
      </c>
      <c r="O242" s="236"/>
      <c r="P242" s="236"/>
      <c r="Q242" s="891"/>
      <c r="R242" s="891"/>
      <c r="S242" s="891"/>
      <c r="T242" s="891"/>
      <c r="U242" s="891"/>
      <c r="V242" s="891">
        <v>161</v>
      </c>
      <c r="W242" s="891">
        <v>89</v>
      </c>
      <c r="X242" s="891"/>
      <c r="Y242" s="891"/>
      <c r="Z242" s="891"/>
      <c r="AA242" s="999"/>
      <c r="AB242" s="1"/>
      <c r="AC242" s="1"/>
      <c r="AD242" s="1"/>
      <c r="AE242" s="1"/>
      <c r="AF242" s="1"/>
      <c r="AG242" s="1"/>
      <c r="AH242" s="1"/>
      <c r="AI242" s="1"/>
      <c r="AJ242" s="1"/>
      <c r="AK242" s="1"/>
      <c r="AL242" s="1"/>
      <c r="AM242" s="1"/>
      <c r="AN242" s="1"/>
      <c r="AO242" s="1"/>
      <c r="AP242" s="247"/>
      <c r="AQ242" s="247"/>
      <c r="AR242" s="247"/>
      <c r="AS242" s="247"/>
      <c r="AT242" s="247"/>
      <c r="AU242" s="247"/>
      <c r="AV242" s="247"/>
      <c r="AW242" s="247"/>
      <c r="AX242" s="247"/>
      <c r="AY242" s="247"/>
      <c r="AZ242" s="247"/>
      <c r="BA242" s="247"/>
      <c r="BB242" s="247"/>
      <c r="BC242" s="247"/>
      <c r="BD242" s="247"/>
      <c r="BE242" s="247"/>
      <c r="BF242" s="247"/>
      <c r="BG242" s="247"/>
      <c r="BH242" s="247"/>
      <c r="BI242" s="247"/>
      <c r="BJ242" s="247"/>
      <c r="BK242" s="247"/>
      <c r="BL242" s="247"/>
      <c r="BM242" s="247"/>
      <c r="BN242" s="247"/>
      <c r="BO242" s="247"/>
      <c r="BP242" s="247"/>
      <c r="BQ242" s="247"/>
      <c r="BR242" s="247"/>
      <c r="BS242" s="247"/>
      <c r="BT242" s="247"/>
      <c r="BU242" s="247"/>
      <c r="BV242" s="247"/>
      <c r="BW242" s="247"/>
      <c r="BX242" s="247"/>
      <c r="BY242" s="247"/>
      <c r="BZ242" s="247"/>
      <c r="CA242" s="247"/>
      <c r="CB242" s="247"/>
      <c r="CC242" s="247"/>
      <c r="CD242" s="247"/>
      <c r="CE242" s="247"/>
    </row>
    <row r="243" spans="1:83" s="314" customFormat="1" ht="24" customHeight="1" x14ac:dyDescent="0.25">
      <c r="A243" s="923"/>
      <c r="B243" s="902"/>
      <c r="C243" s="913"/>
      <c r="D243" s="335" t="s">
        <v>37</v>
      </c>
      <c r="E243" s="507"/>
      <c r="F243" s="507"/>
      <c r="G243" s="507"/>
      <c r="H243" s="507"/>
      <c r="I243" s="507"/>
      <c r="J243" s="507"/>
      <c r="K243" s="507"/>
      <c r="L243" s="236"/>
      <c r="M243" s="236"/>
      <c r="N243" s="236">
        <f t="shared" si="17"/>
        <v>0</v>
      </c>
      <c r="O243" s="236"/>
      <c r="P243" s="236"/>
      <c r="Q243" s="891"/>
      <c r="R243" s="891"/>
      <c r="S243" s="891"/>
      <c r="T243" s="891"/>
      <c r="U243" s="891"/>
      <c r="V243" s="891">
        <v>161</v>
      </c>
      <c r="W243" s="891">
        <v>89</v>
      </c>
      <c r="X243" s="891"/>
      <c r="Y243" s="891"/>
      <c r="Z243" s="891"/>
      <c r="AA243" s="999"/>
      <c r="AB243" s="1"/>
      <c r="AC243" s="1"/>
      <c r="AD243" s="1"/>
      <c r="AE243" s="1"/>
      <c r="AF243" s="1"/>
      <c r="AG243" s="1"/>
      <c r="AH243" s="1"/>
      <c r="AI243" s="1"/>
      <c r="AJ243" s="1"/>
      <c r="AK243" s="1"/>
      <c r="AL243" s="1"/>
      <c r="AM243" s="1"/>
      <c r="AN243" s="1"/>
      <c r="AO243" s="1"/>
      <c r="AP243" s="247"/>
      <c r="AQ243" s="247"/>
      <c r="AR243" s="247"/>
      <c r="AS243" s="247"/>
      <c r="AT243" s="247"/>
      <c r="AU243" s="247"/>
      <c r="AV243" s="247"/>
      <c r="AW243" s="247"/>
      <c r="AX243" s="247"/>
      <c r="AY243" s="247"/>
      <c r="AZ243" s="247"/>
      <c r="BA243" s="247"/>
      <c r="BB243" s="247"/>
      <c r="BC243" s="247"/>
      <c r="BD243" s="247"/>
      <c r="BE243" s="247"/>
      <c r="BF243" s="247"/>
      <c r="BG243" s="247"/>
      <c r="BH243" s="247"/>
      <c r="BI243" s="247"/>
      <c r="BJ243" s="247"/>
      <c r="BK243" s="247"/>
      <c r="BL243" s="247"/>
      <c r="BM243" s="247"/>
      <c r="BN243" s="247"/>
      <c r="BO243" s="247"/>
      <c r="BP243" s="247"/>
      <c r="BQ243" s="247"/>
      <c r="BR243" s="247"/>
      <c r="BS243" s="247"/>
      <c r="BT243" s="247"/>
      <c r="BU243" s="247"/>
      <c r="BV243" s="247"/>
      <c r="BW243" s="247"/>
      <c r="BX243" s="247"/>
      <c r="BY243" s="247"/>
      <c r="BZ243" s="247"/>
      <c r="CA243" s="247"/>
      <c r="CB243" s="247"/>
      <c r="CC243" s="247"/>
      <c r="CD243" s="247"/>
      <c r="CE243" s="247"/>
    </row>
    <row r="244" spans="1:83" s="314" customFormat="1" ht="24" customHeight="1" x14ac:dyDescent="0.25">
      <c r="A244" s="923"/>
      <c r="B244" s="902"/>
      <c r="C244" s="913"/>
      <c r="D244" s="335" t="s">
        <v>38</v>
      </c>
      <c r="E244" s="507">
        <f>103060517/2</f>
        <v>51530258.5</v>
      </c>
      <c r="F244" s="507">
        <v>112994167</v>
      </c>
      <c r="G244" s="507">
        <f>103060517/2</f>
        <v>51530258.5</v>
      </c>
      <c r="H244" s="507">
        <v>51530258.5</v>
      </c>
      <c r="I244" s="507"/>
      <c r="J244" s="507"/>
      <c r="K244" s="507">
        <f>22933000/2</f>
        <v>11466500</v>
      </c>
      <c r="L244" s="236">
        <v>14808625.5</v>
      </c>
      <c r="M244" s="236"/>
      <c r="N244" s="236">
        <f t="shared" si="17"/>
        <v>14808625.5</v>
      </c>
      <c r="O244" s="236"/>
      <c r="P244" s="236"/>
      <c r="Q244" s="891"/>
      <c r="R244" s="891"/>
      <c r="S244" s="891"/>
      <c r="T244" s="891"/>
      <c r="U244" s="891"/>
      <c r="V244" s="891">
        <v>161</v>
      </c>
      <c r="W244" s="891">
        <v>89</v>
      </c>
      <c r="X244" s="891"/>
      <c r="Y244" s="891"/>
      <c r="Z244" s="891"/>
      <c r="AA244" s="999"/>
      <c r="AB244" s="1"/>
      <c r="AC244" s="1"/>
      <c r="AD244" s="1"/>
      <c r="AE244" s="1"/>
      <c r="AF244" s="1"/>
      <c r="AG244" s="1"/>
      <c r="AH244" s="1"/>
      <c r="AI244" s="1"/>
      <c r="AJ244" s="1"/>
      <c r="AK244" s="1"/>
      <c r="AL244" s="1"/>
      <c r="AM244" s="1"/>
      <c r="AN244" s="1"/>
      <c r="AO244" s="1"/>
      <c r="AP244" s="247"/>
      <c r="AQ244" s="247"/>
      <c r="AR244" s="247"/>
      <c r="AS244" s="247"/>
      <c r="AT244" s="247"/>
      <c r="AU244" s="247"/>
      <c r="AV244" s="247"/>
      <c r="AW244" s="247"/>
      <c r="AX244" s="247"/>
      <c r="AY244" s="247"/>
      <c r="AZ244" s="247"/>
      <c r="BA244" s="247"/>
      <c r="BB244" s="247"/>
      <c r="BC244" s="247"/>
      <c r="BD244" s="247"/>
      <c r="BE244" s="247"/>
      <c r="BF244" s="247"/>
      <c r="BG244" s="247"/>
      <c r="BH244" s="247"/>
      <c r="BI244" s="247"/>
      <c r="BJ244" s="247"/>
      <c r="BK244" s="247"/>
      <c r="BL244" s="247"/>
      <c r="BM244" s="247"/>
      <c r="BN244" s="247"/>
      <c r="BO244" s="247"/>
      <c r="BP244" s="247"/>
      <c r="BQ244" s="247"/>
      <c r="BR244" s="247"/>
      <c r="BS244" s="247"/>
      <c r="BT244" s="247"/>
      <c r="BU244" s="247"/>
      <c r="BV244" s="247"/>
      <c r="BW244" s="247"/>
      <c r="BX244" s="247"/>
      <c r="BY244" s="247"/>
      <c r="BZ244" s="247"/>
      <c r="CA244" s="247"/>
      <c r="CB244" s="247"/>
      <c r="CC244" s="247"/>
      <c r="CD244" s="247"/>
      <c r="CE244" s="247"/>
    </row>
    <row r="245" spans="1:83" s="314" customFormat="1" ht="24" customHeight="1" x14ac:dyDescent="0.25">
      <c r="A245" s="923"/>
      <c r="B245" s="902"/>
      <c r="C245" s="913" t="s">
        <v>362</v>
      </c>
      <c r="D245" s="335" t="s">
        <v>34</v>
      </c>
      <c r="E245" s="506">
        <v>0.5</v>
      </c>
      <c r="F245" s="506">
        <v>0.35</v>
      </c>
      <c r="G245" s="506">
        <v>0.45</v>
      </c>
      <c r="H245" s="506">
        <v>0.5</v>
      </c>
      <c r="I245" s="506"/>
      <c r="J245" s="316"/>
      <c r="K245" s="506">
        <f>0.76/2</f>
        <v>0.38</v>
      </c>
      <c r="L245" s="239">
        <f>0.91/2</f>
        <v>0.45500000000000002</v>
      </c>
      <c r="M245" s="239"/>
      <c r="N245" s="236">
        <f t="shared" si="17"/>
        <v>0.45500000000000002</v>
      </c>
      <c r="O245" s="236"/>
      <c r="P245" s="236"/>
      <c r="Q245" s="891" t="s">
        <v>363</v>
      </c>
      <c r="R245" s="891"/>
      <c r="S245" s="891" t="s">
        <v>532</v>
      </c>
      <c r="T245" s="891" t="s">
        <v>365</v>
      </c>
      <c r="U245" s="891" t="s">
        <v>365</v>
      </c>
      <c r="V245" s="891">
        <v>139</v>
      </c>
      <c r="W245" s="891">
        <v>83</v>
      </c>
      <c r="X245" s="891" t="s">
        <v>231</v>
      </c>
      <c r="Y245" s="891" t="s">
        <v>225</v>
      </c>
      <c r="Z245" s="891" t="s">
        <v>232</v>
      </c>
      <c r="AA245" s="999">
        <f>+V245+W245</f>
        <v>222</v>
      </c>
      <c r="AB245" s="1"/>
      <c r="AC245" s="1"/>
      <c r="AD245" s="1"/>
      <c r="AE245" s="1"/>
      <c r="AF245" s="1"/>
      <c r="AG245" s="1"/>
      <c r="AH245" s="1"/>
      <c r="AI245" s="1"/>
      <c r="AJ245" s="1"/>
      <c r="AK245" s="1"/>
      <c r="AL245" s="1"/>
      <c r="AM245" s="1"/>
      <c r="AN245" s="1"/>
      <c r="AO245" s="1"/>
      <c r="AP245" s="247"/>
      <c r="AQ245" s="247"/>
      <c r="AR245" s="247"/>
      <c r="AS245" s="247"/>
      <c r="AT245" s="247"/>
      <c r="AU245" s="247"/>
      <c r="AV245" s="247"/>
      <c r="AW245" s="247"/>
      <c r="AX245" s="247"/>
      <c r="AY245" s="247"/>
      <c r="AZ245" s="247"/>
      <c r="BA245" s="247"/>
      <c r="BB245" s="247"/>
      <c r="BC245" s="247"/>
      <c r="BD245" s="247"/>
      <c r="BE245" s="247"/>
      <c r="BF245" s="247"/>
      <c r="BG245" s="247"/>
      <c r="BH245" s="247"/>
      <c r="BI245" s="247"/>
      <c r="BJ245" s="247"/>
      <c r="BK245" s="247"/>
      <c r="BL245" s="247"/>
      <c r="BM245" s="247"/>
      <c r="BN245" s="247"/>
      <c r="BO245" s="247"/>
      <c r="BP245" s="247"/>
      <c r="BQ245" s="247"/>
      <c r="BR245" s="247"/>
      <c r="BS245" s="247"/>
      <c r="BT245" s="247"/>
      <c r="BU245" s="247"/>
      <c r="BV245" s="247"/>
      <c r="BW245" s="247"/>
      <c r="BX245" s="247"/>
      <c r="BY245" s="247"/>
      <c r="BZ245" s="247"/>
      <c r="CA245" s="247"/>
      <c r="CB245" s="247"/>
      <c r="CC245" s="247"/>
      <c r="CD245" s="247"/>
      <c r="CE245" s="247"/>
    </row>
    <row r="246" spans="1:83" s="314" customFormat="1" ht="24" customHeight="1" x14ac:dyDescent="0.25">
      <c r="A246" s="923"/>
      <c r="B246" s="902"/>
      <c r="C246" s="913"/>
      <c r="D246" s="335" t="s">
        <v>36</v>
      </c>
      <c r="E246" s="507">
        <f>74082750/2</f>
        <v>37041375</v>
      </c>
      <c r="F246" s="507">
        <v>80286925.5</v>
      </c>
      <c r="G246" s="507">
        <f>74082750/2</f>
        <v>37041375</v>
      </c>
      <c r="H246" s="507">
        <v>37041375</v>
      </c>
      <c r="I246" s="507"/>
      <c r="J246" s="507"/>
      <c r="K246" s="507">
        <f>51189970/2</f>
        <v>25594985</v>
      </c>
      <c r="L246" s="236">
        <v>34288185</v>
      </c>
      <c r="M246" s="236"/>
      <c r="N246" s="236">
        <f t="shared" si="17"/>
        <v>34288185</v>
      </c>
      <c r="O246" s="236"/>
      <c r="P246" s="236"/>
      <c r="Q246" s="891"/>
      <c r="R246" s="891"/>
      <c r="S246" s="891"/>
      <c r="T246" s="891"/>
      <c r="U246" s="891"/>
      <c r="V246" s="891">
        <v>139</v>
      </c>
      <c r="W246" s="891">
        <v>83</v>
      </c>
      <c r="X246" s="891"/>
      <c r="Y246" s="891"/>
      <c r="Z246" s="891"/>
      <c r="AA246" s="999"/>
      <c r="AB246" s="1"/>
      <c r="AC246" s="1"/>
      <c r="AD246" s="1"/>
      <c r="AE246" s="1"/>
      <c r="AF246" s="1"/>
      <c r="AG246" s="1"/>
      <c r="AH246" s="1"/>
      <c r="AI246" s="1"/>
      <c r="AJ246" s="1"/>
      <c r="AK246" s="1"/>
      <c r="AL246" s="1"/>
      <c r="AM246" s="1"/>
      <c r="AN246" s="1"/>
      <c r="AO246" s="1"/>
      <c r="AP246" s="247"/>
      <c r="AQ246" s="247"/>
      <c r="AR246" s="247"/>
      <c r="AS246" s="247"/>
      <c r="AT246" s="247"/>
      <c r="AU246" s="247"/>
      <c r="AV246" s="247"/>
      <c r="AW246" s="247"/>
      <c r="AX246" s="247"/>
      <c r="AY246" s="247"/>
      <c r="AZ246" s="247"/>
      <c r="BA246" s="247"/>
      <c r="BB246" s="247"/>
      <c r="BC246" s="247"/>
      <c r="BD246" s="247"/>
      <c r="BE246" s="247"/>
      <c r="BF246" s="247"/>
      <c r="BG246" s="247"/>
      <c r="BH246" s="247"/>
      <c r="BI246" s="247"/>
      <c r="BJ246" s="247"/>
      <c r="BK246" s="247"/>
      <c r="BL246" s="247"/>
      <c r="BM246" s="247"/>
      <c r="BN246" s="247"/>
      <c r="BO246" s="247"/>
      <c r="BP246" s="247"/>
      <c r="BQ246" s="247"/>
      <c r="BR246" s="247"/>
      <c r="BS246" s="247"/>
      <c r="BT246" s="247"/>
      <c r="BU246" s="247"/>
      <c r="BV246" s="247"/>
      <c r="BW246" s="247"/>
      <c r="BX246" s="247"/>
      <c r="BY246" s="247"/>
      <c r="BZ246" s="247"/>
      <c r="CA246" s="247"/>
      <c r="CB246" s="247"/>
      <c r="CC246" s="247"/>
      <c r="CD246" s="247"/>
      <c r="CE246" s="247"/>
    </row>
    <row r="247" spans="1:83" ht="24" customHeight="1" x14ac:dyDescent="0.25">
      <c r="A247" s="923"/>
      <c r="B247" s="902"/>
      <c r="C247" s="913"/>
      <c r="D247" s="335" t="s">
        <v>37</v>
      </c>
      <c r="E247" s="232"/>
      <c r="F247" s="232"/>
      <c r="G247" s="232"/>
      <c r="H247" s="507"/>
      <c r="I247" s="232"/>
      <c r="J247" s="232"/>
      <c r="K247" s="507"/>
      <c r="L247" s="317"/>
      <c r="M247" s="317"/>
      <c r="N247" s="236">
        <f t="shared" si="17"/>
        <v>0</v>
      </c>
      <c r="O247" s="236"/>
      <c r="P247" s="236"/>
      <c r="Q247" s="891"/>
      <c r="R247" s="891"/>
      <c r="S247" s="891"/>
      <c r="T247" s="891"/>
      <c r="U247" s="891"/>
      <c r="V247" s="891">
        <v>139</v>
      </c>
      <c r="W247" s="891">
        <v>83</v>
      </c>
      <c r="X247" s="891"/>
      <c r="Y247" s="891"/>
      <c r="Z247" s="891"/>
      <c r="AA247" s="999"/>
      <c r="AP247" s="616"/>
      <c r="AQ247" s="617"/>
      <c r="AR247" s="247"/>
      <c r="AS247" s="247"/>
      <c r="AT247" s="247"/>
      <c r="AU247" s="247"/>
      <c r="AV247" s="247"/>
      <c r="AW247" s="247"/>
      <c r="AX247" s="247"/>
    </row>
    <row r="248" spans="1:83" ht="24" customHeight="1" x14ac:dyDescent="0.25">
      <c r="A248" s="923"/>
      <c r="B248" s="902"/>
      <c r="C248" s="913"/>
      <c r="D248" s="335" t="s">
        <v>38</v>
      </c>
      <c r="E248" s="507">
        <f>103060517/2</f>
        <v>51530258.5</v>
      </c>
      <c r="F248" s="507">
        <v>112994167</v>
      </c>
      <c r="G248" s="507">
        <f>103060517/2</f>
        <v>51530258.5</v>
      </c>
      <c r="H248" s="507">
        <v>51530258.5</v>
      </c>
      <c r="I248" s="207"/>
      <c r="J248" s="207"/>
      <c r="K248" s="507">
        <f>22933000/2</f>
        <v>11466500</v>
      </c>
      <c r="L248" s="236">
        <v>14808625.5</v>
      </c>
      <c r="M248" s="236"/>
      <c r="N248" s="236">
        <f t="shared" si="17"/>
        <v>14808625.5</v>
      </c>
      <c r="O248" s="236"/>
      <c r="P248" s="236"/>
      <c r="Q248" s="891"/>
      <c r="R248" s="891"/>
      <c r="S248" s="891"/>
      <c r="T248" s="891"/>
      <c r="U248" s="891"/>
      <c r="V248" s="891">
        <v>139</v>
      </c>
      <c r="W248" s="891">
        <v>83</v>
      </c>
      <c r="X248" s="891"/>
      <c r="Y248" s="891"/>
      <c r="Z248" s="891"/>
      <c r="AA248" s="999"/>
      <c r="AP248" s="618"/>
      <c r="AQ248" s="619"/>
      <c r="AR248" s="247"/>
      <c r="AS248" s="247"/>
      <c r="AT248" s="247"/>
      <c r="AU248" s="247"/>
      <c r="AV248" s="247"/>
      <c r="AW248" s="247"/>
      <c r="AX248" s="247"/>
    </row>
    <row r="249" spans="1:83" ht="24" customHeight="1" x14ac:dyDescent="0.25">
      <c r="A249" s="923"/>
      <c r="B249" s="902"/>
      <c r="C249" s="913" t="s">
        <v>391</v>
      </c>
      <c r="D249" s="335" t="s">
        <v>34</v>
      </c>
      <c r="E249" s="318">
        <f>E241+E245</f>
        <v>1</v>
      </c>
      <c r="F249" s="318">
        <v>0.7</v>
      </c>
      <c r="G249" s="318">
        <f>G241+G245</f>
        <v>0.95</v>
      </c>
      <c r="H249" s="620">
        <v>1</v>
      </c>
      <c r="I249" s="207"/>
      <c r="J249" s="318"/>
      <c r="K249" s="318">
        <f>K241+K245</f>
        <v>0.76</v>
      </c>
      <c r="L249" s="318">
        <f>+L241+L245</f>
        <v>0.91</v>
      </c>
      <c r="M249" s="318">
        <v>0.91</v>
      </c>
      <c r="N249" s="236">
        <f t="shared" si="17"/>
        <v>0</v>
      </c>
      <c r="O249" s="318"/>
      <c r="P249" s="318"/>
      <c r="Q249" s="501"/>
      <c r="R249" s="501"/>
      <c r="S249" s="501"/>
      <c r="T249" s="501"/>
      <c r="U249" s="501"/>
      <c r="V249" s="501"/>
      <c r="W249" s="501"/>
      <c r="X249" s="501"/>
      <c r="Y249" s="501"/>
      <c r="Z249" s="501"/>
      <c r="AA249" s="499"/>
      <c r="AP249" s="618"/>
      <c r="AQ249" s="619"/>
      <c r="AR249" s="247"/>
      <c r="AS249" s="247"/>
      <c r="AT249" s="247"/>
      <c r="AU249" s="247"/>
      <c r="AV249" s="247"/>
      <c r="AW249" s="247"/>
      <c r="AX249" s="247"/>
    </row>
    <row r="250" spans="1:83" ht="24" customHeight="1" x14ac:dyDescent="0.25">
      <c r="A250" s="923"/>
      <c r="B250" s="902"/>
      <c r="C250" s="913"/>
      <c r="D250" s="335" t="s">
        <v>36</v>
      </c>
      <c r="E250" s="318">
        <f t="shared" ref="E250:G252" si="18">E242+E246</f>
        <v>74082750</v>
      </c>
      <c r="F250" s="318">
        <v>160573851</v>
      </c>
      <c r="G250" s="318">
        <f t="shared" si="18"/>
        <v>74082750</v>
      </c>
      <c r="H250" s="620">
        <v>74083000</v>
      </c>
      <c r="I250" s="207"/>
      <c r="J250" s="207"/>
      <c r="K250" s="318">
        <f t="shared" ref="K250:L252" si="19">K242+K246</f>
        <v>51189970</v>
      </c>
      <c r="L250" s="318">
        <f t="shared" si="19"/>
        <v>68576370</v>
      </c>
      <c r="M250" s="318">
        <v>68576370</v>
      </c>
      <c r="N250" s="236">
        <f t="shared" si="17"/>
        <v>0</v>
      </c>
      <c r="O250" s="318"/>
      <c r="P250" s="318"/>
      <c r="Q250" s="501"/>
      <c r="R250" s="501"/>
      <c r="S250" s="501"/>
      <c r="T250" s="501"/>
      <c r="U250" s="501"/>
      <c r="V250" s="501"/>
      <c r="W250" s="501"/>
      <c r="X250" s="501"/>
      <c r="Y250" s="501"/>
      <c r="Z250" s="501"/>
      <c r="AA250" s="499"/>
      <c r="AP250" s="618"/>
      <c r="AQ250" s="619"/>
      <c r="AR250" s="247"/>
      <c r="AS250" s="247"/>
      <c r="AT250" s="247"/>
      <c r="AU250" s="247"/>
      <c r="AV250" s="247"/>
      <c r="AW250" s="247"/>
      <c r="AX250" s="247"/>
    </row>
    <row r="251" spans="1:83" ht="24" customHeight="1" x14ac:dyDescent="0.25">
      <c r="A251" s="923"/>
      <c r="B251" s="902"/>
      <c r="C251" s="913"/>
      <c r="D251" s="335" t="s">
        <v>37</v>
      </c>
      <c r="E251" s="318">
        <f t="shared" si="18"/>
        <v>0</v>
      </c>
      <c r="F251" s="318">
        <v>0</v>
      </c>
      <c r="G251" s="318">
        <f t="shared" si="18"/>
        <v>0</v>
      </c>
      <c r="H251" s="620">
        <v>0</v>
      </c>
      <c r="I251" s="207"/>
      <c r="J251" s="319"/>
      <c r="K251" s="318">
        <f t="shared" si="19"/>
        <v>0</v>
      </c>
      <c r="L251" s="319"/>
      <c r="M251" s="319"/>
      <c r="N251" s="236">
        <f t="shared" si="17"/>
        <v>0</v>
      </c>
      <c r="O251" s="318"/>
      <c r="P251" s="318"/>
      <c r="Q251" s="501"/>
      <c r="R251" s="501"/>
      <c r="S251" s="501"/>
      <c r="T251" s="501"/>
      <c r="U251" s="501"/>
      <c r="V251" s="501"/>
      <c r="W251" s="501"/>
      <c r="X251" s="501"/>
      <c r="Y251" s="501"/>
      <c r="Z251" s="501"/>
      <c r="AA251" s="499"/>
      <c r="AP251" s="618"/>
      <c r="AQ251" s="619"/>
      <c r="AR251" s="247"/>
      <c r="AS251" s="247"/>
      <c r="AT251" s="247"/>
      <c r="AU251" s="247"/>
      <c r="AV251" s="247"/>
      <c r="AW251" s="247"/>
      <c r="AX251" s="247"/>
    </row>
    <row r="252" spans="1:83" ht="24" customHeight="1" thickBot="1" x14ac:dyDescent="0.3">
      <c r="A252" s="924"/>
      <c r="B252" s="903"/>
      <c r="C252" s="942"/>
      <c r="D252" s="468" t="s">
        <v>38</v>
      </c>
      <c r="E252" s="320">
        <f t="shared" si="18"/>
        <v>103060517</v>
      </c>
      <c r="F252" s="320">
        <v>225988334</v>
      </c>
      <c r="G252" s="320">
        <f t="shared" si="18"/>
        <v>103060517</v>
      </c>
      <c r="H252" s="621">
        <v>103060517</v>
      </c>
      <c r="I252" s="208"/>
      <c r="J252" s="208"/>
      <c r="K252" s="320">
        <f t="shared" si="19"/>
        <v>22933000</v>
      </c>
      <c r="L252" s="320">
        <f t="shared" si="19"/>
        <v>29617251</v>
      </c>
      <c r="M252" s="320">
        <v>29617251</v>
      </c>
      <c r="N252" s="204">
        <f t="shared" si="17"/>
        <v>0</v>
      </c>
      <c r="O252" s="320"/>
      <c r="P252" s="320"/>
      <c r="Q252" s="504"/>
      <c r="R252" s="504"/>
      <c r="S252" s="504"/>
      <c r="T252" s="504"/>
      <c r="U252" s="504"/>
      <c r="V252" s="504"/>
      <c r="W252" s="504"/>
      <c r="X252" s="504"/>
      <c r="Y252" s="504"/>
      <c r="Z252" s="504"/>
      <c r="AA252" s="245"/>
      <c r="AP252" s="618"/>
      <c r="AQ252" s="619"/>
      <c r="AR252" s="247"/>
      <c r="AS252" s="247"/>
      <c r="AT252" s="247"/>
      <c r="AU252" s="247"/>
      <c r="AV252" s="247"/>
      <c r="AW252" s="247"/>
      <c r="AX252" s="247"/>
    </row>
    <row r="253" spans="1:83" ht="24" customHeight="1" x14ac:dyDescent="0.25">
      <c r="A253" s="977">
        <v>22</v>
      </c>
      <c r="B253" s="901" t="s">
        <v>183</v>
      </c>
      <c r="C253" s="912" t="s">
        <v>509</v>
      </c>
      <c r="D253" s="484" t="s">
        <v>34</v>
      </c>
      <c r="E253" s="510">
        <v>0.8</v>
      </c>
      <c r="F253" s="510"/>
      <c r="G253" s="510">
        <v>0.8</v>
      </c>
      <c r="H253" s="510">
        <v>0.8</v>
      </c>
      <c r="I253" s="242"/>
      <c r="J253" s="264"/>
      <c r="K253" s="264"/>
      <c r="L253" s="264"/>
      <c r="M253" s="264"/>
      <c r="N253" s="264"/>
      <c r="O253" s="264"/>
      <c r="P253" s="264"/>
      <c r="Q253" s="896"/>
      <c r="R253" s="896"/>
      <c r="S253" s="896"/>
      <c r="T253" s="896"/>
      <c r="U253" s="896"/>
      <c r="V253" s="896"/>
      <c r="W253" s="896"/>
      <c r="X253" s="896"/>
      <c r="Y253" s="896"/>
      <c r="Z253" s="896"/>
      <c r="AA253" s="1001"/>
      <c r="AP253" s="618"/>
      <c r="AQ253" s="619"/>
      <c r="AR253" s="247"/>
      <c r="AS253" s="247"/>
      <c r="AT253" s="247"/>
      <c r="AU253" s="247"/>
      <c r="AV253" s="247"/>
      <c r="AW253" s="247"/>
      <c r="AX253" s="247"/>
    </row>
    <row r="254" spans="1:83" ht="18" customHeight="1" x14ac:dyDescent="0.25">
      <c r="A254" s="923"/>
      <c r="B254" s="902"/>
      <c r="C254" s="913"/>
      <c r="D254" s="335" t="s">
        <v>36</v>
      </c>
      <c r="E254" s="507">
        <v>200000000</v>
      </c>
      <c r="F254" s="507"/>
      <c r="G254" s="507">
        <v>200000000</v>
      </c>
      <c r="H254" s="507">
        <v>200000000</v>
      </c>
      <c r="I254" s="207"/>
      <c r="J254" s="236"/>
      <c r="K254" s="236"/>
      <c r="L254" s="236"/>
      <c r="M254" s="236"/>
      <c r="N254" s="236"/>
      <c r="O254" s="236"/>
      <c r="P254" s="236"/>
      <c r="Q254" s="897"/>
      <c r="R254" s="897"/>
      <c r="S254" s="897"/>
      <c r="T254" s="897"/>
      <c r="U254" s="897"/>
      <c r="V254" s="897"/>
      <c r="W254" s="897"/>
      <c r="X254" s="897"/>
      <c r="Y254" s="897"/>
      <c r="Z254" s="897"/>
      <c r="AA254" s="1002"/>
      <c r="AP254" s="618"/>
      <c r="AQ254" s="617"/>
      <c r="AR254" s="247"/>
      <c r="AS254" s="247"/>
      <c r="AT254" s="247"/>
      <c r="AU254" s="247"/>
      <c r="AV254" s="247"/>
      <c r="AW254" s="247"/>
      <c r="AX254" s="247"/>
    </row>
    <row r="255" spans="1:83" ht="18" customHeight="1" x14ac:dyDescent="0.25">
      <c r="A255" s="923"/>
      <c r="B255" s="902"/>
      <c r="C255" s="913"/>
      <c r="D255" s="335" t="s">
        <v>37</v>
      </c>
      <c r="E255" s="506"/>
      <c r="F255" s="506"/>
      <c r="G255" s="506"/>
      <c r="H255" s="506"/>
      <c r="I255" s="207"/>
      <c r="J255" s="236"/>
      <c r="K255" s="236"/>
      <c r="L255" s="236"/>
      <c r="M255" s="236"/>
      <c r="N255" s="236"/>
      <c r="O255" s="236"/>
      <c r="P255" s="236"/>
      <c r="Q255" s="897"/>
      <c r="R255" s="897"/>
      <c r="S255" s="897"/>
      <c r="T255" s="897"/>
      <c r="U255" s="897"/>
      <c r="V255" s="897"/>
      <c r="W255" s="897"/>
      <c r="X255" s="897"/>
      <c r="Y255" s="897"/>
      <c r="Z255" s="897"/>
      <c r="AA255" s="1002"/>
      <c r="AP255" s="616"/>
      <c r="AQ255" s="617"/>
      <c r="AR255" s="247"/>
      <c r="AS255" s="247"/>
      <c r="AT255" s="247"/>
      <c r="AU255" s="247"/>
      <c r="AV255" s="247"/>
      <c r="AW255" s="247"/>
      <c r="AX255" s="247"/>
    </row>
    <row r="256" spans="1:83" ht="18" customHeight="1" thickBot="1" x14ac:dyDescent="0.3">
      <c r="A256" s="923"/>
      <c r="B256" s="903"/>
      <c r="C256" s="942"/>
      <c r="D256" s="468" t="s">
        <v>38</v>
      </c>
      <c r="E256" s="588"/>
      <c r="F256" s="588"/>
      <c r="G256" s="588"/>
      <c r="H256" s="588"/>
      <c r="I256" s="622"/>
      <c r="J256" s="204"/>
      <c r="K256" s="204"/>
      <c r="L256" s="204"/>
      <c r="M256" s="204"/>
      <c r="N256" s="204"/>
      <c r="O256" s="204"/>
      <c r="P256" s="204"/>
      <c r="Q256" s="898"/>
      <c r="R256" s="898"/>
      <c r="S256" s="898"/>
      <c r="T256" s="898"/>
      <c r="U256" s="898"/>
      <c r="V256" s="898"/>
      <c r="W256" s="898"/>
      <c r="X256" s="898"/>
      <c r="Y256" s="898"/>
      <c r="Z256" s="898"/>
      <c r="AA256" s="1003"/>
      <c r="AP256" s="618"/>
      <c r="AQ256" s="619"/>
      <c r="AR256" s="247"/>
      <c r="AS256" s="247"/>
      <c r="AT256" s="247"/>
      <c r="AU256" s="247"/>
      <c r="AV256" s="247"/>
      <c r="AW256" s="247"/>
      <c r="AX256" s="247"/>
    </row>
    <row r="257" spans="1:83" s="267" customFormat="1" ht="12" customHeight="1" thickBot="1" x14ac:dyDescent="0.3">
      <c r="A257" s="483"/>
      <c r="B257" s="623"/>
      <c r="C257" s="1004" t="s">
        <v>407</v>
      </c>
      <c r="D257" s="624" t="s">
        <v>408</v>
      </c>
      <c r="E257" s="486">
        <f>+E8+E12+E16+E20+E24+E28+E36+E40+E44+E48+E52+E56+E60+E64+E68+E72+E80+E84+E88+E92+E96+E100+E108+E112+E116+E120+E124+E128+E132+E141+E145+E149+E153+E157+E166+E170+E178+E182+E190+E194+E198+E202+E206+E214+E218+E222+E230+E234+E238+E242+E246+E254</f>
        <v>17600000000</v>
      </c>
      <c r="F257" s="486"/>
      <c r="G257" s="486">
        <f>+G8+G12+G16+G20+G24+G28+G36+G40+G44+G48+G52+G56+G60+G64+G68+G72+G80+G84+G88+G92+G96+G100+G108+G112+G116+G120+G124+G128+G132+G141+G145+G149+G153+G157+G166+G170+G178+G182+G190+G194+G198+G202+G206+G214+G218+G222+G230+G234+G238+G242+G246+G254</f>
        <v>17600000500</v>
      </c>
      <c r="H257" s="625">
        <v>17048759051.999996</v>
      </c>
      <c r="I257" s="625">
        <f>+I8+I12+I16+I20+I24+I28+I36+I40+I44+I48+I52+I56+I60+I64+I68+I72+I80+I84+I88+I92+I108+I112+I116+I120+I124+I128+I132+I141+I145+I149+I153+I157+I166+I170+I178+I182+I190+I194+I198+I202+I206+I214+I218+I222+I230+I234+I238+I242+I246+I254</f>
        <v>0</v>
      </c>
      <c r="J257" s="625">
        <f>+J8+J12+J16+J20+J24+J28+J36+J40+J44+J48+J52+J56+J60+J64+J68+J72+J80+J84+J88+J92+J108+J112+J116+J120+J124+J128+J132+J141+J145+J149+J153+J157+J166+J170+J178+J182+J190+J194+P198+P202+P206+P214+P218+P222+P230+J234+J238+J242+J246+J254</f>
        <v>0</v>
      </c>
      <c r="K257" s="625">
        <f>+K8+K12+K16+K20+K24+K28+K36+K40+K43+K52+K56+K60+K64+K68+K72+K80+K84+K88+K92+K96+K100+K108+K112+K116+K120+K124+K128+K132+K141+K145+K149+K153+K157+K166+K170+K178+K182+K190+K194+K198+K202+K206+K214+K218+K222+K230+K234+K238+K242+K246+K254</f>
        <v>5126465596</v>
      </c>
      <c r="L257" s="625">
        <f>+L8+L12+L16+L20+L24+L28+L36+L40+L43+L48+L52+L56+L60+L64+L68+L72+L80+L84+L88+L92+L96+L100+L108+L112+L116+L120+L124+L128+L132+L141+L145+L149+L153+L157+L166+L170+L178+L182+L190+L194+L198+L202+L206+L214+L218+L222+L230+L234+L238+L242+L246+L254</f>
        <v>11435712404</v>
      </c>
      <c r="M257" s="626"/>
      <c r="N257" s="626"/>
      <c r="O257" s="486" t="e">
        <f>+O10+O8+O12+O16+O20+O24+O28+O36+O40+O44+O48+O52+O56+O60+O64+O68+O72+O80+O84+O88+O92+O108+O112+O116+O120+O124+O128+O132+O141+O145+O149+O153+O157+O166+O170+O178+O182+O190+O194+O198+O202+O206+O214+O218+O222+O230+O234+O238+O242+O246+O254+#REF!</f>
        <v>#REF!</v>
      </c>
      <c r="P257" s="627">
        <f>P8+P12+P16+P20+P24+P28+P36+P40+P44+P48+P52+P56+P60+P64+P68+P72+P80+P88+P92+P96+P100+P108+P112+P116+P120+P124+P128+P132+P141+P145+P149+P153+P166+P170+P178+P182+P190+P194+P198+P202+P206+P214+P218+P222+P230+P234+P238+P242+P246+P254</f>
        <v>0</v>
      </c>
      <c r="Q257" s="625"/>
      <c r="R257" s="628"/>
      <c r="S257" s="629"/>
      <c r="T257" s="628"/>
      <c r="U257" s="630"/>
      <c r="V257" s="629"/>
      <c r="W257" s="629"/>
      <c r="X257" s="629"/>
      <c r="Y257" s="629"/>
      <c r="Z257" s="629"/>
      <c r="AA257" s="631"/>
      <c r="AB257"/>
      <c r="AC257"/>
      <c r="AD257"/>
      <c r="AE257"/>
      <c r="AF257"/>
      <c r="AG257"/>
      <c r="AH257"/>
      <c r="AI257"/>
      <c r="AJ257"/>
      <c r="AK257"/>
      <c r="AL257"/>
      <c r="AM257"/>
      <c r="AN257"/>
      <c r="AO257"/>
      <c r="AP257" s="618"/>
      <c r="AQ257" s="617"/>
      <c r="AR257" s="247"/>
      <c r="AS257" s="247"/>
      <c r="AT257" s="247"/>
      <c r="AU257" s="247"/>
      <c r="AV257" s="247"/>
      <c r="AW257" s="247"/>
      <c r="AX257" s="247"/>
      <c r="AY257" s="248"/>
      <c r="AZ257" s="248"/>
      <c r="BA257" s="248"/>
      <c r="BB257" s="248"/>
      <c r="BC257" s="248"/>
      <c r="BD257" s="248"/>
      <c r="BE257" s="248"/>
      <c r="BF257" s="248"/>
      <c r="BG257" s="248"/>
      <c r="BH257" s="248"/>
      <c r="BI257" s="248"/>
      <c r="BJ257" s="248"/>
      <c r="BK257" s="248"/>
      <c r="BL257" s="248"/>
      <c r="BM257" s="248"/>
      <c r="BN257" s="248"/>
      <c r="BO257" s="248"/>
      <c r="BP257" s="248"/>
      <c r="BQ257" s="248"/>
      <c r="BR257" s="248"/>
      <c r="BS257" s="248"/>
      <c r="BT257" s="248"/>
      <c r="BU257" s="248"/>
      <c r="BV257" s="248"/>
      <c r="BW257" s="248"/>
      <c r="BX257" s="266"/>
      <c r="BY257" s="266"/>
      <c r="BZ257" s="266"/>
      <c r="CA257" s="266"/>
      <c r="CB257" s="266"/>
      <c r="CC257" s="266"/>
      <c r="CD257" s="266"/>
      <c r="CE257" s="266"/>
    </row>
    <row r="258" spans="1:83" s="267" customFormat="1" ht="12" customHeight="1" thickBot="1" x14ac:dyDescent="0.3">
      <c r="A258" s="265"/>
      <c r="B258" s="268"/>
      <c r="C258" s="1005"/>
      <c r="D258" s="468" t="s">
        <v>409</v>
      </c>
      <c r="E258" s="485"/>
      <c r="F258" s="486"/>
      <c r="G258" s="485"/>
      <c r="H258" s="489"/>
      <c r="I258" s="489"/>
      <c r="J258" s="489"/>
      <c r="K258" s="489"/>
      <c r="L258" s="489"/>
      <c r="M258" s="632"/>
      <c r="N258" s="632"/>
      <c r="O258" s="487"/>
      <c r="P258" s="488"/>
      <c r="Q258" s="489"/>
      <c r="R258" s="490"/>
      <c r="S258" s="491"/>
      <c r="T258" s="490"/>
      <c r="U258" s="492"/>
      <c r="V258" s="491"/>
      <c r="W258" s="491"/>
      <c r="X258" s="491"/>
      <c r="Y258" s="491"/>
      <c r="Z258" s="491"/>
      <c r="AA258" s="493"/>
      <c r="AB258"/>
      <c r="AC258"/>
      <c r="AD258"/>
      <c r="AE258"/>
      <c r="AF258"/>
      <c r="AG258"/>
      <c r="AH258"/>
      <c r="AI258"/>
      <c r="AJ258"/>
      <c r="AK258"/>
      <c r="AL258"/>
      <c r="AM258"/>
      <c r="AN258"/>
      <c r="AO258"/>
      <c r="AP258" s="248"/>
      <c r="AQ258" s="248"/>
      <c r="AR258" s="248"/>
      <c r="AS258" s="248"/>
      <c r="AT258" s="248"/>
      <c r="AU258" s="248"/>
      <c r="AV258" s="248"/>
      <c r="AW258" s="248"/>
      <c r="AX258" s="248"/>
      <c r="AY258" s="248"/>
      <c r="AZ258" s="248"/>
      <c r="BA258" s="248"/>
      <c r="BB258" s="248"/>
      <c r="BC258" s="248"/>
      <c r="BD258" s="248"/>
      <c r="BE258" s="248"/>
      <c r="BF258" s="248"/>
      <c r="BG258" s="248"/>
      <c r="BH258" s="248"/>
      <c r="BI258" s="248"/>
      <c r="BJ258" s="248"/>
      <c r="BK258" s="248"/>
      <c r="BL258" s="248"/>
      <c r="BM258" s="248"/>
      <c r="BN258" s="248"/>
      <c r="BO258" s="248"/>
      <c r="BP258" s="248"/>
      <c r="BQ258" s="248"/>
      <c r="BR258" s="248"/>
      <c r="BS258" s="248"/>
      <c r="BT258" s="248"/>
      <c r="BU258" s="248"/>
      <c r="BV258" s="248"/>
      <c r="BW258" s="248"/>
      <c r="BX258" s="266"/>
      <c r="BY258" s="266"/>
      <c r="BZ258" s="266"/>
      <c r="CA258" s="266"/>
      <c r="CB258" s="266"/>
      <c r="CC258" s="266"/>
      <c r="CD258" s="266"/>
      <c r="CE258" s="266"/>
    </row>
    <row r="259" spans="1:83" s="267" customFormat="1" ht="12" customHeight="1" thickBot="1" x14ac:dyDescent="0.3">
      <c r="A259" s="265"/>
      <c r="B259" s="268"/>
      <c r="C259" s="1005"/>
      <c r="D259" s="468" t="s">
        <v>410</v>
      </c>
      <c r="E259" s="485">
        <f>+E10+E14+E18+E22+E26+E30+E38+E42+E46+E50+E54+E58+E62+E66+E70+E74+E82+E86+E90+E94+E98+E102+E110+E114+E118+E122+E126+E130+E134+E143+E147+E151+E155+E159+E168+E172+E180+E184+E192+E196+E200+E204+E208+E216+E220+E224+E232+E236+E240+E244+E248+E256</f>
        <v>5778954746.996666</v>
      </c>
      <c r="F259" s="486"/>
      <c r="G259" s="485">
        <f t="shared" ref="G259" si="20">+G10+G14+G18+G22+G26+G30+G38+G42+G46+G50+G54+G58+G62+G66+G70+G74+G82+G86+G90+G94+G98+G102+G110+G114+G118+G122+G126+G130+G134+G143+G147+G151+G155+G159+G168+G172+G180+G184+G192+G196+G200+G204+G208+G216+G220+G224+G232+G236+G240+G244+G248+G256</f>
        <v>5778954746.996666</v>
      </c>
      <c r="H259" s="270">
        <v>5718956503.9966669</v>
      </c>
      <c r="I259" s="270">
        <f t="shared" ref="I259:L259" si="21">+I10+I14+I18+I22+I26+I30+I38+I42+I46+I50+I54+I58+I62+I66+I70+I74+I82+I86+I90+I94+I98+I102+I110+I114+I118+I122+I126+I130+I134+I143+I147+I151+I155+I159+I168+I172+I180+I184+I192+I196+I200+I204+I208+I216+I220+I224+I232+I236+I240+I244+I248+I256</f>
        <v>0</v>
      </c>
      <c r="J259" s="270">
        <f t="shared" si="21"/>
        <v>0</v>
      </c>
      <c r="K259" s="270">
        <f t="shared" si="21"/>
        <v>1770170432</v>
      </c>
      <c r="L259" s="270">
        <f t="shared" si="21"/>
        <v>3389055085.9933338</v>
      </c>
      <c r="M259" s="626"/>
      <c r="N259" s="626"/>
      <c r="O259" s="487" t="e">
        <f>+O10+O14+O18+O22+O26+O30+O38+O42+O46+O50+O54+O58+O62+O66+O70+O74+O82+O86+O90+O94+O110+O114+O118+O122+O126+O130+O134+O143+O147+O151+O155+O159+O168+O172+O180+O184+O192+O196+O200+O204+O208+O216+O220+O224+O232+O236+O240+O244+O248+O256+#REF!</f>
        <v>#REF!</v>
      </c>
      <c r="P259" s="488" t="e">
        <f>+P10+P14+P18+P22+P26+P30+P38+P42+P46+P50+P54+P58+P62+P66+P70+P74+P82+P86+P90+P94+P110+P114+P118+P122+P126+P130+P134+P143+P147+P151+P155+P159+P168+P172+P180+P184+P192+P196+P200+P204+P208+P216+P220+P224+P232+P236+P240+P244+P248+P256+#REF!</f>
        <v>#REF!</v>
      </c>
      <c r="Q259" s="270"/>
      <c r="R259" s="270"/>
      <c r="S259" s="270"/>
      <c r="T259" s="270"/>
      <c r="U259" s="270"/>
      <c r="V259" s="270"/>
      <c r="W259" s="270"/>
      <c r="X259" s="270"/>
      <c r="Y259" s="270"/>
      <c r="Z259" s="272"/>
      <c r="AA259" s="273"/>
      <c r="AB259"/>
      <c r="AC259"/>
      <c r="AD259"/>
      <c r="AE259"/>
      <c r="AF259"/>
      <c r="AG259"/>
      <c r="AH259"/>
      <c r="AI259"/>
      <c r="AJ259"/>
      <c r="AK259"/>
      <c r="AL259"/>
      <c r="AM259"/>
      <c r="AN259"/>
      <c r="AO259"/>
      <c r="AP259" s="248"/>
      <c r="AQ259" s="248"/>
      <c r="AR259" s="248"/>
      <c r="AS259" s="248"/>
      <c r="AT259" s="248"/>
      <c r="AU259" s="248"/>
      <c r="AV259" s="248"/>
      <c r="AW259" s="248"/>
      <c r="AX259" s="248"/>
      <c r="AY259" s="248"/>
      <c r="AZ259" s="248"/>
      <c r="BA259" s="248"/>
      <c r="BB259" s="248"/>
      <c r="BC259" s="248"/>
      <c r="BD259" s="248"/>
      <c r="BE259" s="248"/>
      <c r="BF259" s="248"/>
      <c r="BG259" s="248"/>
      <c r="BH259" s="248"/>
      <c r="BI259" s="248"/>
      <c r="BJ259" s="248"/>
      <c r="BK259" s="248"/>
      <c r="BL259" s="248"/>
      <c r="BM259" s="248"/>
      <c r="BN259" s="248"/>
      <c r="BO259" s="248"/>
      <c r="BP259" s="248"/>
      <c r="BQ259" s="248"/>
      <c r="BR259" s="248"/>
      <c r="BS259" s="248"/>
      <c r="BT259" s="248"/>
      <c r="BU259" s="248"/>
      <c r="BV259" s="248"/>
      <c r="BW259" s="248"/>
      <c r="BX259" s="266"/>
      <c r="BY259" s="266"/>
      <c r="BZ259" s="266"/>
      <c r="CA259" s="266"/>
      <c r="CB259" s="266"/>
      <c r="CC259" s="266"/>
      <c r="CD259" s="266"/>
      <c r="CE259" s="266"/>
    </row>
    <row r="260" spans="1:83" s="250" customFormat="1" ht="35.450000000000003" customHeight="1" x14ac:dyDescent="0.25">
      <c r="A260" s="1006" t="s">
        <v>39</v>
      </c>
      <c r="B260" s="1007"/>
      <c r="C260" s="1007"/>
      <c r="D260" s="335" t="s">
        <v>40</v>
      </c>
      <c r="E260" s="494"/>
      <c r="F260" s="494"/>
      <c r="G260" s="269"/>
      <c r="H260" s="269"/>
      <c r="I260" s="269"/>
      <c r="J260" s="269"/>
      <c r="K260" s="269"/>
      <c r="L260" s="269"/>
      <c r="M260" s="321"/>
      <c r="N260" s="321"/>
      <c r="O260" s="271"/>
      <c r="P260" s="495">
        <v>11170866547</v>
      </c>
      <c r="Q260" s="269"/>
      <c r="R260" s="269"/>
      <c r="S260" s="269"/>
      <c r="T260" s="269"/>
      <c r="U260" s="270"/>
      <c r="V260" s="270"/>
      <c r="W260" s="270"/>
      <c r="X260" s="270"/>
      <c r="Y260" s="270"/>
      <c r="Z260" s="272"/>
      <c r="AA260" s="273"/>
      <c r="AB260"/>
      <c r="AC260"/>
      <c r="AD260"/>
      <c r="AE260"/>
      <c r="AF260"/>
      <c r="AG260"/>
      <c r="AH260"/>
      <c r="AI260"/>
      <c r="AJ260"/>
      <c r="AK260"/>
      <c r="AL260"/>
      <c r="AM260"/>
      <c r="AN260"/>
      <c r="AO260"/>
      <c r="AP260" s="248"/>
      <c r="AQ260" s="248"/>
      <c r="AR260" s="248"/>
      <c r="AS260" s="248"/>
      <c r="AT260" s="248"/>
      <c r="AU260" s="248"/>
      <c r="AV260" s="248"/>
      <c r="AW260" s="248"/>
      <c r="AX260" s="248"/>
      <c r="AY260" s="248"/>
      <c r="AZ260" s="248"/>
      <c r="BA260" s="248"/>
      <c r="BB260" s="248"/>
      <c r="BC260" s="248"/>
      <c r="BD260" s="248"/>
      <c r="BE260" s="248"/>
      <c r="BF260" s="248"/>
      <c r="BG260" s="248"/>
      <c r="BH260" s="248"/>
      <c r="BI260" s="248"/>
      <c r="BJ260" s="248"/>
      <c r="BK260" s="248"/>
      <c r="BL260" s="248"/>
      <c r="BM260" s="248"/>
      <c r="BN260" s="248"/>
      <c r="BO260" s="248"/>
      <c r="BP260" s="248"/>
      <c r="BQ260" s="248"/>
      <c r="BR260" s="248"/>
      <c r="BS260" s="248"/>
      <c r="BT260" s="248"/>
      <c r="BU260" s="248"/>
      <c r="BV260" s="248"/>
      <c r="BW260" s="248"/>
      <c r="BX260" s="249"/>
      <c r="BY260" s="249"/>
      <c r="BZ260" s="249"/>
      <c r="CA260" s="249"/>
      <c r="CB260" s="249"/>
      <c r="CC260" s="249"/>
      <c r="CD260" s="249"/>
      <c r="CE260" s="249"/>
    </row>
    <row r="261" spans="1:83" s="250" customFormat="1" ht="35.450000000000003" customHeight="1" thickBot="1" x14ac:dyDescent="0.3">
      <c r="A261" s="1008"/>
      <c r="B261" s="1009"/>
      <c r="C261" s="1009"/>
      <c r="D261" s="633" t="s">
        <v>41</v>
      </c>
      <c r="E261" s="634"/>
      <c r="F261" s="634">
        <v>11170866546.999998</v>
      </c>
      <c r="G261" s="635"/>
      <c r="H261" s="635"/>
      <c r="I261" s="635"/>
      <c r="J261" s="635"/>
      <c r="K261" s="635"/>
      <c r="L261" s="635"/>
      <c r="M261" s="636"/>
      <c r="N261" s="636"/>
      <c r="O261" s="637"/>
      <c r="P261" s="638"/>
      <c r="Q261" s="635"/>
      <c r="R261" s="635"/>
      <c r="S261" s="635"/>
      <c r="T261" s="635"/>
      <c r="U261" s="635"/>
      <c r="V261" s="635"/>
      <c r="W261" s="635"/>
      <c r="X261" s="1010"/>
      <c r="Y261" s="1010"/>
      <c r="Z261" s="1010"/>
      <c r="AA261" s="1011"/>
      <c r="AB261"/>
      <c r="AC261"/>
      <c r="AD261"/>
      <c r="AE261"/>
      <c r="AF261"/>
      <c r="AG261"/>
      <c r="AH261"/>
      <c r="AI261"/>
      <c r="AJ261"/>
      <c r="AK261"/>
      <c r="AL261"/>
      <c r="AM261"/>
      <c r="AN261"/>
      <c r="AO261"/>
      <c r="AP261" s="248"/>
      <c r="AQ261" s="248"/>
      <c r="AR261" s="248"/>
      <c r="AS261" s="248"/>
      <c r="AT261" s="248"/>
      <c r="AU261" s="248"/>
      <c r="AV261" s="248"/>
      <c r="AW261" s="248"/>
      <c r="AX261" s="248"/>
      <c r="AY261" s="248"/>
      <c r="AZ261" s="248"/>
      <c r="BA261" s="248"/>
      <c r="BB261" s="248"/>
      <c r="BC261" s="248"/>
      <c r="BD261" s="248"/>
      <c r="BE261" s="248"/>
      <c r="BF261" s="248"/>
      <c r="BG261" s="248"/>
      <c r="BH261" s="248"/>
      <c r="BI261" s="248"/>
      <c r="BJ261" s="248"/>
      <c r="BK261" s="248"/>
      <c r="BL261" s="248"/>
      <c r="BM261" s="248"/>
      <c r="BN261" s="248"/>
      <c r="BO261" s="248"/>
      <c r="BP261" s="248"/>
      <c r="BQ261" s="248"/>
      <c r="BR261" s="248"/>
      <c r="BS261" s="248"/>
      <c r="BT261" s="248"/>
      <c r="BU261" s="248"/>
      <c r="BV261" s="248"/>
      <c r="BW261" s="248"/>
      <c r="BX261" s="249"/>
      <c r="BY261" s="249"/>
      <c r="BZ261" s="249"/>
      <c r="CA261" s="249"/>
      <c r="CB261" s="249"/>
      <c r="CC261" s="249"/>
      <c r="CD261" s="249"/>
      <c r="CE261" s="249"/>
    </row>
    <row r="262" spans="1:83" customFormat="1" x14ac:dyDescent="0.25">
      <c r="E262" s="1"/>
      <c r="F262" s="1"/>
      <c r="G262" s="1"/>
      <c r="H262" s="314"/>
      <c r="I262" s="1"/>
      <c r="J262" s="1"/>
      <c r="K262" s="1"/>
      <c r="L262" s="1"/>
      <c r="M262" s="639"/>
      <c r="N262" s="639"/>
      <c r="P262" s="639"/>
    </row>
    <row r="263" spans="1:83" customFormat="1" x14ac:dyDescent="0.25">
      <c r="C263" s="640"/>
      <c r="D263" s="640"/>
      <c r="E263" s="640"/>
      <c r="F263" s="640"/>
      <c r="G263" s="640"/>
      <c r="H263" s="640"/>
      <c r="I263" s="640"/>
      <c r="J263" s="640"/>
      <c r="K263" s="641">
        <f>K257+K250+K238+K234+K230+K226+K210+K194+K190+K186+K174+K161+K136+K108+K104+K84+K80+K76+K36+K32+K12+K8</f>
        <v>10252931192</v>
      </c>
      <c r="L263" s="640"/>
      <c r="M263" s="640"/>
      <c r="N263" s="640"/>
      <c r="O263" s="640"/>
      <c r="P263" s="640"/>
      <c r="Q263" s="640"/>
    </row>
    <row r="264" spans="1:83" customFormat="1" ht="22.5" x14ac:dyDescent="0.25">
      <c r="C264" s="640"/>
      <c r="D264" s="642" t="s">
        <v>41</v>
      </c>
      <c r="E264" s="640"/>
      <c r="F264" s="640"/>
      <c r="G264" s="640"/>
      <c r="H264" s="643">
        <f>H252+H240+H236+H232+H228+H212+H196+H192+H188+H176+H164+H139+H110+H106+H86+H82+H78+H38+H34+H14+H10</f>
        <v>5718956503.996666</v>
      </c>
      <c r="I264" s="640"/>
      <c r="J264" s="640"/>
      <c r="K264" s="644"/>
      <c r="L264" s="640"/>
      <c r="M264" s="640"/>
      <c r="N264" s="640"/>
      <c r="O264" s="640"/>
      <c r="P264" s="640"/>
      <c r="Q264" s="640"/>
    </row>
    <row r="265" spans="1:83" customFormat="1" x14ac:dyDescent="0.25">
      <c r="C265" s="640"/>
      <c r="D265" s="640"/>
      <c r="E265" s="640"/>
      <c r="F265" s="640"/>
      <c r="G265" s="640"/>
      <c r="H265" s="640"/>
      <c r="I265" s="640"/>
      <c r="J265" s="640"/>
      <c r="K265" s="644"/>
      <c r="L265" s="640"/>
      <c r="M265" s="640"/>
      <c r="N265" s="640"/>
      <c r="O265" s="640"/>
      <c r="P265" s="640"/>
      <c r="Q265" s="640"/>
    </row>
    <row r="266" spans="1:83" customFormat="1" x14ac:dyDescent="0.25">
      <c r="E266" s="1"/>
      <c r="F266" s="1"/>
      <c r="G266" s="1"/>
      <c r="H266" s="1"/>
      <c r="I266" s="1"/>
      <c r="J266" s="1"/>
      <c r="K266" s="1"/>
      <c r="L266" s="1"/>
      <c r="M266" s="639"/>
      <c r="N266" s="639"/>
      <c r="P266" s="639"/>
    </row>
    <row r="267" spans="1:83" customFormat="1" x14ac:dyDescent="0.25">
      <c r="E267" s="1"/>
      <c r="F267" s="1"/>
      <c r="G267" s="1"/>
      <c r="H267" s="1"/>
      <c r="I267" s="1"/>
      <c r="J267" s="1"/>
      <c r="K267" s="1"/>
      <c r="L267" s="1"/>
      <c r="M267" s="639"/>
      <c r="N267" s="639"/>
      <c r="P267" s="639"/>
    </row>
    <row r="268" spans="1:83" customFormat="1" x14ac:dyDescent="0.25">
      <c r="E268" s="1"/>
      <c r="F268" s="1"/>
      <c r="G268" s="1"/>
      <c r="H268" s="1"/>
      <c r="I268" s="1"/>
      <c r="J268" s="1"/>
      <c r="K268" s="1"/>
      <c r="L268" s="1"/>
      <c r="M268" s="639"/>
      <c r="N268" s="639"/>
      <c r="P268" s="639"/>
    </row>
    <row r="269" spans="1:83" customFormat="1" x14ac:dyDescent="0.25">
      <c r="E269" s="1"/>
      <c r="F269" s="1"/>
      <c r="G269" s="1"/>
      <c r="H269" s="1"/>
      <c r="I269" s="1"/>
      <c r="J269" s="1"/>
      <c r="K269" s="1"/>
      <c r="L269" s="1"/>
      <c r="M269" s="639"/>
      <c r="N269" s="639"/>
      <c r="P269" s="639"/>
    </row>
    <row r="270" spans="1:83" customFormat="1" x14ac:dyDescent="0.25">
      <c r="E270" s="1"/>
      <c r="F270" s="1"/>
      <c r="G270" s="1"/>
      <c r="H270" s="1"/>
      <c r="I270" s="1"/>
      <c r="J270" s="1"/>
      <c r="K270" s="1"/>
      <c r="L270" s="1"/>
      <c r="M270" s="639"/>
      <c r="N270" s="639"/>
      <c r="P270" s="639"/>
    </row>
    <row r="271" spans="1:83" customFormat="1" x14ac:dyDescent="0.25">
      <c r="E271" s="1"/>
      <c r="F271" s="1"/>
      <c r="G271" s="1"/>
      <c r="H271" s="1"/>
      <c r="I271" s="1"/>
      <c r="J271" s="1"/>
      <c r="K271" s="1"/>
      <c r="L271" s="1"/>
      <c r="M271" s="639"/>
      <c r="N271" s="639"/>
      <c r="P271" s="639"/>
    </row>
    <row r="272" spans="1:83" customFormat="1" x14ac:dyDescent="0.25">
      <c r="E272" s="1"/>
      <c r="F272" s="1"/>
      <c r="G272" s="1"/>
      <c r="H272" s="1"/>
      <c r="I272" s="1"/>
      <c r="J272" s="1"/>
      <c r="K272" s="1"/>
      <c r="L272" s="1"/>
      <c r="M272" s="639"/>
      <c r="N272" s="639"/>
      <c r="P272" s="639"/>
    </row>
    <row r="273" spans="5:16" customFormat="1" x14ac:dyDescent="0.25">
      <c r="E273" s="1"/>
      <c r="F273" s="1"/>
      <c r="G273" s="1"/>
      <c r="H273" s="1"/>
      <c r="I273" s="1"/>
      <c r="J273" s="1"/>
      <c r="K273" s="1"/>
      <c r="L273" s="1"/>
      <c r="M273" s="639"/>
      <c r="N273" s="639"/>
      <c r="P273" s="639"/>
    </row>
    <row r="274" spans="5:16" customFormat="1" x14ac:dyDescent="0.25">
      <c r="E274" s="1"/>
      <c r="F274" s="1"/>
      <c r="G274" s="1"/>
      <c r="H274" s="1"/>
      <c r="I274" s="1"/>
      <c r="J274" s="1"/>
      <c r="K274" s="1"/>
      <c r="L274" s="1"/>
      <c r="M274" s="639"/>
      <c r="N274" s="639"/>
      <c r="P274" s="639"/>
    </row>
    <row r="275" spans="5:16" customFormat="1" x14ac:dyDescent="0.25">
      <c r="E275" s="1"/>
      <c r="F275" s="1"/>
      <c r="G275" s="1"/>
      <c r="H275" s="1"/>
      <c r="I275" s="1"/>
      <c r="J275" s="1"/>
      <c r="K275" s="1"/>
      <c r="L275" s="1"/>
      <c r="M275" s="639"/>
      <c r="N275" s="639"/>
      <c r="P275" s="639"/>
    </row>
    <row r="276" spans="5:16" customFormat="1" x14ac:dyDescent="0.25">
      <c r="E276" s="1"/>
      <c r="F276" s="1"/>
      <c r="G276" s="1"/>
      <c r="H276" s="1"/>
      <c r="I276" s="1"/>
      <c r="J276" s="1"/>
      <c r="K276" s="1"/>
      <c r="L276" s="1"/>
      <c r="M276" s="639"/>
      <c r="N276" s="639"/>
      <c r="P276" s="639"/>
    </row>
    <row r="277" spans="5:16" customFormat="1" x14ac:dyDescent="0.25">
      <c r="E277" s="1"/>
      <c r="F277" s="1"/>
      <c r="G277" s="1"/>
      <c r="H277" s="1"/>
      <c r="I277" s="1"/>
      <c r="J277" s="1"/>
      <c r="K277" s="1"/>
      <c r="L277" s="1"/>
      <c r="M277" s="639"/>
      <c r="N277" s="639"/>
      <c r="P277" s="639"/>
    </row>
    <row r="278" spans="5:16" customFormat="1" x14ac:dyDescent="0.25">
      <c r="E278" s="1"/>
      <c r="F278" s="1"/>
      <c r="G278" s="1"/>
      <c r="H278" s="1"/>
      <c r="I278" s="1"/>
      <c r="J278" s="1"/>
      <c r="K278" s="1"/>
      <c r="L278" s="1"/>
      <c r="M278" s="639"/>
      <c r="N278" s="639"/>
      <c r="P278" s="639"/>
    </row>
    <row r="279" spans="5:16" customFormat="1" x14ac:dyDescent="0.25">
      <c r="E279" s="1"/>
      <c r="F279" s="1"/>
      <c r="G279" s="1"/>
      <c r="H279" s="1"/>
      <c r="I279" s="1"/>
      <c r="J279" s="1"/>
      <c r="K279" s="1"/>
      <c r="L279" s="1"/>
      <c r="M279" s="639"/>
      <c r="N279" s="639"/>
      <c r="P279" s="639"/>
    </row>
    <row r="280" spans="5:16" customFormat="1" x14ac:dyDescent="0.25">
      <c r="E280" s="1"/>
      <c r="F280" s="1"/>
      <c r="G280" s="1"/>
      <c r="H280" s="1"/>
      <c r="I280" s="1"/>
      <c r="J280" s="1"/>
      <c r="K280" s="1"/>
      <c r="L280" s="1"/>
      <c r="M280" s="639"/>
      <c r="N280" s="639"/>
      <c r="P280" s="639"/>
    </row>
    <row r="281" spans="5:16" customFormat="1" x14ac:dyDescent="0.25">
      <c r="E281" s="1"/>
      <c r="F281" s="1"/>
      <c r="G281" s="1"/>
      <c r="H281" s="1"/>
      <c r="I281" s="1"/>
      <c r="J281" s="1"/>
      <c r="K281" s="1"/>
      <c r="L281" s="1"/>
      <c r="M281" s="639"/>
      <c r="N281" s="639"/>
      <c r="P281" s="639"/>
    </row>
  </sheetData>
  <mergeCells count="696">
    <mergeCell ref="Z253:Z256"/>
    <mergeCell ref="AA253:AA256"/>
    <mergeCell ref="C257:C259"/>
    <mergeCell ref="A260:C261"/>
    <mergeCell ref="X261:AA261"/>
    <mergeCell ref="A253:A256"/>
    <mergeCell ref="B253:B256"/>
    <mergeCell ref="C253:C256"/>
    <mergeCell ref="Q253:Q256"/>
    <mergeCell ref="R253:R256"/>
    <mergeCell ref="S253:S256"/>
    <mergeCell ref="T253:T256"/>
    <mergeCell ref="U253:U256"/>
    <mergeCell ref="V253:V256"/>
    <mergeCell ref="Z241:Z244"/>
    <mergeCell ref="AA241:AA244"/>
    <mergeCell ref="C245:C248"/>
    <mergeCell ref="Q245:Q248"/>
    <mergeCell ref="R245:R248"/>
    <mergeCell ref="S245:S248"/>
    <mergeCell ref="T245:T248"/>
    <mergeCell ref="U245:U248"/>
    <mergeCell ref="V245:V248"/>
    <mergeCell ref="W245:W248"/>
    <mergeCell ref="X245:X248"/>
    <mergeCell ref="Y245:Y248"/>
    <mergeCell ref="Z245:Z248"/>
    <mergeCell ref="AA245:AA248"/>
    <mergeCell ref="A241:A252"/>
    <mergeCell ref="B241:B252"/>
    <mergeCell ref="C241:C244"/>
    <mergeCell ref="Q241:Q244"/>
    <mergeCell ref="R241:R244"/>
    <mergeCell ref="S241:S244"/>
    <mergeCell ref="T241:T244"/>
    <mergeCell ref="U241:U244"/>
    <mergeCell ref="V241:V244"/>
    <mergeCell ref="C249:C252"/>
    <mergeCell ref="Z233:Z236"/>
    <mergeCell ref="AA233:AA236"/>
    <mergeCell ref="A237:A240"/>
    <mergeCell ref="B237:B240"/>
    <mergeCell ref="C237:C240"/>
    <mergeCell ref="Q237:Q240"/>
    <mergeCell ref="R237:R240"/>
    <mergeCell ref="S237:S240"/>
    <mergeCell ref="T237:T240"/>
    <mergeCell ref="U237:U240"/>
    <mergeCell ref="V237:V240"/>
    <mergeCell ref="W237:W240"/>
    <mergeCell ref="X237:X240"/>
    <mergeCell ref="Y237:Y240"/>
    <mergeCell ref="Z237:Z240"/>
    <mergeCell ref="AA237:AA240"/>
    <mergeCell ref="A233:A236"/>
    <mergeCell ref="B233:B236"/>
    <mergeCell ref="C233:C236"/>
    <mergeCell ref="Q233:Q236"/>
    <mergeCell ref="R233:R236"/>
    <mergeCell ref="S233:S236"/>
    <mergeCell ref="T233:T236"/>
    <mergeCell ref="U233:U236"/>
    <mergeCell ref="V233:V236"/>
    <mergeCell ref="Z221:Z224"/>
    <mergeCell ref="AA221:AA224"/>
    <mergeCell ref="C225:C228"/>
    <mergeCell ref="A229:A232"/>
    <mergeCell ref="B229:B232"/>
    <mergeCell ref="C229:C232"/>
    <mergeCell ref="Q229:Q232"/>
    <mergeCell ref="R229:R232"/>
    <mergeCell ref="S229:S232"/>
    <mergeCell ref="T229:T232"/>
    <mergeCell ref="U229:U232"/>
    <mergeCell ref="V229:V232"/>
    <mergeCell ref="W229:W232"/>
    <mergeCell ref="X229:X232"/>
    <mergeCell ref="Y229:Y232"/>
    <mergeCell ref="Z229:Z232"/>
    <mergeCell ref="AA229:AA232"/>
    <mergeCell ref="A213:A228"/>
    <mergeCell ref="B213:B228"/>
    <mergeCell ref="U221:U224"/>
    <mergeCell ref="V221:V224"/>
    <mergeCell ref="W221:W224"/>
    <mergeCell ref="X221:X224"/>
    <mergeCell ref="U213:U216"/>
    <mergeCell ref="V213:V216"/>
    <mergeCell ref="W213:W216"/>
    <mergeCell ref="X213:X216"/>
    <mergeCell ref="Y213:Y216"/>
    <mergeCell ref="Z213:Z216"/>
    <mergeCell ref="AA213:AA216"/>
    <mergeCell ref="C217:C220"/>
    <mergeCell ref="Q217:Q220"/>
    <mergeCell ref="R217:R220"/>
    <mergeCell ref="S217:S220"/>
    <mergeCell ref="T217:T220"/>
    <mergeCell ref="U217:U220"/>
    <mergeCell ref="V217:V220"/>
    <mergeCell ref="W217:W220"/>
    <mergeCell ref="X217:X220"/>
    <mergeCell ref="Y217:Y220"/>
    <mergeCell ref="Z217:Z220"/>
    <mergeCell ref="AA217:AA220"/>
    <mergeCell ref="C213:C216"/>
    <mergeCell ref="Z201:Z204"/>
    <mergeCell ref="AA201:AA204"/>
    <mergeCell ref="C205:C208"/>
    <mergeCell ref="Q205:Q208"/>
    <mergeCell ref="R205:R208"/>
    <mergeCell ref="S205:S208"/>
    <mergeCell ref="T205:T208"/>
    <mergeCell ref="U205:U208"/>
    <mergeCell ref="V205:V208"/>
    <mergeCell ref="W205:W208"/>
    <mergeCell ref="X205:X208"/>
    <mergeCell ref="Y205:Y208"/>
    <mergeCell ref="Z205:Z208"/>
    <mergeCell ref="AA205:AA208"/>
    <mergeCell ref="AA193:AA196"/>
    <mergeCell ref="A197:A212"/>
    <mergeCell ref="B197:B212"/>
    <mergeCell ref="C197:C200"/>
    <mergeCell ref="Q197:Q200"/>
    <mergeCell ref="R197:R200"/>
    <mergeCell ref="S197:S200"/>
    <mergeCell ref="T197:T200"/>
    <mergeCell ref="U197:U200"/>
    <mergeCell ref="V197:V200"/>
    <mergeCell ref="W197:W200"/>
    <mergeCell ref="X197:X200"/>
    <mergeCell ref="Y197:Y200"/>
    <mergeCell ref="Z197:Z200"/>
    <mergeCell ref="AA197:AA200"/>
    <mergeCell ref="C201:C204"/>
    <mergeCell ref="Q201:Q204"/>
    <mergeCell ref="R201:R204"/>
    <mergeCell ref="S201:S204"/>
    <mergeCell ref="T201:T204"/>
    <mergeCell ref="U201:U204"/>
    <mergeCell ref="V201:V204"/>
    <mergeCell ref="W201:W204"/>
    <mergeCell ref="X201:X204"/>
    <mergeCell ref="AA183:AA184"/>
    <mergeCell ref="C185:C188"/>
    <mergeCell ref="A189:A192"/>
    <mergeCell ref="B189:B192"/>
    <mergeCell ref="C189:C192"/>
    <mergeCell ref="Q189:Q192"/>
    <mergeCell ref="R189:R192"/>
    <mergeCell ref="S189:S192"/>
    <mergeCell ref="T189:T192"/>
    <mergeCell ref="U189:U192"/>
    <mergeCell ref="V189:V192"/>
    <mergeCell ref="W189:W192"/>
    <mergeCell ref="X189:X192"/>
    <mergeCell ref="Y189:Y192"/>
    <mergeCell ref="Z189:Z192"/>
    <mergeCell ref="AA189:AA192"/>
    <mergeCell ref="X177:X180"/>
    <mergeCell ref="Y177:Y180"/>
    <mergeCell ref="Z177:Z180"/>
    <mergeCell ref="AA177:AA180"/>
    <mergeCell ref="C181:C184"/>
    <mergeCell ref="Q181:Q184"/>
    <mergeCell ref="R181:R182"/>
    <mergeCell ref="S181:S182"/>
    <mergeCell ref="T181:T182"/>
    <mergeCell ref="U181:U182"/>
    <mergeCell ref="V181:V182"/>
    <mergeCell ref="W181:W182"/>
    <mergeCell ref="X181:X182"/>
    <mergeCell ref="Y181:Y182"/>
    <mergeCell ref="Z181:Z182"/>
    <mergeCell ref="AA181:AA182"/>
    <mergeCell ref="R183:R184"/>
    <mergeCell ref="S183:S184"/>
    <mergeCell ref="T183:T184"/>
    <mergeCell ref="U183:U184"/>
    <mergeCell ref="V183:V184"/>
    <mergeCell ref="W183:W184"/>
    <mergeCell ref="X183:X184"/>
    <mergeCell ref="Y183:Y184"/>
    <mergeCell ref="X165:X168"/>
    <mergeCell ref="Y165:Y168"/>
    <mergeCell ref="Z165:Z168"/>
    <mergeCell ref="AA165:AA168"/>
    <mergeCell ref="C169:C172"/>
    <mergeCell ref="Q169:Q172"/>
    <mergeCell ref="R169:R172"/>
    <mergeCell ref="S169:S172"/>
    <mergeCell ref="T169:T172"/>
    <mergeCell ref="U169:U172"/>
    <mergeCell ref="V169:V172"/>
    <mergeCell ref="W169:W172"/>
    <mergeCell ref="X169:X172"/>
    <mergeCell ref="Y169:Y172"/>
    <mergeCell ref="Z169:Z172"/>
    <mergeCell ref="AA169:AA172"/>
    <mergeCell ref="AA148:AA151"/>
    <mergeCell ref="C152:C155"/>
    <mergeCell ref="Q152:Q155"/>
    <mergeCell ref="R152:R155"/>
    <mergeCell ref="S152:S155"/>
    <mergeCell ref="T152:T155"/>
    <mergeCell ref="U152:U155"/>
    <mergeCell ref="V152:V155"/>
    <mergeCell ref="W152:W155"/>
    <mergeCell ref="X152:X155"/>
    <mergeCell ref="Y152:Y155"/>
    <mergeCell ref="Z152:Z155"/>
    <mergeCell ref="AA152:AA155"/>
    <mergeCell ref="R148:R151"/>
    <mergeCell ref="S148:S151"/>
    <mergeCell ref="T148:T151"/>
    <mergeCell ref="U148:U151"/>
    <mergeCell ref="V148:V151"/>
    <mergeCell ref="W148:W151"/>
    <mergeCell ref="X148:X151"/>
    <mergeCell ref="Y148:Y151"/>
    <mergeCell ref="Z148:Z151"/>
    <mergeCell ref="Y140:Y143"/>
    <mergeCell ref="Z140:Z143"/>
    <mergeCell ref="AA140:AA143"/>
    <mergeCell ref="C144:C147"/>
    <mergeCell ref="Q144:Q147"/>
    <mergeCell ref="R144:R147"/>
    <mergeCell ref="S144:S147"/>
    <mergeCell ref="T144:T147"/>
    <mergeCell ref="U144:U147"/>
    <mergeCell ref="V144:V147"/>
    <mergeCell ref="W144:W147"/>
    <mergeCell ref="X144:X147"/>
    <mergeCell ref="Y144:Y147"/>
    <mergeCell ref="Z144:Z147"/>
    <mergeCell ref="AA144:AA147"/>
    <mergeCell ref="AA95:AA98"/>
    <mergeCell ref="AA99:AA102"/>
    <mergeCell ref="AA107:AA110"/>
    <mergeCell ref="A111:A139"/>
    <mergeCell ref="B111:B139"/>
    <mergeCell ref="AA111:AA114"/>
    <mergeCell ref="AA115:AA118"/>
    <mergeCell ref="AA119:AA122"/>
    <mergeCell ref="AA123:AA126"/>
    <mergeCell ref="AA127:AA130"/>
    <mergeCell ref="AA131:AA134"/>
    <mergeCell ref="C135:C139"/>
    <mergeCell ref="R123:R126"/>
    <mergeCell ref="S123:S126"/>
    <mergeCell ref="T123:T126"/>
    <mergeCell ref="U123:U126"/>
    <mergeCell ref="V123:V126"/>
    <mergeCell ref="Q127:Q130"/>
    <mergeCell ref="R127:R130"/>
    <mergeCell ref="S127:S130"/>
    <mergeCell ref="T127:T130"/>
    <mergeCell ref="U127:U130"/>
    <mergeCell ref="V127:V130"/>
    <mergeCell ref="R115:R118"/>
    <mergeCell ref="AA55:AA58"/>
    <mergeCell ref="AA59:AA62"/>
    <mergeCell ref="AA63:AA66"/>
    <mergeCell ref="AA67:AA70"/>
    <mergeCell ref="AA71:AA74"/>
    <mergeCell ref="AA79:AA82"/>
    <mergeCell ref="AA83:AA86"/>
    <mergeCell ref="AA87:AA90"/>
    <mergeCell ref="AA91:AA94"/>
    <mergeCell ref="AA15:AA18"/>
    <mergeCell ref="AA19:AA22"/>
    <mergeCell ref="AA23:AA26"/>
    <mergeCell ref="AA27:AA30"/>
    <mergeCell ref="AA35:AA38"/>
    <mergeCell ref="AA39:AA42"/>
    <mergeCell ref="AA43:AA46"/>
    <mergeCell ref="AA47:AA50"/>
    <mergeCell ref="AA51:AA54"/>
    <mergeCell ref="A193:A196"/>
    <mergeCell ref="B193:B196"/>
    <mergeCell ref="C193:C196"/>
    <mergeCell ref="Q193:Q196"/>
    <mergeCell ref="R193:R196"/>
    <mergeCell ref="S193:S196"/>
    <mergeCell ref="T193:T196"/>
    <mergeCell ref="U193:U196"/>
    <mergeCell ref="V193:V196"/>
    <mergeCell ref="W193:W196"/>
    <mergeCell ref="X193:X196"/>
    <mergeCell ref="Y193:Y196"/>
    <mergeCell ref="Z193:Z196"/>
    <mergeCell ref="Y201:Y204"/>
    <mergeCell ref="Z183:Z184"/>
    <mergeCell ref="Z95:Z98"/>
    <mergeCell ref="Z99:Z102"/>
    <mergeCell ref="Z107:Z110"/>
    <mergeCell ref="Z111:Z114"/>
    <mergeCell ref="Z115:Z118"/>
    <mergeCell ref="Z119:Z122"/>
    <mergeCell ref="Z123:Z126"/>
    <mergeCell ref="Z127:Z130"/>
    <mergeCell ref="Z131:Z134"/>
    <mergeCell ref="W123:W126"/>
    <mergeCell ref="W127:W130"/>
    <mergeCell ref="X123:X126"/>
    <mergeCell ref="Y123:Y126"/>
    <mergeCell ref="X127:X130"/>
    <mergeCell ref="Y127:Y130"/>
    <mergeCell ref="X131:X134"/>
    <mergeCell ref="Y131:Y134"/>
    <mergeCell ref="X140:X143"/>
    <mergeCell ref="Z55:Z58"/>
    <mergeCell ref="Z59:Z62"/>
    <mergeCell ref="Z63:Z66"/>
    <mergeCell ref="Z67:Z70"/>
    <mergeCell ref="Z71:Z74"/>
    <mergeCell ref="Z79:Z82"/>
    <mergeCell ref="Z83:Z86"/>
    <mergeCell ref="Z87:Z90"/>
    <mergeCell ref="Z91:Z94"/>
    <mergeCell ref="Z15:Z18"/>
    <mergeCell ref="Z19:Z22"/>
    <mergeCell ref="Z23:Z26"/>
    <mergeCell ref="Z27:Z30"/>
    <mergeCell ref="Z35:Z38"/>
    <mergeCell ref="Z39:Z42"/>
    <mergeCell ref="Z43:Z46"/>
    <mergeCell ref="Z47:Z50"/>
    <mergeCell ref="Z51:Z54"/>
    <mergeCell ref="Z7:Z10"/>
    <mergeCell ref="Z11:Z14"/>
    <mergeCell ref="E3:F3"/>
    <mergeCell ref="G3:AA3"/>
    <mergeCell ref="E4:F4"/>
    <mergeCell ref="G4:AA4"/>
    <mergeCell ref="K5:P5"/>
    <mergeCell ref="Q5:U5"/>
    <mergeCell ref="V5:AA5"/>
    <mergeCell ref="AA7:AA10"/>
    <mergeCell ref="AA11:AA14"/>
    <mergeCell ref="R7:R10"/>
    <mergeCell ref="S7:S10"/>
    <mergeCell ref="T7:T10"/>
    <mergeCell ref="U7:U10"/>
    <mergeCell ref="V7:V10"/>
    <mergeCell ref="W7:W10"/>
    <mergeCell ref="R11:R14"/>
    <mergeCell ref="S11:S14"/>
    <mergeCell ref="T11:T14"/>
    <mergeCell ref="U11:U14"/>
    <mergeCell ref="V11:V14"/>
    <mergeCell ref="W11:W14"/>
    <mergeCell ref="Q7:Q10"/>
    <mergeCell ref="Q177:Q180"/>
    <mergeCell ref="R177:R180"/>
    <mergeCell ref="S177:S180"/>
    <mergeCell ref="T177:T180"/>
    <mergeCell ref="U177:U180"/>
    <mergeCell ref="V177:V180"/>
    <mergeCell ref="W177:W180"/>
    <mergeCell ref="A165:A176"/>
    <mergeCell ref="B165:B176"/>
    <mergeCell ref="C165:C168"/>
    <mergeCell ref="Q165:Q168"/>
    <mergeCell ref="R165:R168"/>
    <mergeCell ref="S165:S168"/>
    <mergeCell ref="T165:T168"/>
    <mergeCell ref="U165:U168"/>
    <mergeCell ref="V165:V168"/>
    <mergeCell ref="W165:W168"/>
    <mergeCell ref="C173:C176"/>
    <mergeCell ref="A177:A188"/>
    <mergeCell ref="B177:B188"/>
    <mergeCell ref="C177:C180"/>
    <mergeCell ref="A140:A164"/>
    <mergeCell ref="B140:B164"/>
    <mergeCell ref="R131:R134"/>
    <mergeCell ref="S131:S134"/>
    <mergeCell ref="T131:T134"/>
    <mergeCell ref="U131:U134"/>
    <mergeCell ref="V131:V134"/>
    <mergeCell ref="W131:W134"/>
    <mergeCell ref="R140:R143"/>
    <mergeCell ref="S140:S143"/>
    <mergeCell ref="T140:T143"/>
    <mergeCell ref="U140:U143"/>
    <mergeCell ref="V140:V143"/>
    <mergeCell ref="W140:W143"/>
    <mergeCell ref="C131:C134"/>
    <mergeCell ref="C140:C143"/>
    <mergeCell ref="C148:C151"/>
    <mergeCell ref="C156:C159"/>
    <mergeCell ref="C160:C164"/>
    <mergeCell ref="Q131:Q134"/>
    <mergeCell ref="Q140:Q143"/>
    <mergeCell ref="Q148:Q151"/>
    <mergeCell ref="T115:T118"/>
    <mergeCell ref="U115:U118"/>
    <mergeCell ref="V115:V118"/>
    <mergeCell ref="W115:W118"/>
    <mergeCell ref="R119:R122"/>
    <mergeCell ref="S119:S122"/>
    <mergeCell ref="T119:T122"/>
    <mergeCell ref="U119:U122"/>
    <mergeCell ref="V119:V122"/>
    <mergeCell ref="W119:W122"/>
    <mergeCell ref="R95:R98"/>
    <mergeCell ref="S95:S98"/>
    <mergeCell ref="T95:T98"/>
    <mergeCell ref="U95:U98"/>
    <mergeCell ref="V95:V98"/>
    <mergeCell ref="W95:W98"/>
    <mergeCell ref="R99:R102"/>
    <mergeCell ref="S99:S102"/>
    <mergeCell ref="T99:T102"/>
    <mergeCell ref="U99:U102"/>
    <mergeCell ref="V99:V102"/>
    <mergeCell ref="W99:W102"/>
    <mergeCell ref="R87:R90"/>
    <mergeCell ref="S87:S90"/>
    <mergeCell ref="T87:T90"/>
    <mergeCell ref="U87:U90"/>
    <mergeCell ref="V87:V90"/>
    <mergeCell ref="W87:W90"/>
    <mergeCell ref="R91:R94"/>
    <mergeCell ref="S91:S94"/>
    <mergeCell ref="T91:T94"/>
    <mergeCell ref="U91:U94"/>
    <mergeCell ref="V91:V94"/>
    <mergeCell ref="W91:W94"/>
    <mergeCell ref="S79:S82"/>
    <mergeCell ref="T79:T82"/>
    <mergeCell ref="U79:U82"/>
    <mergeCell ref="V79:V82"/>
    <mergeCell ref="W79:W82"/>
    <mergeCell ref="R83:R86"/>
    <mergeCell ref="S83:S86"/>
    <mergeCell ref="T83:T86"/>
    <mergeCell ref="U83:U86"/>
    <mergeCell ref="V83:V86"/>
    <mergeCell ref="W83:W86"/>
    <mergeCell ref="R71:R74"/>
    <mergeCell ref="S71:S74"/>
    <mergeCell ref="T71:T74"/>
    <mergeCell ref="U71:U74"/>
    <mergeCell ref="V71:V74"/>
    <mergeCell ref="W71:W74"/>
    <mergeCell ref="R59:R62"/>
    <mergeCell ref="S59:S62"/>
    <mergeCell ref="T59:T62"/>
    <mergeCell ref="U59:U62"/>
    <mergeCell ref="V59:V62"/>
    <mergeCell ref="W59:W62"/>
    <mergeCell ref="R63:R66"/>
    <mergeCell ref="S63:S66"/>
    <mergeCell ref="T63:T66"/>
    <mergeCell ref="U63:U66"/>
    <mergeCell ref="V63:V66"/>
    <mergeCell ref="W63:W66"/>
    <mergeCell ref="R67:R70"/>
    <mergeCell ref="S67:S70"/>
    <mergeCell ref="T67:T70"/>
    <mergeCell ref="U67:U70"/>
    <mergeCell ref="V67:V70"/>
    <mergeCell ref="W67:W70"/>
    <mergeCell ref="R51:R54"/>
    <mergeCell ref="S51:S54"/>
    <mergeCell ref="T51:T54"/>
    <mergeCell ref="U51:U54"/>
    <mergeCell ref="V51:V54"/>
    <mergeCell ref="W51:W54"/>
    <mergeCell ref="R55:R58"/>
    <mergeCell ref="S55:S58"/>
    <mergeCell ref="T55:T58"/>
    <mergeCell ref="U55:U58"/>
    <mergeCell ref="V55:V58"/>
    <mergeCell ref="W55:W58"/>
    <mergeCell ref="T35:T38"/>
    <mergeCell ref="U35:U38"/>
    <mergeCell ref="V35:V38"/>
    <mergeCell ref="W35:W38"/>
    <mergeCell ref="R39:R42"/>
    <mergeCell ref="S39:S42"/>
    <mergeCell ref="T39:T42"/>
    <mergeCell ref="U39:U42"/>
    <mergeCell ref="V39:V42"/>
    <mergeCell ref="W39:W42"/>
    <mergeCell ref="R35:R38"/>
    <mergeCell ref="S35:S38"/>
    <mergeCell ref="R43:R46"/>
    <mergeCell ref="S43:S46"/>
    <mergeCell ref="T43:T46"/>
    <mergeCell ref="U43:U46"/>
    <mergeCell ref="V43:V46"/>
    <mergeCell ref="W43:W46"/>
    <mergeCell ref="R47:R50"/>
    <mergeCell ref="S47:S50"/>
    <mergeCell ref="T47:T50"/>
    <mergeCell ref="U47:U50"/>
    <mergeCell ref="V47:V50"/>
    <mergeCell ref="W47:W50"/>
    <mergeCell ref="Q123:Q126"/>
    <mergeCell ref="C71:C74"/>
    <mergeCell ref="C79:C82"/>
    <mergeCell ref="Q71:Q74"/>
    <mergeCell ref="C75:C78"/>
    <mergeCell ref="C59:C62"/>
    <mergeCell ref="C127:C130"/>
    <mergeCell ref="C95:C98"/>
    <mergeCell ref="C119:C122"/>
    <mergeCell ref="C123:C126"/>
    <mergeCell ref="Q91:Q94"/>
    <mergeCell ref="C87:C90"/>
    <mergeCell ref="Q99:Q102"/>
    <mergeCell ref="C103:C106"/>
    <mergeCell ref="C107:C110"/>
    <mergeCell ref="C111:C114"/>
    <mergeCell ref="C115:C118"/>
    <mergeCell ref="C99:C102"/>
    <mergeCell ref="Q107:Q110"/>
    <mergeCell ref="Q111:Q114"/>
    <mergeCell ref="Q115:Q118"/>
    <mergeCell ref="Q95:Q98"/>
    <mergeCell ref="Q55:Q58"/>
    <mergeCell ref="Q59:Q62"/>
    <mergeCell ref="Q67:Q70"/>
    <mergeCell ref="Q63:Q66"/>
    <mergeCell ref="C43:C46"/>
    <mergeCell ref="C47:C50"/>
    <mergeCell ref="Q23:Q26"/>
    <mergeCell ref="Q43:Q46"/>
    <mergeCell ref="C51:C54"/>
    <mergeCell ref="C55:C58"/>
    <mergeCell ref="C63:C66"/>
    <mergeCell ref="C67:C70"/>
    <mergeCell ref="B11:B14"/>
    <mergeCell ref="Q15:Q18"/>
    <mergeCell ref="Q11:Q14"/>
    <mergeCell ref="B7:B10"/>
    <mergeCell ref="C19:C22"/>
    <mergeCell ref="C15:C18"/>
    <mergeCell ref="Q19:Q22"/>
    <mergeCell ref="A1:D4"/>
    <mergeCell ref="A5:A6"/>
    <mergeCell ref="B5:B6"/>
    <mergeCell ref="C5:C6"/>
    <mergeCell ref="D5:D6"/>
    <mergeCell ref="E5:E6"/>
    <mergeCell ref="C7:C10"/>
    <mergeCell ref="C11:C14"/>
    <mergeCell ref="G5:J5"/>
    <mergeCell ref="E1:AA1"/>
    <mergeCell ref="E2:AA2"/>
    <mergeCell ref="X7:X10"/>
    <mergeCell ref="Y7:Y10"/>
    <mergeCell ref="X11:X14"/>
    <mergeCell ref="A7:A10"/>
    <mergeCell ref="A11:A14"/>
    <mergeCell ref="Y11:Y14"/>
    <mergeCell ref="X23:X26"/>
    <mergeCell ref="Y23:Y26"/>
    <mergeCell ref="X27:X30"/>
    <mergeCell ref="Y27:Y30"/>
    <mergeCell ref="R15:R18"/>
    <mergeCell ref="S15:S18"/>
    <mergeCell ref="T15:T18"/>
    <mergeCell ref="U15:U18"/>
    <mergeCell ref="V15:V18"/>
    <mergeCell ref="W15:W18"/>
    <mergeCell ref="R19:R22"/>
    <mergeCell ref="S19:S22"/>
    <mergeCell ref="T19:T22"/>
    <mergeCell ref="U19:U22"/>
    <mergeCell ref="V19:V22"/>
    <mergeCell ref="W19:W22"/>
    <mergeCell ref="T27:T30"/>
    <mergeCell ref="U27:U30"/>
    <mergeCell ref="V27:V30"/>
    <mergeCell ref="W27:W30"/>
    <mergeCell ref="A35:A38"/>
    <mergeCell ref="B35:B38"/>
    <mergeCell ref="X35:X38"/>
    <mergeCell ref="Y35:Y38"/>
    <mergeCell ref="C35:C38"/>
    <mergeCell ref="C23:C26"/>
    <mergeCell ref="Q35:Q38"/>
    <mergeCell ref="Q27:Q30"/>
    <mergeCell ref="C27:C30"/>
    <mergeCell ref="C31:C34"/>
    <mergeCell ref="R23:R26"/>
    <mergeCell ref="S23:S26"/>
    <mergeCell ref="T23:T26"/>
    <mergeCell ref="U23:U26"/>
    <mergeCell ref="V23:V26"/>
    <mergeCell ref="W23:W26"/>
    <mergeCell ref="R27:R30"/>
    <mergeCell ref="S27:S30"/>
    <mergeCell ref="A15:A34"/>
    <mergeCell ref="B15:B34"/>
    <mergeCell ref="X15:X18"/>
    <mergeCell ref="Y15:Y18"/>
    <mergeCell ref="X19:X22"/>
    <mergeCell ref="Y19:Y22"/>
    <mergeCell ref="A39:A78"/>
    <mergeCell ref="B39:B78"/>
    <mergeCell ref="X39:X42"/>
    <mergeCell ref="Y39:Y42"/>
    <mergeCell ref="X43:X46"/>
    <mergeCell ref="Y43:Y46"/>
    <mergeCell ref="X47:X50"/>
    <mergeCell ref="Y47:Y50"/>
    <mergeCell ref="X51:X54"/>
    <mergeCell ref="Y51:Y54"/>
    <mergeCell ref="X55:X58"/>
    <mergeCell ref="Y55:Y58"/>
    <mergeCell ref="X59:X62"/>
    <mergeCell ref="Y59:Y62"/>
    <mergeCell ref="X63:X66"/>
    <mergeCell ref="Y63:Y66"/>
    <mergeCell ref="X67:X70"/>
    <mergeCell ref="Y67:Y70"/>
    <mergeCell ref="X71:X74"/>
    <mergeCell ref="Y71:Y74"/>
    <mergeCell ref="Q47:Q50"/>
    <mergeCell ref="C39:C42"/>
    <mergeCell ref="Q39:Q42"/>
    <mergeCell ref="Q51:Q54"/>
    <mergeCell ref="A79:A82"/>
    <mergeCell ref="B79:B82"/>
    <mergeCell ref="X79:X82"/>
    <mergeCell ref="Y79:Y82"/>
    <mergeCell ref="A83:A86"/>
    <mergeCell ref="B83:B86"/>
    <mergeCell ref="X83:X86"/>
    <mergeCell ref="Y83:Y86"/>
    <mergeCell ref="A87:A106"/>
    <mergeCell ref="B87:B106"/>
    <mergeCell ref="X87:X90"/>
    <mergeCell ref="Y87:Y90"/>
    <mergeCell ref="X91:X94"/>
    <mergeCell ref="Y91:Y94"/>
    <mergeCell ref="X95:X98"/>
    <mergeCell ref="Y95:Y98"/>
    <mergeCell ref="X99:X102"/>
    <mergeCell ref="Y99:Y102"/>
    <mergeCell ref="Q87:Q90"/>
    <mergeCell ref="C91:C94"/>
    <mergeCell ref="Q79:Q82"/>
    <mergeCell ref="C83:C86"/>
    <mergeCell ref="Q83:Q86"/>
    <mergeCell ref="R79:R82"/>
    <mergeCell ref="A107:A110"/>
    <mergeCell ref="B107:B110"/>
    <mergeCell ref="X107:X110"/>
    <mergeCell ref="Y107:Y110"/>
    <mergeCell ref="X111:X114"/>
    <mergeCell ref="Y111:Y114"/>
    <mergeCell ref="X115:X118"/>
    <mergeCell ref="Y115:Y118"/>
    <mergeCell ref="X119:X122"/>
    <mergeCell ref="Y119:Y122"/>
    <mergeCell ref="Q119:Q122"/>
    <mergeCell ref="R107:R110"/>
    <mergeCell ref="S107:S110"/>
    <mergeCell ref="T107:T110"/>
    <mergeCell ref="U107:U110"/>
    <mergeCell ref="V107:V110"/>
    <mergeCell ref="W107:W110"/>
    <mergeCell ref="R111:R114"/>
    <mergeCell ref="S111:S114"/>
    <mergeCell ref="T111:T114"/>
    <mergeCell ref="U111:U114"/>
    <mergeCell ref="V111:V114"/>
    <mergeCell ref="W111:W114"/>
    <mergeCell ref="S115:S118"/>
    <mergeCell ref="C209:C212"/>
    <mergeCell ref="Q213:Q216"/>
    <mergeCell ref="R213:R216"/>
    <mergeCell ref="S213:S216"/>
    <mergeCell ref="C221:C224"/>
    <mergeCell ref="Q221:Q224"/>
    <mergeCell ref="R221:R224"/>
    <mergeCell ref="S221:S224"/>
    <mergeCell ref="T221:T224"/>
    <mergeCell ref="T213:T216"/>
    <mergeCell ref="Y221:Y224"/>
    <mergeCell ref="W233:W236"/>
    <mergeCell ref="X233:X236"/>
    <mergeCell ref="Y233:Y236"/>
    <mergeCell ref="W241:W244"/>
    <mergeCell ref="X241:X244"/>
    <mergeCell ref="Y241:Y244"/>
    <mergeCell ref="W253:W256"/>
    <mergeCell ref="X253:X256"/>
    <mergeCell ref="Y253:Y256"/>
  </mergeCells>
  <pageMargins left="0" right="0" top="0" bottom="0" header="0" footer="0"/>
  <pageSetup scale="38" orientation="landscape" r:id="rId1"/>
  <headerFooter>
    <oddFooter>&amp;R&amp;N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GESTIÓN!Área_de_impresión</vt:lpstr>
      <vt:lpstr>INVERSIÓN!Área_de_impresión</vt:lpstr>
      <vt:lpstr>INVERSIÓN!Títulos_a_imprimir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MARCELA.REYES</cp:lastModifiedBy>
  <cp:lastPrinted>2014-06-04T20:08:47Z</cp:lastPrinted>
  <dcterms:created xsi:type="dcterms:W3CDTF">2010-03-25T16:40:43Z</dcterms:created>
  <dcterms:modified xsi:type="dcterms:W3CDTF">2019-03-04T17:21:40Z</dcterms:modified>
</cp:coreProperties>
</file>