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4E13F939-EFD8-4111-A566-DA806230716B}" xr6:coauthVersionLast="47" xr6:coauthVersionMax="47" xr10:uidLastSave="{00000000-0000-0000-0000-000000000000}"/>
  <bookViews>
    <workbookView xWindow="165" yWindow="390" windowWidth="20325" windowHeight="10890" xr2:uid="{00000000-000D-0000-FFFF-FFFF00000000}"/>
  </bookViews>
  <sheets>
    <sheet name="GESTIÓN" sheetId="1" r:id="rId1"/>
    <sheet name="INVERSIÓN" sheetId="2" r:id="rId2"/>
    <sheet name="ACTIVIDADES" sheetId="3" r:id="rId3"/>
    <sheet name="TERRITORIALIZACIÓN" sheetId="6" r:id="rId4"/>
    <sheet name="SPI" sheetId="5" r:id="rId5"/>
  </sheets>
  <externalReferences>
    <externalReference r:id="rId6"/>
  </externalReferences>
  <definedNames>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LOCALIDAD" localSheetId="4">#REF!</definedName>
    <definedName name="LOCALIDAD">#REF!</definedName>
    <definedName name="LOCALIZACION" localSheetId="4">#REF!</definedName>
    <definedName name="LOCALIZACION">#REF!</definedName>
  </definedNames>
  <calcPr calcId="181029"/>
</workbook>
</file>

<file path=xl/calcChain.xml><?xml version="1.0" encoding="utf-8"?>
<calcChain xmlns="http://schemas.openxmlformats.org/spreadsheetml/2006/main">
  <c r="AE41" i="6" l="1"/>
  <c r="AE40" i="6"/>
  <c r="AE42" i="6" s="1"/>
  <c r="X37" i="6"/>
  <c r="K37" i="6"/>
  <c r="BE37" i="6" s="1"/>
  <c r="E37" i="6"/>
  <c r="X36" i="6"/>
  <c r="K36" i="6"/>
  <c r="BE36" i="6" s="1"/>
  <c r="E36" i="6"/>
  <c r="X35" i="6"/>
  <c r="K35" i="6"/>
  <c r="E35" i="6"/>
  <c r="E39" i="6" s="1"/>
  <c r="X34" i="6"/>
  <c r="K34" i="6"/>
  <c r="E34" i="6"/>
  <c r="E38" i="6" s="1"/>
  <c r="X31" i="6"/>
  <c r="K31" i="6"/>
  <c r="BE31" i="6" s="1"/>
  <c r="E31" i="6"/>
  <c r="X30" i="6"/>
  <c r="K30" i="6"/>
  <c r="BE30" i="6" s="1"/>
  <c r="E30" i="6"/>
  <c r="X29" i="6"/>
  <c r="K29" i="6"/>
  <c r="E29" i="6"/>
  <c r="E33" i="6" s="1"/>
  <c r="X28" i="6"/>
  <c r="K28" i="6"/>
  <c r="E28" i="6"/>
  <c r="E32" i="6" s="1"/>
  <c r="X25" i="6"/>
  <c r="K25" i="6"/>
  <c r="BE25" i="6" s="1"/>
  <c r="E25" i="6"/>
  <c r="X24" i="6"/>
  <c r="K24" i="6"/>
  <c r="BE24" i="6" s="1"/>
  <c r="E24" i="6"/>
  <c r="X23" i="6"/>
  <c r="K23" i="6"/>
  <c r="E23" i="6"/>
  <c r="E27" i="6" s="1"/>
  <c r="X22" i="6"/>
  <c r="K22" i="6"/>
  <c r="E22" i="6"/>
  <c r="E26" i="6" s="1"/>
  <c r="BE21" i="6"/>
  <c r="BD21" i="6"/>
  <c r="X20" i="6"/>
  <c r="X19" i="6"/>
  <c r="K19" i="6"/>
  <c r="BE19" i="6" s="1"/>
  <c r="E19" i="6"/>
  <c r="X18" i="6"/>
  <c r="K18" i="6"/>
  <c r="BE18" i="6" s="1"/>
  <c r="E18" i="6"/>
  <c r="X17" i="6"/>
  <c r="K17" i="6"/>
  <c r="E17" i="6"/>
  <c r="E21" i="6" s="1"/>
  <c r="X16" i="6"/>
  <c r="K16" i="6"/>
  <c r="E16" i="6"/>
  <c r="E20" i="6" s="1"/>
  <c r="X13" i="6"/>
  <c r="K13" i="6"/>
  <c r="E13" i="6"/>
  <c r="E41" i="6" s="1"/>
  <c r="X12" i="6"/>
  <c r="K12" i="6"/>
  <c r="BE12" i="6" s="1"/>
  <c r="E12" i="6"/>
  <c r="X11" i="6"/>
  <c r="K11" i="6"/>
  <c r="E11" i="6"/>
  <c r="X10" i="6"/>
  <c r="K10" i="6"/>
  <c r="E14" i="6"/>
  <c r="K14" i="6" l="1"/>
  <c r="BE14" i="6" s="1"/>
  <c r="BE10" i="6"/>
  <c r="X14" i="6"/>
  <c r="BD10" i="6"/>
  <c r="BC10" i="6"/>
  <c r="BB10" i="6"/>
  <c r="BA10" i="6"/>
  <c r="E40" i="6"/>
  <c r="E42" i="6" s="1"/>
  <c r="E15" i="6"/>
  <c r="K40" i="6"/>
  <c r="K15" i="6"/>
  <c r="BE15" i="6" s="1"/>
  <c r="BE11" i="6"/>
  <c r="X40" i="6"/>
  <c r="X15" i="6"/>
  <c r="BD11" i="6"/>
  <c r="BC11" i="6"/>
  <c r="BB11" i="6"/>
  <c r="BA11" i="6"/>
  <c r="BD12" i="6"/>
  <c r="BC12" i="6"/>
  <c r="BB12" i="6"/>
  <c r="BA12" i="6"/>
  <c r="K41" i="6"/>
  <c r="BE41" i="6" s="1"/>
  <c r="BE13" i="6"/>
  <c r="X41" i="6"/>
  <c r="BD13" i="6"/>
  <c r="BC13" i="6"/>
  <c r="BB13" i="6"/>
  <c r="BA13" i="6"/>
  <c r="K20" i="6"/>
  <c r="BE20" i="6" s="1"/>
  <c r="BE16" i="6"/>
  <c r="BD16" i="6"/>
  <c r="BC16" i="6"/>
  <c r="BB16" i="6"/>
  <c r="BA16" i="6"/>
  <c r="K21" i="6"/>
  <c r="BE17" i="6"/>
  <c r="X21" i="6"/>
  <c r="BD17" i="6"/>
  <c r="BC17" i="6"/>
  <c r="BB17" i="6"/>
  <c r="BA17" i="6"/>
  <c r="BD18" i="6"/>
  <c r="BC18" i="6"/>
  <c r="BB18" i="6"/>
  <c r="BA18" i="6"/>
  <c r="BD19" i="6"/>
  <c r="BC19" i="6"/>
  <c r="BB19" i="6"/>
  <c r="BA19" i="6"/>
  <c r="BD20" i="6"/>
  <c r="BC20" i="6"/>
  <c r="BB20" i="6"/>
  <c r="BA20" i="6"/>
  <c r="K26" i="6"/>
  <c r="BE26" i="6" s="1"/>
  <c r="BE22" i="6"/>
  <c r="X26" i="6"/>
  <c r="BD22" i="6"/>
  <c r="BC22" i="6"/>
  <c r="BB22" i="6"/>
  <c r="BA22" i="6"/>
  <c r="K27" i="6"/>
  <c r="BE27" i="6" s="1"/>
  <c r="BE23" i="6"/>
  <c r="X27" i="6"/>
  <c r="BD23" i="6"/>
  <c r="BC23" i="6"/>
  <c r="BB23" i="6"/>
  <c r="BA23" i="6"/>
  <c r="BD24" i="6"/>
  <c r="BC24" i="6"/>
  <c r="BB24" i="6"/>
  <c r="BA24" i="6"/>
  <c r="BD25" i="6"/>
  <c r="BC25" i="6"/>
  <c r="BB25" i="6"/>
  <c r="BA25" i="6"/>
  <c r="K32" i="6"/>
  <c r="BE32" i="6" s="1"/>
  <c r="BE28" i="6"/>
  <c r="X32" i="6"/>
  <c r="BD28" i="6"/>
  <c r="BC28" i="6"/>
  <c r="BB28" i="6"/>
  <c r="BA28" i="6"/>
  <c r="K33" i="6"/>
  <c r="BE33" i="6" s="1"/>
  <c r="BE29" i="6"/>
  <c r="X33" i="6"/>
  <c r="BD29" i="6"/>
  <c r="BC29" i="6"/>
  <c r="BB29" i="6"/>
  <c r="BA29" i="6"/>
  <c r="BD30" i="6"/>
  <c r="BC30" i="6"/>
  <c r="BB30" i="6"/>
  <c r="BA30" i="6"/>
  <c r="BD31" i="6"/>
  <c r="BC31" i="6"/>
  <c r="BB31" i="6"/>
  <c r="BA31" i="6"/>
  <c r="K38" i="6"/>
  <c r="BE38" i="6" s="1"/>
  <c r="BE34" i="6"/>
  <c r="X38" i="6"/>
  <c r="BD34" i="6"/>
  <c r="BC34" i="6"/>
  <c r="BB34" i="6"/>
  <c r="BA34" i="6"/>
  <c r="K39" i="6"/>
  <c r="BE39" i="6" s="1"/>
  <c r="BE35" i="6"/>
  <c r="X39" i="6"/>
  <c r="BD35" i="6"/>
  <c r="BC35" i="6"/>
  <c r="BB35" i="6"/>
  <c r="BA35" i="6"/>
  <c r="BD36" i="6"/>
  <c r="BC36" i="6"/>
  <c r="BB36" i="6"/>
  <c r="BA36" i="6"/>
  <c r="BD37" i="6"/>
  <c r="BC37" i="6"/>
  <c r="BB37" i="6"/>
  <c r="BA37" i="6"/>
  <c r="BD39" i="6" l="1"/>
  <c r="BC39" i="6"/>
  <c r="BB39" i="6"/>
  <c r="BA39" i="6"/>
  <c r="BD38" i="6"/>
  <c r="BC38" i="6"/>
  <c r="BB38" i="6"/>
  <c r="BA38" i="6"/>
  <c r="BD33" i="6"/>
  <c r="BC33" i="6"/>
  <c r="BB33" i="6"/>
  <c r="BA33" i="6"/>
  <c r="BD32" i="6"/>
  <c r="BC32" i="6"/>
  <c r="BB32" i="6"/>
  <c r="BA32" i="6"/>
  <c r="BD27" i="6"/>
  <c r="BC27" i="6"/>
  <c r="BB27" i="6"/>
  <c r="BA27" i="6"/>
  <c r="BD26" i="6"/>
  <c r="BC26" i="6"/>
  <c r="BB26" i="6"/>
  <c r="BA26" i="6"/>
  <c r="BC21" i="6"/>
  <c r="BB21" i="6"/>
  <c r="BA21" i="6"/>
  <c r="BD41" i="6"/>
  <c r="BC41" i="6"/>
  <c r="BB41" i="6"/>
  <c r="BA41" i="6"/>
  <c r="BD15" i="6"/>
  <c r="BC15" i="6"/>
  <c r="BB15" i="6"/>
  <c r="BA15" i="6"/>
  <c r="X42" i="6"/>
  <c r="BD40" i="6"/>
  <c r="BC40" i="6"/>
  <c r="BB40" i="6"/>
  <c r="BA40" i="6"/>
  <c r="K42" i="6"/>
  <c r="BE42" i="6" s="1"/>
  <c r="BE40" i="6"/>
  <c r="BD14" i="6"/>
  <c r="BC14" i="6"/>
  <c r="BB14" i="6"/>
  <c r="BA14" i="6"/>
  <c r="BD42" i="6" l="1"/>
  <c r="BC42" i="6"/>
  <c r="BB42" i="6"/>
  <c r="BA42" i="6"/>
  <c r="EV44" i="2" l="1"/>
  <c r="EV40" i="2"/>
  <c r="EV33" i="2"/>
  <c r="EV20" i="2"/>
  <c r="EV19" i="2"/>
  <c r="EV13" i="2"/>
  <c r="EV12" i="2"/>
  <c r="EV10" i="2"/>
  <c r="EU20" i="2"/>
  <c r="EU13" i="2"/>
  <c r="EU11" i="2"/>
  <c r="EU10" i="2"/>
  <c r="ET41" i="2"/>
  <c r="ET34" i="2"/>
  <c r="ET27" i="2"/>
  <c r="ET20" i="2"/>
  <c r="ET13" i="2"/>
  <c r="ET12" i="2"/>
  <c r="ES13" i="2"/>
  <c r="ES41" i="2"/>
  <c r="ES34" i="2"/>
  <c r="ES27" i="2"/>
  <c r="ES20" i="2"/>
  <c r="ER44" i="2"/>
  <c r="ER30" i="2"/>
  <c r="ER23" i="2"/>
  <c r="ER17" i="2"/>
  <c r="ER16" i="2"/>
  <c r="ER10" i="2"/>
  <c r="G39" i="2"/>
  <c r="G42" i="2"/>
  <c r="G23" i="2"/>
  <c r="G22" i="2"/>
  <c r="G21" i="2"/>
  <c r="G18" i="2"/>
  <c r="G14" i="2"/>
  <c r="G15" i="2"/>
  <c r="G16" i="2"/>
  <c r="G11" i="2"/>
  <c r="ER11" i="2"/>
  <c r="ES11" i="2"/>
  <c r="ET11" i="2"/>
  <c r="EV11" i="2"/>
  <c r="ER12" i="2"/>
  <c r="ES12" i="2"/>
  <c r="EU12" i="2"/>
  <c r="ER13" i="2"/>
  <c r="ER14" i="2"/>
  <c r="ES14" i="2"/>
  <c r="ET14" i="2"/>
  <c r="EU14" i="2"/>
  <c r="EV14" i="2"/>
  <c r="ER15" i="2"/>
  <c r="ES15" i="2"/>
  <c r="ET15" i="2"/>
  <c r="EU15" i="2"/>
  <c r="EV15" i="2"/>
  <c r="ES16" i="2"/>
  <c r="ET16" i="2"/>
  <c r="EU16" i="2"/>
  <c r="EV16" i="2"/>
  <c r="ES17" i="2"/>
  <c r="ET17" i="2"/>
  <c r="EU17" i="2"/>
  <c r="EV17" i="2"/>
  <c r="ER18" i="2"/>
  <c r="ES18" i="2"/>
  <c r="ET18" i="2"/>
  <c r="EU18" i="2"/>
  <c r="EV18" i="2"/>
  <c r="ER19" i="2"/>
  <c r="ES19" i="2"/>
  <c r="ET19" i="2"/>
  <c r="EU19" i="2"/>
  <c r="ER20" i="2"/>
  <c r="ER21" i="2"/>
  <c r="ES21" i="2"/>
  <c r="ET21" i="2"/>
  <c r="EU21" i="2"/>
  <c r="EV21" i="2"/>
  <c r="ER22" i="2"/>
  <c r="ES22" i="2"/>
  <c r="ET22" i="2"/>
  <c r="EU22" i="2"/>
  <c r="EV22" i="2"/>
  <c r="ES23" i="2"/>
  <c r="ET23" i="2"/>
  <c r="EU23" i="2"/>
  <c r="EV23" i="2"/>
  <c r="ER24" i="2"/>
  <c r="ES24" i="2"/>
  <c r="ET24" i="2"/>
  <c r="EU24" i="2"/>
  <c r="EV24" i="2"/>
  <c r="ER25" i="2"/>
  <c r="ES25" i="2"/>
  <c r="ET25" i="2"/>
  <c r="EU25" i="2"/>
  <c r="EV25" i="2"/>
  <c r="ER26" i="2"/>
  <c r="ES26" i="2"/>
  <c r="ET26" i="2"/>
  <c r="EU26" i="2"/>
  <c r="EV26" i="2"/>
  <c r="ER27" i="2"/>
  <c r="EU27" i="2"/>
  <c r="EV27" i="2"/>
  <c r="ER28" i="2"/>
  <c r="ES28" i="2"/>
  <c r="ET28" i="2"/>
  <c r="EU28" i="2"/>
  <c r="EV28" i="2"/>
  <c r="ER29" i="2"/>
  <c r="ES29" i="2"/>
  <c r="ET29" i="2"/>
  <c r="EU29" i="2"/>
  <c r="EV29" i="2"/>
  <c r="ES30" i="2"/>
  <c r="ET30" i="2"/>
  <c r="EU30" i="2"/>
  <c r="EV30" i="2"/>
  <c r="ER31" i="2"/>
  <c r="ES31" i="2"/>
  <c r="ET31" i="2"/>
  <c r="EU31" i="2"/>
  <c r="EV31" i="2"/>
  <c r="ER32" i="2"/>
  <c r="ES32" i="2"/>
  <c r="ET32" i="2"/>
  <c r="EU32" i="2"/>
  <c r="EV32" i="2"/>
  <c r="ER33" i="2"/>
  <c r="ES33" i="2"/>
  <c r="ET33" i="2"/>
  <c r="EU33" i="2"/>
  <c r="ER34" i="2"/>
  <c r="EU34" i="2"/>
  <c r="EV34" i="2"/>
  <c r="ER35" i="2"/>
  <c r="ES35" i="2"/>
  <c r="ET35" i="2"/>
  <c r="EU35" i="2"/>
  <c r="EV35" i="2"/>
  <c r="ER36" i="2"/>
  <c r="ES36" i="2"/>
  <c r="ET36" i="2"/>
  <c r="EU36" i="2"/>
  <c r="EV36" i="2"/>
  <c r="ER37" i="2"/>
  <c r="ES37" i="2"/>
  <c r="ET37" i="2"/>
  <c r="EU37" i="2"/>
  <c r="EV37" i="2"/>
  <c r="ER38" i="2"/>
  <c r="ES38" i="2"/>
  <c r="ET38" i="2"/>
  <c r="EU38" i="2"/>
  <c r="EV38" i="2"/>
  <c r="ER39" i="2"/>
  <c r="ES39" i="2"/>
  <c r="ET39" i="2"/>
  <c r="EU39" i="2"/>
  <c r="EV39" i="2"/>
  <c r="ER40" i="2"/>
  <c r="ES40" i="2"/>
  <c r="ET40" i="2"/>
  <c r="EU40" i="2"/>
  <c r="ER41" i="2"/>
  <c r="EU41" i="2"/>
  <c r="EV41" i="2"/>
  <c r="ER42" i="2"/>
  <c r="ES42" i="2"/>
  <c r="ET42" i="2"/>
  <c r="EU42" i="2"/>
  <c r="EV42" i="2"/>
  <c r="ER43" i="2"/>
  <c r="ES43" i="2"/>
  <c r="ET43" i="2"/>
  <c r="EU43" i="2"/>
  <c r="EV43" i="2"/>
  <c r="ES44" i="2"/>
  <c r="ET44" i="2"/>
  <c r="EU44" i="2"/>
  <c r="ET10" i="2"/>
  <c r="ES10" i="2"/>
  <c r="ET13" i="1"/>
  <c r="EX13" i="1"/>
  <c r="EW13" i="1"/>
  <c r="EV13" i="1"/>
  <c r="EU13" i="1"/>
  <c r="EQ21" i="2"/>
  <c r="EQ12" i="2"/>
  <c r="EO32" i="2" l="1"/>
  <c r="EN32" i="2"/>
  <c r="EM32" i="2"/>
  <c r="DX45" i="2"/>
  <c r="EO45" i="2"/>
  <c r="EM46" i="2"/>
  <c r="DX30" i="2"/>
  <c r="DX16" i="2"/>
  <c r="J325" i="5"/>
  <c r="G810" i="5"/>
  <c r="G809" i="5"/>
  <c r="G808" i="5"/>
  <c r="G807" i="5"/>
  <c r="G806" i="5"/>
  <c r="J326" i="5"/>
  <c r="M325" i="5"/>
  <c r="J324" i="5"/>
  <c r="J323" i="5"/>
  <c r="J322" i="5"/>
  <c r="D67" i="5"/>
  <c r="C67" i="5"/>
  <c r="H66" i="5"/>
  <c r="ES13" i="1" l="1"/>
  <c r="ER13" i="1"/>
  <c r="EQ13" i="1"/>
  <c r="EP13" i="1"/>
  <c r="EO27" i="2"/>
  <c r="EO42" i="2"/>
  <c r="EN42" i="2"/>
  <c r="EO41" i="2"/>
  <c r="EN41" i="2"/>
  <c r="EO40" i="2"/>
  <c r="EN40" i="2"/>
  <c r="EO39" i="2"/>
  <c r="EN39" i="2"/>
  <c r="EO38" i="2"/>
  <c r="EN38" i="2"/>
  <c r="EO35" i="2"/>
  <c r="EN35" i="2"/>
  <c r="EO34" i="2"/>
  <c r="EN34" i="2"/>
  <c r="EO33" i="2"/>
  <c r="EN33" i="2"/>
  <c r="EO31" i="2"/>
  <c r="EN31" i="2"/>
  <c r="EO28" i="2"/>
  <c r="EN28" i="2"/>
  <c r="EN27" i="2"/>
  <c r="EO26" i="2"/>
  <c r="EN26" i="2"/>
  <c r="EO25" i="2"/>
  <c r="EN25" i="2"/>
  <c r="EO24" i="2"/>
  <c r="EN24" i="2"/>
  <c r="EO21" i="2"/>
  <c r="EN21" i="2"/>
  <c r="EO20" i="2"/>
  <c r="EN20" i="2"/>
  <c r="EO19" i="2"/>
  <c r="EN19" i="2"/>
  <c r="EO18" i="2"/>
  <c r="EN18" i="2"/>
  <c r="EO17" i="2"/>
  <c r="EN17" i="2"/>
  <c r="EO11" i="2"/>
  <c r="EO12" i="2"/>
  <c r="EO13" i="2"/>
  <c r="EO14" i="2"/>
  <c r="EO10" i="2"/>
  <c r="EN11" i="2"/>
  <c r="EN12" i="2"/>
  <c r="EN13" i="2"/>
  <c r="EN14" i="2"/>
  <c r="EN10" i="2"/>
  <c r="M320" i="5" l="1"/>
  <c r="DV45" i="2"/>
  <c r="G805" i="5" l="1"/>
  <c r="G804" i="5"/>
  <c r="G803" i="5"/>
  <c r="G802" i="5"/>
  <c r="G801" i="5"/>
  <c r="J321" i="5"/>
  <c r="J320" i="5"/>
  <c r="J319" i="5"/>
  <c r="J318" i="5"/>
  <c r="J317" i="5"/>
  <c r="EQ10" i="2"/>
  <c r="EP10" i="2"/>
  <c r="EM10" i="2"/>
  <c r="EO13" i="1"/>
  <c r="FD13" i="1"/>
  <c r="DT30" i="2"/>
  <c r="DT23" i="2"/>
  <c r="EO22" i="2" l="1"/>
  <c r="G800" i="5"/>
  <c r="G799" i="5"/>
  <c r="G798" i="5"/>
  <c r="G797" i="5"/>
  <c r="G796" i="5"/>
  <c r="J312" i="5"/>
  <c r="J316" i="5"/>
  <c r="M315" i="5"/>
  <c r="J315" i="5"/>
  <c r="J314" i="5"/>
  <c r="J313" i="5"/>
  <c r="EN46" i="2" l="1"/>
  <c r="EN45" i="2"/>
  <c r="EN44" i="2"/>
  <c r="EN43" i="2"/>
  <c r="EN37" i="2"/>
  <c r="EN36" i="2"/>
  <c r="EN30" i="2"/>
  <c r="EN29" i="2"/>
  <c r="EN23" i="2"/>
  <c r="EN22" i="2"/>
  <c r="EN16" i="2"/>
  <c r="EN15" i="2"/>
  <c r="EM14" i="2"/>
  <c r="EM13" i="2"/>
  <c r="EM11" i="2"/>
  <c r="EO44" i="2"/>
  <c r="EO37" i="2"/>
  <c r="EO15" i="2"/>
  <c r="W11" i="3"/>
  <c r="W13" i="3"/>
  <c r="W15" i="3"/>
  <c r="W17" i="3"/>
  <c r="W19" i="3"/>
  <c r="W21" i="3"/>
  <c r="W23" i="3"/>
  <c r="W9" i="3"/>
  <c r="FB17" i="2"/>
  <c r="FB24" i="2"/>
  <c r="FB31" i="2"/>
  <c r="FB38" i="2"/>
  <c r="FB10" i="2"/>
  <c r="EN47" i="2" l="1"/>
  <c r="EO43" i="2"/>
  <c r="EO46" i="2"/>
  <c r="EO36" i="2"/>
  <c r="EO30" i="2"/>
  <c r="EO29" i="2"/>
  <c r="EO23" i="2"/>
  <c r="EO16" i="2"/>
  <c r="EO47" i="2" l="1"/>
  <c r="EQ18" i="2"/>
  <c r="EQ25" i="2"/>
  <c r="DR46" i="2"/>
  <c r="DR45" i="2"/>
  <c r="DR47" i="2" s="1"/>
  <c r="DR44" i="2"/>
  <c r="DR23" i="2"/>
  <c r="DR22" i="2"/>
  <c r="G795" i="5" l="1"/>
  <c r="G794" i="5"/>
  <c r="G793" i="5"/>
  <c r="G792" i="5"/>
  <c r="G791" i="5"/>
  <c r="J311" i="5"/>
  <c r="M310" i="5"/>
  <c r="J310" i="5"/>
  <c r="J309" i="5"/>
  <c r="J308" i="5"/>
  <c r="J307" i="5"/>
  <c r="H63" i="5"/>
  <c r="DN36" i="2" l="1"/>
  <c r="EP42" i="2"/>
  <c r="EM42" i="2"/>
  <c r="EM31" i="2" l="1"/>
  <c r="EP28" i="2" l="1"/>
  <c r="G786" i="5" l="1"/>
  <c r="G790" i="5"/>
  <c r="G789" i="5"/>
  <c r="G788" i="5"/>
  <c r="G787" i="5"/>
  <c r="J306" i="5"/>
  <c r="M305" i="5"/>
  <c r="J305" i="5"/>
  <c r="J304" i="5"/>
  <c r="J303" i="5"/>
  <c r="J302" i="5"/>
  <c r="EQ42" i="2" l="1"/>
  <c r="EQ41" i="2"/>
  <c r="EP41" i="2"/>
  <c r="EQ40" i="2"/>
  <c r="EP40" i="2"/>
  <c r="EQ39" i="2"/>
  <c r="EP39" i="2"/>
  <c r="EP44" i="2" s="1"/>
  <c r="EQ38" i="2"/>
  <c r="EP38" i="2"/>
  <c r="EQ35" i="2"/>
  <c r="EP35" i="2"/>
  <c r="EQ34" i="2"/>
  <c r="EQ33" i="2"/>
  <c r="EQ32" i="2"/>
  <c r="EP32" i="2"/>
  <c r="EP37" i="2" s="1"/>
  <c r="EQ31" i="2"/>
  <c r="EP31" i="2"/>
  <c r="EQ28" i="2"/>
  <c r="EQ27" i="2"/>
  <c r="EP27" i="2"/>
  <c r="EQ26" i="2"/>
  <c r="EP26" i="2"/>
  <c r="EP25" i="2"/>
  <c r="EP30" i="2" s="1"/>
  <c r="EQ24" i="2"/>
  <c r="EP24" i="2"/>
  <c r="EP18" i="2"/>
  <c r="EP23" i="2" s="1"/>
  <c r="EM18" i="2"/>
  <c r="EP21" i="2"/>
  <c r="EQ20" i="2"/>
  <c r="EP20" i="2"/>
  <c r="EQ19" i="2"/>
  <c r="EP19" i="2"/>
  <c r="EQ17" i="2"/>
  <c r="EP17" i="2"/>
  <c r="EP15" i="2"/>
  <c r="EQ11" i="2"/>
  <c r="EQ13" i="2"/>
  <c r="EQ14" i="2"/>
  <c r="EP11" i="2"/>
  <c r="EP13" i="2"/>
  <c r="EP14" i="2"/>
  <c r="EP46" i="2" l="1"/>
  <c r="EP45" i="2"/>
  <c r="EQ45" i="2"/>
  <c r="E67" i="5" s="1"/>
  <c r="EP16" i="2"/>
  <c r="EP29" i="2"/>
  <c r="EP22" i="2"/>
  <c r="EP43" i="2"/>
  <c r="EQ44" i="2"/>
  <c r="EQ43" i="2"/>
  <c r="EQ37" i="2"/>
  <c r="EQ36" i="2"/>
  <c r="EQ30" i="2"/>
  <c r="EQ29" i="2"/>
  <c r="EQ23" i="2"/>
  <c r="EQ22" i="2"/>
  <c r="EQ46" i="2"/>
  <c r="EQ15" i="2"/>
  <c r="EQ16" i="2"/>
  <c r="EM41" i="2"/>
  <c r="EP47" i="2" l="1"/>
  <c r="E64" i="5"/>
  <c r="H64" i="5" s="1"/>
  <c r="EQ47" i="2"/>
  <c r="EK33" i="2"/>
  <c r="EP33" i="2" s="1"/>
  <c r="EK12" i="2"/>
  <c r="EM39" i="2"/>
  <c r="EM40" i="2"/>
  <c r="EM38" i="2"/>
  <c r="EM35" i="2"/>
  <c r="EM25" i="2"/>
  <c r="EM26" i="2"/>
  <c r="EM27" i="2"/>
  <c r="EM28" i="2"/>
  <c r="EM24" i="2"/>
  <c r="EM21" i="2"/>
  <c r="EM19" i="2"/>
  <c r="EM20" i="2"/>
  <c r="EM17" i="2"/>
  <c r="EM15" i="2"/>
  <c r="DY29" i="2"/>
  <c r="DZ29" i="2"/>
  <c r="EA29" i="2"/>
  <c r="EB29" i="2"/>
  <c r="EC29" i="2"/>
  <c r="ED29" i="2"/>
  <c r="EE29" i="2"/>
  <c r="EF29" i="2"/>
  <c r="EG29" i="2"/>
  <c r="EH29" i="2"/>
  <c r="EI29" i="2"/>
  <c r="EJ29" i="2"/>
  <c r="EK29" i="2"/>
  <c r="EL29" i="2"/>
  <c r="DX29" i="2"/>
  <c r="EI23" i="2"/>
  <c r="EI22" i="2"/>
  <c r="DX22" i="2"/>
  <c r="DY22" i="2"/>
  <c r="DZ22" i="2"/>
  <c r="EA22" i="2"/>
  <c r="EB22" i="2"/>
  <c r="EC22" i="2"/>
  <c r="ED22" i="2"/>
  <c r="EE22" i="2"/>
  <c r="EF22" i="2"/>
  <c r="EG22" i="2"/>
  <c r="EH22" i="2"/>
  <c r="EJ22" i="2"/>
  <c r="EK22" i="2"/>
  <c r="EL22" i="2"/>
  <c r="DW22" i="2"/>
  <c r="EP12" i="2" l="1"/>
  <c r="EM12" i="2"/>
  <c r="EM33" i="2"/>
  <c r="EM22" i="2"/>
  <c r="EM45" i="2"/>
  <c r="EM23" i="2"/>
  <c r="EM37" i="2"/>
  <c r="EM16" i="2"/>
  <c r="EM30" i="2"/>
  <c r="EM43" i="2"/>
  <c r="EM44" i="2"/>
  <c r="EM29" i="2"/>
  <c r="DO44" i="2"/>
  <c r="DO43" i="2"/>
  <c r="DN43" i="2"/>
  <c r="DO37" i="2"/>
  <c r="DP37" i="2"/>
  <c r="DQ37" i="2"/>
  <c r="DR37" i="2"/>
  <c r="DS37" i="2"/>
  <c r="DT37" i="2"/>
  <c r="DU37" i="2"/>
  <c r="DV37" i="2"/>
  <c r="DW37" i="2"/>
  <c r="DX37" i="2"/>
  <c r="DP36" i="2"/>
  <c r="DQ36" i="2"/>
  <c r="DR36" i="2"/>
  <c r="DS36" i="2"/>
  <c r="DT36" i="2"/>
  <c r="DU36" i="2"/>
  <c r="DV36" i="2"/>
  <c r="DW36" i="2"/>
  <c r="DX36" i="2"/>
  <c r="DO30" i="2"/>
  <c r="DP30" i="2"/>
  <c r="DQ30" i="2"/>
  <c r="DR30" i="2"/>
  <c r="DS30" i="2"/>
  <c r="DU30" i="2"/>
  <c r="DV30" i="2"/>
  <c r="DW30" i="2"/>
  <c r="DN30" i="2"/>
  <c r="DO29" i="2"/>
  <c r="DP29" i="2"/>
  <c r="DQ29" i="2"/>
  <c r="DR29" i="2"/>
  <c r="DS29" i="2"/>
  <c r="DT29" i="2"/>
  <c r="DU29" i="2"/>
  <c r="DV29" i="2"/>
  <c r="DW29" i="2"/>
  <c r="DN29" i="2"/>
  <c r="DO23" i="2"/>
  <c r="DP23" i="2"/>
  <c r="DQ23" i="2"/>
  <c r="DS23" i="2"/>
  <c r="DU23" i="2"/>
  <c r="DV23" i="2"/>
  <c r="DW23" i="2"/>
  <c r="DX23" i="2"/>
  <c r="DO22" i="2"/>
  <c r="DP22" i="2"/>
  <c r="DQ22" i="2"/>
  <c r="DS22" i="2"/>
  <c r="DT22" i="2"/>
  <c r="DU22" i="2"/>
  <c r="DV22" i="2"/>
  <c r="DO16" i="2"/>
  <c r="DP16" i="2"/>
  <c r="DQ16" i="2"/>
  <c r="DR16" i="2"/>
  <c r="DS16" i="2"/>
  <c r="DT16" i="2"/>
  <c r="DU16" i="2"/>
  <c r="DV16" i="2"/>
  <c r="DW16" i="2"/>
  <c r="DO15" i="2"/>
  <c r="DP15" i="2"/>
  <c r="DQ15" i="2"/>
  <c r="DR15" i="2"/>
  <c r="DS15" i="2"/>
  <c r="DT15" i="2"/>
  <c r="DU15" i="2"/>
  <c r="DV15" i="2"/>
  <c r="DW15" i="2"/>
  <c r="DX15" i="2"/>
  <c r="DN15" i="2"/>
  <c r="DP44" i="2"/>
  <c r="DQ44" i="2"/>
  <c r="DS44" i="2"/>
  <c r="DT44" i="2"/>
  <c r="DU44" i="2"/>
  <c r="DV44" i="2"/>
  <c r="DW44" i="2"/>
  <c r="DX44" i="2"/>
  <c r="DP43" i="2"/>
  <c r="DQ43" i="2"/>
  <c r="DR43" i="2"/>
  <c r="DS43" i="2"/>
  <c r="DT43" i="2"/>
  <c r="DU43" i="2"/>
  <c r="DV43" i="2"/>
  <c r="DW43" i="2"/>
  <c r="DX43" i="2"/>
  <c r="DN37" i="2"/>
  <c r="DO45" i="2" l="1"/>
  <c r="DO46" i="2"/>
  <c r="DP46" i="2"/>
  <c r="DQ46" i="2"/>
  <c r="DS46" i="2"/>
  <c r="DT46" i="2"/>
  <c r="DU46" i="2"/>
  <c r="DV46" i="2"/>
  <c r="DW46" i="2"/>
  <c r="DX46" i="2"/>
  <c r="DY46" i="2"/>
  <c r="DZ46" i="2"/>
  <c r="EA46" i="2"/>
  <c r="EB46" i="2"/>
  <c r="EC46" i="2"/>
  <c r="ED46" i="2"/>
  <c r="EE46" i="2"/>
  <c r="EF46" i="2"/>
  <c r="EG46" i="2"/>
  <c r="EH46" i="2"/>
  <c r="EI46" i="2"/>
  <c r="EJ46" i="2"/>
  <c r="EK46" i="2"/>
  <c r="EL46" i="2"/>
  <c r="DN46" i="2"/>
  <c r="DW45" i="2"/>
  <c r="DU45" i="2"/>
  <c r="DT45" i="2"/>
  <c r="DS45" i="2"/>
  <c r="DQ45" i="2"/>
  <c r="DP45" i="2"/>
  <c r="DN45" i="2"/>
  <c r="DX47" i="2" l="1"/>
  <c r="DT47" i="2"/>
  <c r="DP47" i="2"/>
  <c r="DU47" i="2"/>
  <c r="DW47" i="2"/>
  <c r="DV47" i="2"/>
  <c r="DN47" i="2"/>
  <c r="DQ47" i="2"/>
  <c r="DS47" i="2"/>
  <c r="DO47" i="2"/>
  <c r="DY15" i="2"/>
  <c r="DZ15" i="2"/>
  <c r="EA15" i="2"/>
  <c r="EB15" i="2"/>
  <c r="EC15" i="2"/>
  <c r="ED15" i="2"/>
  <c r="EE15" i="2"/>
  <c r="EF15" i="2"/>
  <c r="EG15" i="2"/>
  <c r="EH15" i="2"/>
  <c r="EI15" i="2"/>
  <c r="EJ15" i="2"/>
  <c r="EK15" i="2"/>
  <c r="EL15" i="2"/>
  <c r="DY16" i="2"/>
  <c r="DZ16" i="2"/>
  <c r="EA16" i="2"/>
  <c r="EB16" i="2"/>
  <c r="EC16" i="2"/>
  <c r="ED16" i="2"/>
  <c r="EE16" i="2"/>
  <c r="EF16" i="2"/>
  <c r="EG16" i="2"/>
  <c r="EH16" i="2"/>
  <c r="EI16" i="2"/>
  <c r="EJ16" i="2"/>
  <c r="EK16" i="2"/>
  <c r="EL16" i="2"/>
  <c r="DN16" i="2"/>
  <c r="I296" i="5" l="1"/>
  <c r="J296" i="5" s="1"/>
  <c r="G782" i="5" l="1"/>
  <c r="G781" i="5"/>
  <c r="G780" i="5"/>
  <c r="G779" i="5"/>
  <c r="G778" i="5"/>
  <c r="J298" i="5"/>
  <c r="J297" i="5"/>
  <c r="M296" i="5"/>
  <c r="J295" i="5"/>
  <c r="J294" i="5"/>
  <c r="J293" i="5"/>
  <c r="DH22" i="2"/>
  <c r="DG22" i="2"/>
  <c r="DH15" i="2"/>
  <c r="DK19" i="2"/>
  <c r="DK18" i="2"/>
  <c r="DL19" i="2"/>
  <c r="DI11" i="2"/>
  <c r="DJ13" i="2" l="1"/>
  <c r="DJ11" i="2"/>
  <c r="DJ42" i="2"/>
  <c r="DJ41" i="2"/>
  <c r="DJ40" i="2"/>
  <c r="DJ39" i="2"/>
  <c r="DJ38" i="2"/>
  <c r="DJ34" i="2"/>
  <c r="DJ32" i="2"/>
  <c r="DJ31" i="2"/>
  <c r="DJ28" i="2"/>
  <c r="DJ27" i="2"/>
  <c r="DJ25" i="2"/>
  <c r="DJ24" i="2"/>
  <c r="DJ21" i="2"/>
  <c r="DJ20" i="2"/>
  <c r="DJ18" i="2"/>
  <c r="DJ19" i="2"/>
  <c r="DJ17" i="2"/>
  <c r="DJ10" i="2"/>
  <c r="DI18" i="2"/>
  <c r="DJ14" i="2"/>
  <c r="DK10" i="2"/>
  <c r="DL13" i="1"/>
  <c r="DG12" i="2"/>
  <c r="DJ12" i="2" s="1"/>
  <c r="G777" i="5"/>
  <c r="G776" i="5"/>
  <c r="G775" i="5"/>
  <c r="G774" i="5"/>
  <c r="G773" i="5"/>
  <c r="I291" i="5"/>
  <c r="J291" i="5" s="1"/>
  <c r="J292" i="5"/>
  <c r="M291" i="5"/>
  <c r="J290" i="5"/>
  <c r="J289" i="5"/>
  <c r="J288" i="5"/>
  <c r="DJ16" i="2" l="1"/>
  <c r="DG33" i="2"/>
  <c r="DG26" i="2"/>
  <c r="DJ26" i="2" s="1"/>
  <c r="G772" i="5"/>
  <c r="G771" i="5"/>
  <c r="G770" i="5"/>
  <c r="G769" i="5"/>
  <c r="G768" i="5"/>
  <c r="DJ33" i="2" l="1"/>
  <c r="DI33" i="2"/>
  <c r="DJ45" i="2"/>
  <c r="I286" i="5"/>
  <c r="J286" i="5" s="1"/>
  <c r="J287" i="5"/>
  <c r="M286" i="5"/>
  <c r="J285" i="5"/>
  <c r="J284" i="5"/>
  <c r="J283" i="5"/>
  <c r="DD44" i="2" l="1"/>
  <c r="DD23" i="2"/>
  <c r="G767" i="5" l="1"/>
  <c r="G766" i="5"/>
  <c r="G765" i="5"/>
  <c r="G764" i="5"/>
  <c r="G763" i="5"/>
  <c r="I281" i="5"/>
  <c r="J281" i="5" s="1"/>
  <c r="J282" i="5"/>
  <c r="M281" i="5"/>
  <c r="J280" i="5"/>
  <c r="J279" i="5"/>
  <c r="J278" i="5"/>
  <c r="DB45" i="2" l="1"/>
  <c r="DI14" i="2"/>
  <c r="DI16" i="2" l="1"/>
  <c r="G817" i="5"/>
  <c r="G816" i="5"/>
  <c r="G815" i="5"/>
  <c r="G814" i="5"/>
  <c r="G813" i="5"/>
  <c r="G812" i="5"/>
  <c r="G811" i="5"/>
  <c r="G762" i="5"/>
  <c r="G761" i="5"/>
  <c r="G760" i="5"/>
  <c r="G759" i="5"/>
  <c r="G758" i="5"/>
  <c r="G757" i="5"/>
  <c r="G756" i="5"/>
  <c r="G755" i="5"/>
  <c r="G754" i="5"/>
  <c r="G753" i="5"/>
  <c r="G752" i="5"/>
  <c r="G751" i="5"/>
  <c r="G750" i="5"/>
  <c r="G749" i="5"/>
  <c r="G748" i="5"/>
  <c r="G747" i="5"/>
  <c r="G746" i="5"/>
  <c r="G745" i="5"/>
  <c r="G744" i="5"/>
  <c r="G743" i="5"/>
  <c r="G742" i="5"/>
  <c r="G741" i="5"/>
  <c r="G740" i="5"/>
  <c r="G739" i="5"/>
  <c r="G738" i="5"/>
  <c r="G737" i="5"/>
  <c r="G736" i="5"/>
  <c r="G735" i="5"/>
  <c r="G734" i="5"/>
  <c r="G733" i="5"/>
  <c r="G732" i="5"/>
  <c r="G731" i="5"/>
  <c r="G730" i="5"/>
  <c r="G729" i="5"/>
  <c r="G728" i="5"/>
  <c r="G727" i="5"/>
  <c r="G726" i="5"/>
  <c r="G725" i="5"/>
  <c r="G724" i="5"/>
  <c r="G723" i="5"/>
  <c r="G719" i="5"/>
  <c r="G718" i="5"/>
  <c r="G717" i="5"/>
  <c r="G716" i="5"/>
  <c r="G715" i="5"/>
  <c r="G714" i="5"/>
  <c r="G713" i="5"/>
  <c r="G712" i="5"/>
  <c r="G711" i="5"/>
  <c r="G710" i="5"/>
  <c r="G709" i="5"/>
  <c r="G708" i="5"/>
  <c r="G707" i="5"/>
  <c r="G706" i="5"/>
  <c r="G705" i="5"/>
  <c r="G704" i="5"/>
  <c r="G703" i="5"/>
  <c r="G702" i="5"/>
  <c r="G701" i="5"/>
  <c r="G700" i="5"/>
  <c r="G699" i="5"/>
  <c r="G698" i="5"/>
  <c r="G697" i="5"/>
  <c r="G696" i="5"/>
  <c r="G695" i="5"/>
  <c r="G694" i="5"/>
  <c r="G693" i="5"/>
  <c r="G692" i="5"/>
  <c r="G691" i="5"/>
  <c r="G690" i="5"/>
  <c r="G689" i="5"/>
  <c r="G688" i="5"/>
  <c r="G687" i="5"/>
  <c r="G686" i="5"/>
  <c r="G685" i="5"/>
  <c r="G684" i="5"/>
  <c r="G683" i="5"/>
  <c r="G682" i="5"/>
  <c r="G681" i="5"/>
  <c r="G680" i="5"/>
  <c r="G679" i="5"/>
  <c r="G678" i="5"/>
  <c r="G677" i="5"/>
  <c r="G676" i="5"/>
  <c r="G675" i="5"/>
  <c r="G674" i="5"/>
  <c r="G673" i="5"/>
  <c r="G672" i="5"/>
  <c r="G671" i="5"/>
  <c r="G670" i="5"/>
  <c r="G669" i="5"/>
  <c r="G668" i="5"/>
  <c r="G667" i="5"/>
  <c r="G666" i="5"/>
  <c r="G665" i="5"/>
  <c r="G664" i="5"/>
  <c r="G663" i="5"/>
  <c r="G662" i="5"/>
  <c r="G661" i="5"/>
  <c r="G660" i="5"/>
  <c r="G656" i="5"/>
  <c r="G655" i="5"/>
  <c r="G654" i="5"/>
  <c r="G653" i="5"/>
  <c r="G652" i="5"/>
  <c r="G651" i="5"/>
  <c r="G650" i="5"/>
  <c r="G649" i="5"/>
  <c r="G648" i="5"/>
  <c r="G647" i="5"/>
  <c r="G646" i="5"/>
  <c r="G645" i="5"/>
  <c r="G644" i="5"/>
  <c r="G643" i="5"/>
  <c r="G642" i="5"/>
  <c r="G641" i="5"/>
  <c r="G640" i="5"/>
  <c r="G639" i="5"/>
  <c r="G638" i="5"/>
  <c r="G637" i="5"/>
  <c r="G636" i="5"/>
  <c r="G635" i="5"/>
  <c r="G634" i="5"/>
  <c r="G633" i="5"/>
  <c r="G632" i="5"/>
  <c r="G631" i="5"/>
  <c r="G630" i="5"/>
  <c r="G629" i="5"/>
  <c r="G628" i="5"/>
  <c r="G627" i="5"/>
  <c r="G626" i="5"/>
  <c r="G625" i="5"/>
  <c r="G624" i="5"/>
  <c r="G623" i="5"/>
  <c r="G622" i="5"/>
  <c r="G621" i="5"/>
  <c r="G620" i="5"/>
  <c r="G619" i="5"/>
  <c r="G618" i="5"/>
  <c r="G617" i="5"/>
  <c r="G616" i="5"/>
  <c r="G615" i="5"/>
  <c r="G614" i="5"/>
  <c r="G613" i="5"/>
  <c r="G612" i="5"/>
  <c r="G611" i="5"/>
  <c r="G610" i="5"/>
  <c r="G609" i="5"/>
  <c r="G608" i="5"/>
  <c r="G607" i="5"/>
  <c r="G606" i="5"/>
  <c r="F605" i="5"/>
  <c r="G605" i="5" s="1"/>
  <c r="G604" i="5"/>
  <c r="G603" i="5"/>
  <c r="G602" i="5"/>
  <c r="G601" i="5"/>
  <c r="G600" i="5"/>
  <c r="G599" i="5"/>
  <c r="G598" i="5"/>
  <c r="G597" i="5"/>
  <c r="G592" i="5"/>
  <c r="G591" i="5"/>
  <c r="G590" i="5"/>
  <c r="G589" i="5"/>
  <c r="G588" i="5"/>
  <c r="G587" i="5"/>
  <c r="G586" i="5"/>
  <c r="G585" i="5"/>
  <c r="G584" i="5"/>
  <c r="G583" i="5"/>
  <c r="G582" i="5"/>
  <c r="G581" i="5"/>
  <c r="G580" i="5"/>
  <c r="G579" i="5"/>
  <c r="G578" i="5"/>
  <c r="G577" i="5"/>
  <c r="G576" i="5"/>
  <c r="G575" i="5"/>
  <c r="G574" i="5"/>
  <c r="G573" i="5"/>
  <c r="G572" i="5"/>
  <c r="G571" i="5"/>
  <c r="G570" i="5"/>
  <c r="G569" i="5"/>
  <c r="G568" i="5"/>
  <c r="G567" i="5"/>
  <c r="G566" i="5"/>
  <c r="G565" i="5"/>
  <c r="G564" i="5"/>
  <c r="G563" i="5"/>
  <c r="E407" i="5"/>
  <c r="E406" i="5"/>
  <c r="E405" i="5"/>
  <c r="E404" i="5"/>
  <c r="E344" i="5"/>
  <c r="E343" i="5"/>
  <c r="E342" i="5"/>
  <c r="E341" i="5"/>
  <c r="E340" i="5"/>
  <c r="M333" i="5"/>
  <c r="J333" i="5"/>
  <c r="M332" i="5"/>
  <c r="J332" i="5"/>
  <c r="M331" i="5"/>
  <c r="J331" i="5"/>
  <c r="M330" i="5"/>
  <c r="J330" i="5"/>
  <c r="M329" i="5"/>
  <c r="J329" i="5"/>
  <c r="M328" i="5"/>
  <c r="J328" i="5"/>
  <c r="M327" i="5"/>
  <c r="J327" i="5"/>
  <c r="M298" i="5"/>
  <c r="J277" i="5"/>
  <c r="M276" i="5"/>
  <c r="I276" i="5"/>
  <c r="J276" i="5" s="1"/>
  <c r="J275" i="5"/>
  <c r="J274" i="5"/>
  <c r="J273" i="5"/>
  <c r="J272" i="5"/>
  <c r="M271" i="5"/>
  <c r="I271" i="5"/>
  <c r="J271" i="5" s="1"/>
  <c r="J270" i="5"/>
  <c r="J269" i="5"/>
  <c r="J268" i="5"/>
  <c r="J267" i="5"/>
  <c r="M266" i="5"/>
  <c r="I266" i="5"/>
  <c r="J266" i="5" s="1"/>
  <c r="J265" i="5"/>
  <c r="J264" i="5"/>
  <c r="J263" i="5"/>
  <c r="J262" i="5"/>
  <c r="M261" i="5"/>
  <c r="I261" i="5"/>
  <c r="J261" i="5" s="1"/>
  <c r="J260" i="5"/>
  <c r="J259" i="5"/>
  <c r="J258" i="5"/>
  <c r="J257" i="5"/>
  <c r="M256" i="5"/>
  <c r="I256" i="5"/>
  <c r="J256" i="5" s="1"/>
  <c r="J255" i="5"/>
  <c r="J254" i="5"/>
  <c r="J253" i="5"/>
  <c r="J252" i="5"/>
  <c r="M251" i="5"/>
  <c r="I251" i="5"/>
  <c r="J251" i="5" s="1"/>
  <c r="J250" i="5"/>
  <c r="J249" i="5"/>
  <c r="J248" i="5"/>
  <c r="J247" i="5"/>
  <c r="M246" i="5"/>
  <c r="I246" i="5"/>
  <c r="J246" i="5" s="1"/>
  <c r="J245" i="5"/>
  <c r="J244" i="5"/>
  <c r="J243" i="5"/>
  <c r="J242" i="5"/>
  <c r="M241" i="5"/>
  <c r="I241" i="5"/>
  <c r="J241" i="5" s="1"/>
  <c r="J240" i="5"/>
  <c r="J239" i="5"/>
  <c r="J238" i="5"/>
  <c r="J234" i="5"/>
  <c r="M233" i="5"/>
  <c r="I233" i="5"/>
  <c r="J233" i="5" s="1"/>
  <c r="J232" i="5"/>
  <c r="J231" i="5"/>
  <c r="J230" i="5"/>
  <c r="J229" i="5"/>
  <c r="M228" i="5"/>
  <c r="I228" i="5"/>
  <c r="J228" i="5" s="1"/>
  <c r="J227" i="5"/>
  <c r="J226" i="5"/>
  <c r="J225" i="5"/>
  <c r="J224" i="5"/>
  <c r="M223" i="5"/>
  <c r="I223" i="5"/>
  <c r="J223" i="5" s="1"/>
  <c r="J222" i="5"/>
  <c r="J221" i="5"/>
  <c r="J220" i="5"/>
  <c r="J219" i="5"/>
  <c r="M218" i="5"/>
  <c r="I218" i="5"/>
  <c r="J218" i="5" s="1"/>
  <c r="J217" i="5"/>
  <c r="J216" i="5"/>
  <c r="J215" i="5"/>
  <c r="J214" i="5"/>
  <c r="M213" i="5"/>
  <c r="I213" i="5"/>
  <c r="J213" i="5" s="1"/>
  <c r="J212" i="5"/>
  <c r="J211" i="5"/>
  <c r="J210" i="5"/>
  <c r="J209" i="5"/>
  <c r="M208" i="5"/>
  <c r="I208" i="5"/>
  <c r="J208" i="5" s="1"/>
  <c r="J207" i="5"/>
  <c r="J206" i="5"/>
  <c r="J205" i="5"/>
  <c r="J204" i="5"/>
  <c r="M203" i="5"/>
  <c r="I203" i="5"/>
  <c r="J203" i="5" s="1"/>
  <c r="J202" i="5"/>
  <c r="J201" i="5"/>
  <c r="J200" i="5"/>
  <c r="J199" i="5"/>
  <c r="M198" i="5"/>
  <c r="I198" i="5"/>
  <c r="J198" i="5" s="1"/>
  <c r="J197" i="5"/>
  <c r="J196" i="5"/>
  <c r="J195" i="5"/>
  <c r="J194" i="5"/>
  <c r="M193" i="5"/>
  <c r="I193" i="5"/>
  <c r="J193" i="5" s="1"/>
  <c r="J192" i="5"/>
  <c r="J191" i="5"/>
  <c r="J190" i="5"/>
  <c r="J189" i="5"/>
  <c r="M188" i="5"/>
  <c r="I188" i="5"/>
  <c r="J188" i="5" s="1"/>
  <c r="J187" i="5"/>
  <c r="J186" i="5"/>
  <c r="J185" i="5"/>
  <c r="J184" i="5"/>
  <c r="M183" i="5"/>
  <c r="I183" i="5"/>
  <c r="J183" i="5" s="1"/>
  <c r="J182" i="5"/>
  <c r="J181" i="5"/>
  <c r="J180" i="5"/>
  <c r="J179" i="5"/>
  <c r="M178" i="5"/>
  <c r="I178" i="5"/>
  <c r="J178" i="5" s="1"/>
  <c r="J177" i="5"/>
  <c r="J176" i="5"/>
  <c r="J175" i="5"/>
  <c r="M171" i="5"/>
  <c r="J171" i="5"/>
  <c r="M170" i="5"/>
  <c r="J170" i="5"/>
  <c r="M169" i="5"/>
  <c r="J169" i="5"/>
  <c r="J168" i="5"/>
  <c r="J167" i="5"/>
  <c r="M166" i="5"/>
  <c r="J166" i="5"/>
  <c r="M165" i="5"/>
  <c r="J165" i="5"/>
  <c r="M164" i="5"/>
  <c r="J164" i="5"/>
  <c r="J163" i="5"/>
  <c r="J162" i="5"/>
  <c r="M161" i="5"/>
  <c r="J161" i="5"/>
  <c r="M160" i="5"/>
  <c r="J160" i="5"/>
  <c r="M159" i="5"/>
  <c r="I159" i="5"/>
  <c r="J159" i="5" s="1"/>
  <c r="J158" i="5"/>
  <c r="J157" i="5"/>
  <c r="M156" i="5"/>
  <c r="J156" i="5"/>
  <c r="M155" i="5"/>
  <c r="J155" i="5"/>
  <c r="M154" i="5"/>
  <c r="I154" i="5"/>
  <c r="J154" i="5" s="1"/>
  <c r="J153" i="5"/>
  <c r="J152" i="5"/>
  <c r="M151" i="5"/>
  <c r="J151" i="5"/>
  <c r="M150" i="5"/>
  <c r="J150" i="5"/>
  <c r="M149" i="5"/>
  <c r="J149" i="5"/>
  <c r="J148" i="5"/>
  <c r="J147" i="5"/>
  <c r="M146" i="5"/>
  <c r="J146" i="5"/>
  <c r="M145" i="5"/>
  <c r="J145" i="5"/>
  <c r="M144" i="5"/>
  <c r="J144" i="5"/>
  <c r="J143" i="5"/>
  <c r="J142" i="5"/>
  <c r="M141" i="5"/>
  <c r="J141" i="5"/>
  <c r="M140" i="5"/>
  <c r="J140" i="5"/>
  <c r="M139" i="5"/>
  <c r="J139" i="5"/>
  <c r="J138" i="5"/>
  <c r="J137" i="5"/>
  <c r="M136" i="5"/>
  <c r="J136" i="5"/>
  <c r="M135" i="5"/>
  <c r="J135" i="5"/>
  <c r="M134" i="5"/>
  <c r="J134" i="5"/>
  <c r="J133" i="5"/>
  <c r="J132" i="5"/>
  <c r="M131" i="5"/>
  <c r="J131" i="5"/>
  <c r="M130" i="5"/>
  <c r="J130" i="5"/>
  <c r="M129" i="5"/>
  <c r="J129" i="5"/>
  <c r="J128" i="5"/>
  <c r="J127" i="5"/>
  <c r="M126" i="5"/>
  <c r="J126" i="5"/>
  <c r="M125" i="5"/>
  <c r="J125" i="5"/>
  <c r="M124" i="5"/>
  <c r="J124" i="5"/>
  <c r="J123" i="5"/>
  <c r="J122" i="5"/>
  <c r="M121" i="5"/>
  <c r="J121" i="5"/>
  <c r="M120" i="5"/>
  <c r="J120" i="5"/>
  <c r="M119" i="5"/>
  <c r="J119" i="5"/>
  <c r="J118" i="5"/>
  <c r="J117" i="5"/>
  <c r="M116" i="5"/>
  <c r="J116" i="5"/>
  <c r="M115" i="5"/>
  <c r="J115" i="5"/>
  <c r="M114" i="5"/>
  <c r="J114" i="5"/>
  <c r="J113" i="5"/>
  <c r="J112"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H74" i="5"/>
  <c r="H73" i="5"/>
  <c r="H72" i="5"/>
  <c r="H71" i="5"/>
  <c r="H70" i="5"/>
  <c r="H69" i="5"/>
  <c r="H68" i="5"/>
  <c r="H67" i="5"/>
  <c r="H65" i="5"/>
  <c r="H54" i="5"/>
  <c r="H53" i="5"/>
  <c r="H52" i="5"/>
  <c r="H51" i="5"/>
  <c r="H50" i="5"/>
  <c r="H49" i="5"/>
  <c r="H48" i="5"/>
  <c r="H42" i="5"/>
  <c r="H41" i="5"/>
  <c r="H40" i="5"/>
  <c r="H39" i="5"/>
  <c r="H38" i="5"/>
  <c r="H37" i="5"/>
  <c r="H36" i="5"/>
  <c r="H35" i="5"/>
  <c r="H34" i="5"/>
  <c r="H33" i="5"/>
  <c r="H29" i="5"/>
  <c r="H28" i="5"/>
  <c r="H27" i="5"/>
  <c r="H26" i="5"/>
  <c r="H25" i="5"/>
  <c r="H24" i="5"/>
  <c r="H23" i="5"/>
  <c r="H22" i="5"/>
  <c r="H21" i="5"/>
  <c r="H20" i="5"/>
  <c r="H19" i="5"/>
  <c r="H14" i="5"/>
  <c r="H13" i="5"/>
  <c r="H12" i="5"/>
  <c r="H11" i="5"/>
  <c r="H10" i="5"/>
  <c r="H9" i="5"/>
  <c r="U25" i="3"/>
  <c r="T25" i="3"/>
  <c r="S24" i="3"/>
  <c r="S23" i="3"/>
  <c r="S22" i="3"/>
  <c r="S21" i="3"/>
  <c r="S20" i="3"/>
  <c r="S19" i="3"/>
  <c r="S18" i="3"/>
  <c r="S17" i="3"/>
  <c r="S16" i="3"/>
  <c r="S15" i="3"/>
  <c r="S14" i="3"/>
  <c r="S13" i="3"/>
  <c r="S12" i="3"/>
  <c r="S11" i="3"/>
  <c r="S10" i="3"/>
  <c r="S9" i="3"/>
  <c r="AZ49" i="2"/>
  <c r="AY49" i="2"/>
  <c r="AX49" i="2"/>
  <c r="AW49" i="2"/>
  <c r="AV49" i="2"/>
  <c r="AU49" i="2"/>
  <c r="AT49" i="2"/>
  <c r="AS49" i="2"/>
  <c r="AR49" i="2"/>
  <c r="AQ49" i="2"/>
  <c r="AP49" i="2"/>
  <c r="AO49" i="2"/>
  <c r="AM49" i="2"/>
  <c r="AL49" i="2"/>
  <c r="AK49" i="2"/>
  <c r="AJ49" i="2"/>
  <c r="AI49" i="2"/>
  <c r="AH49" i="2"/>
  <c r="AG49" i="2"/>
  <c r="AF49" i="2"/>
  <c r="AE49" i="2"/>
  <c r="AD49" i="2"/>
  <c r="AC49" i="2"/>
  <c r="EM47" i="2"/>
  <c r="DH46" i="2"/>
  <c r="DG46" i="2"/>
  <c r="DF46" i="2"/>
  <c r="DE46" i="2"/>
  <c r="DD46" i="2"/>
  <c r="DC46" i="2"/>
  <c r="DB46" i="2"/>
  <c r="DA46" i="2"/>
  <c r="CZ46" i="2"/>
  <c r="CX46" i="2"/>
  <c r="CW46" i="2"/>
  <c r="CV46" i="2"/>
  <c r="CU46" i="2"/>
  <c r="CT46" i="2"/>
  <c r="CS46" i="2"/>
  <c r="CR46" i="2"/>
  <c r="CQ46" i="2"/>
  <c r="CP46" i="2"/>
  <c r="CO46" i="2"/>
  <c r="CN46" i="2"/>
  <c r="CM46" i="2"/>
  <c r="CL46" i="2"/>
  <c r="CK46" i="2"/>
  <c r="CJ46" i="2"/>
  <c r="CD46" i="2"/>
  <c r="CC46" i="2"/>
  <c r="CB46" i="2"/>
  <c r="CA46" i="2"/>
  <c r="BZ46" i="2"/>
  <c r="BY46" i="2"/>
  <c r="BX46" i="2"/>
  <c r="BW46" i="2"/>
  <c r="BV46" i="2"/>
  <c r="BU46" i="2"/>
  <c r="BT46" i="2"/>
  <c r="BS46" i="2"/>
  <c r="BR46" i="2"/>
  <c r="BQ46" i="2"/>
  <c r="BP46" i="2"/>
  <c r="BN46" i="2"/>
  <c r="BM46" i="2"/>
  <c r="BL46" i="2"/>
  <c r="BK46" i="2"/>
  <c r="BJ46" i="2"/>
  <c r="BI46" i="2"/>
  <c r="BH46" i="2"/>
  <c r="BG46" i="2"/>
  <c r="AZ46" i="2"/>
  <c r="AY46" i="2"/>
  <c r="AX46" i="2"/>
  <c r="AW46" i="2"/>
  <c r="AV46" i="2"/>
  <c r="AU46" i="2"/>
  <c r="AT46" i="2"/>
  <c r="AS46" i="2"/>
  <c r="AR46" i="2"/>
  <c r="AQ46" i="2"/>
  <c r="AP46" i="2"/>
  <c r="AO46" i="2"/>
  <c r="AN46" i="2"/>
  <c r="AM46" i="2"/>
  <c r="AL46" i="2"/>
  <c r="AK46" i="2"/>
  <c r="AJ46" i="2"/>
  <c r="AI46" i="2"/>
  <c r="AH46" i="2"/>
  <c r="AG46" i="2"/>
  <c r="AF46" i="2"/>
  <c r="AE46" i="2"/>
  <c r="AD46" i="2"/>
  <c r="AC46" i="2"/>
  <c r="AA46" i="2"/>
  <c r="Z46" i="2"/>
  <c r="Y46" i="2"/>
  <c r="X46" i="2"/>
  <c r="W46" i="2"/>
  <c r="V46" i="2"/>
  <c r="U46" i="2"/>
  <c r="T46" i="2"/>
  <c r="S46" i="2"/>
  <c r="R46" i="2"/>
  <c r="Q46" i="2"/>
  <c r="P46" i="2"/>
  <c r="O46" i="2"/>
  <c r="N46" i="2"/>
  <c r="M46" i="2"/>
  <c r="L46" i="2"/>
  <c r="K46" i="2"/>
  <c r="J46" i="2"/>
  <c r="I46" i="2"/>
  <c r="H46" i="2"/>
  <c r="EL45" i="2"/>
  <c r="EK45" i="2"/>
  <c r="EJ45" i="2"/>
  <c r="EI45" i="2"/>
  <c r="EH45" i="2"/>
  <c r="EG45" i="2"/>
  <c r="EF45" i="2"/>
  <c r="EE45" i="2"/>
  <c r="ED45" i="2"/>
  <c r="EC45" i="2"/>
  <c r="EB45" i="2"/>
  <c r="EA45" i="2"/>
  <c r="DZ45" i="2"/>
  <c r="DY45" i="2"/>
  <c r="DH45" i="2"/>
  <c r="DG45" i="2"/>
  <c r="DF45" i="2"/>
  <c r="DE45" i="2"/>
  <c r="DD45" i="2"/>
  <c r="DC45" i="2"/>
  <c r="DA45" i="2"/>
  <c r="CZ45" i="2"/>
  <c r="CZ47" i="2" s="1"/>
  <c r="CY45" i="2"/>
  <c r="CX45" i="2"/>
  <c r="CW45" i="2"/>
  <c r="CV45" i="2"/>
  <c r="CU45" i="2"/>
  <c r="CT45" i="2"/>
  <c r="CS45" i="2"/>
  <c r="CR45" i="2"/>
  <c r="CQ45" i="2"/>
  <c r="CP45" i="2"/>
  <c r="CO45" i="2"/>
  <c r="CO47" i="2" s="1"/>
  <c r="CN45" i="2"/>
  <c r="CM45" i="2"/>
  <c r="CL45" i="2"/>
  <c r="CK45" i="2"/>
  <c r="CJ45" i="2"/>
  <c r="CJ47" i="2" s="1"/>
  <c r="CD45" i="2"/>
  <c r="CC45" i="2"/>
  <c r="CB45" i="2"/>
  <c r="CA45" i="2"/>
  <c r="BZ45" i="2"/>
  <c r="BY45" i="2"/>
  <c r="BX45" i="2"/>
  <c r="BW45" i="2"/>
  <c r="BW47" i="2" s="1"/>
  <c r="BV45" i="2"/>
  <c r="BU45" i="2"/>
  <c r="BT45" i="2"/>
  <c r="BS45" i="2"/>
  <c r="BR45" i="2"/>
  <c r="BQ45" i="2"/>
  <c r="BP45" i="2"/>
  <c r="BO45" i="2"/>
  <c r="BN45" i="2"/>
  <c r="BM45" i="2"/>
  <c r="BL45" i="2"/>
  <c r="BK45" i="2"/>
  <c r="BK47" i="2" s="1"/>
  <c r="BJ45" i="2"/>
  <c r="BI45" i="2"/>
  <c r="BH45" i="2"/>
  <c r="BG45" i="2"/>
  <c r="BF45" i="2"/>
  <c r="AZ45" i="2"/>
  <c r="AY45" i="2"/>
  <c r="AX45" i="2"/>
  <c r="AW45" i="2"/>
  <c r="AV45" i="2"/>
  <c r="AU45" i="2"/>
  <c r="AT45" i="2"/>
  <c r="AS45" i="2"/>
  <c r="AR45" i="2"/>
  <c r="AQ45" i="2"/>
  <c r="AP45" i="2"/>
  <c r="AM45" i="2"/>
  <c r="AL45" i="2"/>
  <c r="AJ45" i="2"/>
  <c r="AI45" i="2"/>
  <c r="AH45" i="2"/>
  <c r="AH47" i="2" s="1"/>
  <c r="AG45" i="2"/>
  <c r="AG47" i="2" s="1"/>
  <c r="AF45" i="2"/>
  <c r="AE45" i="2"/>
  <c r="AD45" i="2"/>
  <c r="AD47" i="2" s="1"/>
  <c r="AC45" i="2"/>
  <c r="AC47" i="2" s="1"/>
  <c r="AB45" i="2"/>
  <c r="AA45" i="2"/>
  <c r="AA47" i="2" s="1"/>
  <c r="Z45" i="2"/>
  <c r="Y45" i="2"/>
  <c r="X45" i="2"/>
  <c r="W45" i="2"/>
  <c r="V45" i="2"/>
  <c r="U45" i="2"/>
  <c r="T45" i="2"/>
  <c r="T47" i="2" s="1"/>
  <c r="S45" i="2"/>
  <c r="S47" i="2" s="1"/>
  <c r="R45" i="2"/>
  <c r="Q45" i="2"/>
  <c r="P45" i="2"/>
  <c r="O45" i="2"/>
  <c r="N45" i="2"/>
  <c r="M45" i="2"/>
  <c r="L45" i="2"/>
  <c r="K45" i="2"/>
  <c r="J45" i="2"/>
  <c r="I45" i="2"/>
  <c r="H45" i="2"/>
  <c r="H47" i="2" s="1"/>
  <c r="EL44" i="2"/>
  <c r="EK44" i="2"/>
  <c r="EJ44" i="2"/>
  <c r="EI44" i="2"/>
  <c r="EH44" i="2"/>
  <c r="EG44" i="2"/>
  <c r="EF44" i="2"/>
  <c r="EE44" i="2"/>
  <c r="ED44" i="2"/>
  <c r="EC44" i="2"/>
  <c r="EB44" i="2"/>
  <c r="EA44" i="2"/>
  <c r="DZ44" i="2"/>
  <c r="DY44" i="2"/>
  <c r="DN44" i="2"/>
  <c r="DH44" i="2"/>
  <c r="DG44" i="2"/>
  <c r="DF44" i="2"/>
  <c r="DE44" i="2"/>
  <c r="DC44" i="2"/>
  <c r="DB44" i="2"/>
  <c r="DA44" i="2"/>
  <c r="CZ44" i="2"/>
  <c r="CY44" i="2"/>
  <c r="CX44" i="2"/>
  <c r="CW44" i="2"/>
  <c r="CV44" i="2"/>
  <c r="CU44" i="2"/>
  <c r="CT44" i="2"/>
  <c r="CS44" i="2"/>
  <c r="CR44" i="2"/>
  <c r="CQ44" i="2"/>
  <c r="CP44" i="2"/>
  <c r="CO44" i="2"/>
  <c r="CN44" i="2"/>
  <c r="CM44" i="2"/>
  <c r="CL44" i="2"/>
  <c r="CK44" i="2"/>
  <c r="CJ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H44" i="2"/>
  <c r="DJ43" i="2"/>
  <c r="DH43" i="2"/>
  <c r="DG43" i="2"/>
  <c r="DF43" i="2"/>
  <c r="DE43" i="2"/>
  <c r="DD43" i="2"/>
  <c r="DC43" i="2"/>
  <c r="DB43" i="2"/>
  <c r="DA43" i="2"/>
  <c r="CZ43" i="2"/>
  <c r="CY43" i="2"/>
  <c r="CX43" i="2"/>
  <c r="CW43" i="2"/>
  <c r="CV43" i="2"/>
  <c r="CU43" i="2"/>
  <c r="CT43" i="2"/>
  <c r="CS43" i="2"/>
  <c r="CR43" i="2"/>
  <c r="CQ43" i="2"/>
  <c r="CP43" i="2"/>
  <c r="CO43" i="2"/>
  <c r="CN43" i="2"/>
  <c r="CM43" i="2"/>
  <c r="CL43" i="2"/>
  <c r="CK43" i="2"/>
  <c r="CJ43" i="2"/>
  <c r="CD43" i="2"/>
  <c r="CC43" i="2"/>
  <c r="CB43" i="2"/>
  <c r="CA43" i="2"/>
  <c r="BZ43" i="2"/>
  <c r="BY43" i="2"/>
  <c r="BX43" i="2"/>
  <c r="BW43" i="2"/>
  <c r="BV43" i="2"/>
  <c r="BU43" i="2"/>
  <c r="BT43" i="2"/>
  <c r="BS43" i="2"/>
  <c r="BR43" i="2"/>
  <c r="BQ43" i="2"/>
  <c r="BP43" i="2"/>
  <c r="BO43" i="2"/>
  <c r="BN43" i="2"/>
  <c r="BM43" i="2"/>
  <c r="BL43" i="2"/>
  <c r="BK43" i="2"/>
  <c r="BJ43" i="2"/>
  <c r="BI43" i="2"/>
  <c r="BH43" i="2"/>
  <c r="BG43" i="2"/>
  <c r="AZ43" i="2"/>
  <c r="AY43" i="2"/>
  <c r="AX43" i="2"/>
  <c r="AW43" i="2"/>
  <c r="AV43" i="2"/>
  <c r="AU43" i="2"/>
  <c r="AT43" i="2"/>
  <c r="AS43" i="2"/>
  <c r="AR43" i="2"/>
  <c r="AQ43" i="2"/>
  <c r="AP43" i="2"/>
  <c r="AO43" i="2"/>
  <c r="AN43" i="2"/>
  <c r="AM43" i="2"/>
  <c r="AL43" i="2"/>
  <c r="AK43" i="2"/>
  <c r="AJ43" i="2"/>
  <c r="AI43" i="2"/>
  <c r="AH43" i="2"/>
  <c r="AG43" i="2"/>
  <c r="AF43" i="2"/>
  <c r="AE43" i="2"/>
  <c r="AD43" i="2"/>
  <c r="AC43" i="2"/>
  <c r="H43" i="2"/>
  <c r="DM42" i="2"/>
  <c r="DL42" i="2"/>
  <c r="DK42" i="2"/>
  <c r="DI42" i="2"/>
  <c r="CI42" i="2"/>
  <c r="CH42" i="2"/>
  <c r="CG42" i="2"/>
  <c r="CF42" i="2"/>
  <c r="CE42" i="2"/>
  <c r="BE42" i="2"/>
  <c r="BD42" i="2"/>
  <c r="BC42" i="2"/>
  <c r="BB42" i="2"/>
  <c r="BA42" i="2"/>
  <c r="DM41" i="2"/>
  <c r="DL41" i="2"/>
  <c r="DK41" i="2"/>
  <c r="DI41" i="2"/>
  <c r="CI41" i="2"/>
  <c r="CH41" i="2"/>
  <c r="CG41" i="2"/>
  <c r="CF41" i="2"/>
  <c r="CE41" i="2"/>
  <c r="BE41" i="2"/>
  <c r="BD41" i="2"/>
  <c r="BC41" i="2"/>
  <c r="BB41" i="2"/>
  <c r="BA41" i="2"/>
  <c r="AB41" i="2"/>
  <c r="DM40" i="2"/>
  <c r="DL40" i="2"/>
  <c r="DK40" i="2"/>
  <c r="DI40" i="2"/>
  <c r="CI40" i="2"/>
  <c r="CH40" i="2"/>
  <c r="CG40" i="2"/>
  <c r="CF40" i="2"/>
  <c r="CE40" i="2"/>
  <c r="BE40" i="2"/>
  <c r="BD40" i="2"/>
  <c r="BC40" i="2"/>
  <c r="BB40" i="2"/>
  <c r="BA40" i="2"/>
  <c r="AB40" i="2"/>
  <c r="DM39" i="2"/>
  <c r="DL39" i="2"/>
  <c r="DK39" i="2"/>
  <c r="DJ44" i="2"/>
  <c r="DI39" i="2"/>
  <c r="CI39" i="2"/>
  <c r="CH39" i="2"/>
  <c r="CH44" i="2" s="1"/>
  <c r="CG39" i="2"/>
  <c r="CG44" i="2" s="1"/>
  <c r="CF39" i="2"/>
  <c r="CE39" i="2"/>
  <c r="BE39" i="2"/>
  <c r="BD39" i="2"/>
  <c r="BD44" i="2" s="1"/>
  <c r="BC39" i="2"/>
  <c r="BC44" i="2" s="1"/>
  <c r="BB39" i="2"/>
  <c r="BA39" i="2"/>
  <c r="DM38" i="2"/>
  <c r="DL38" i="2"/>
  <c r="DK38" i="2"/>
  <c r="DI38" i="2"/>
  <c r="CI38" i="2"/>
  <c r="CH38" i="2"/>
  <c r="CH43" i="2" s="1"/>
  <c r="CG38" i="2"/>
  <c r="CF38" i="2"/>
  <c r="CE38" i="2"/>
  <c r="BF38" i="2"/>
  <c r="BE38" i="2"/>
  <c r="BD38" i="2"/>
  <c r="BC38" i="2"/>
  <c r="BB38" i="2"/>
  <c r="BA38" i="2"/>
  <c r="AB38" i="2"/>
  <c r="EL37" i="2"/>
  <c r="EK37" i="2"/>
  <c r="EJ37" i="2"/>
  <c r="EI37" i="2"/>
  <c r="EH37" i="2"/>
  <c r="EG37" i="2"/>
  <c r="EF37" i="2"/>
  <c r="EE37" i="2"/>
  <c r="ED37" i="2"/>
  <c r="EC37" i="2"/>
  <c r="EB37" i="2"/>
  <c r="EA37" i="2"/>
  <c r="DZ37" i="2"/>
  <c r="DY37" i="2"/>
  <c r="DH37" i="2"/>
  <c r="DG37" i="2"/>
  <c r="DF37" i="2"/>
  <c r="DE37" i="2"/>
  <c r="DD37" i="2"/>
  <c r="DC37" i="2"/>
  <c r="DB37" i="2"/>
  <c r="DA37" i="2"/>
  <c r="CZ37" i="2"/>
  <c r="CX37" i="2"/>
  <c r="CW37" i="2"/>
  <c r="CV37" i="2"/>
  <c r="CU37" i="2"/>
  <c r="CT37" i="2"/>
  <c r="CS37" i="2"/>
  <c r="CR37" i="2"/>
  <c r="CQ37" i="2"/>
  <c r="CP37" i="2"/>
  <c r="CO37" i="2"/>
  <c r="CN37" i="2"/>
  <c r="CM37" i="2"/>
  <c r="CL37" i="2"/>
  <c r="CK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M37" i="2"/>
  <c r="AL37" i="2"/>
  <c r="AJ37" i="2"/>
  <c r="AI37" i="2"/>
  <c r="AH37" i="2"/>
  <c r="AG37" i="2"/>
  <c r="AF37" i="2"/>
  <c r="AE37" i="2"/>
  <c r="AD37" i="2"/>
  <c r="AC37" i="2"/>
  <c r="H37" i="2"/>
  <c r="DH36" i="2"/>
  <c r="DG36" i="2"/>
  <c r="DF36" i="2"/>
  <c r="DE36" i="2"/>
  <c r="DD36" i="2"/>
  <c r="DC36" i="2"/>
  <c r="DB36" i="2"/>
  <c r="DA36" i="2"/>
  <c r="CZ36" i="2"/>
  <c r="CY36" i="2"/>
  <c r="CX36" i="2"/>
  <c r="CW36" i="2"/>
  <c r="CV36" i="2"/>
  <c r="CU36" i="2"/>
  <c r="CT36" i="2"/>
  <c r="CS36" i="2"/>
  <c r="CR36" i="2"/>
  <c r="CQ36" i="2"/>
  <c r="CP36" i="2"/>
  <c r="CO36" i="2"/>
  <c r="CN36" i="2"/>
  <c r="CM36" i="2"/>
  <c r="CL36" i="2"/>
  <c r="CK36" i="2"/>
  <c r="CJ36" i="2"/>
  <c r="CD36" i="2"/>
  <c r="CC36" i="2"/>
  <c r="CB36" i="2"/>
  <c r="CA36" i="2"/>
  <c r="BZ36" i="2"/>
  <c r="BY36" i="2"/>
  <c r="BX36" i="2"/>
  <c r="BW36" i="2"/>
  <c r="BV36" i="2"/>
  <c r="BU36" i="2"/>
  <c r="BT36" i="2"/>
  <c r="BS36" i="2"/>
  <c r="BR36" i="2"/>
  <c r="BQ36" i="2"/>
  <c r="BP36" i="2"/>
  <c r="BM36" i="2"/>
  <c r="BL36" i="2"/>
  <c r="BK36" i="2"/>
  <c r="BJ36" i="2"/>
  <c r="BI36" i="2"/>
  <c r="BH36" i="2"/>
  <c r="AZ36" i="2"/>
  <c r="AX36" i="2"/>
  <c r="AR36" i="2"/>
  <c r="AN36" i="2"/>
  <c r="AL36" i="2"/>
  <c r="AJ36" i="2"/>
  <c r="AI36" i="2"/>
  <c r="AH36" i="2"/>
  <c r="AG36" i="2"/>
  <c r="AF36" i="2"/>
  <c r="AE36" i="2"/>
  <c r="AD36" i="2"/>
  <c r="AC36" i="2"/>
  <c r="H36" i="2"/>
  <c r="DM35" i="2"/>
  <c r="DK35" i="2"/>
  <c r="CY35" i="2"/>
  <c r="DJ35" i="2" s="1"/>
  <c r="CI35" i="2"/>
  <c r="CH35" i="2"/>
  <c r="CG35" i="2"/>
  <c r="CF35" i="2"/>
  <c r="CE35" i="2"/>
  <c r="BE35" i="2"/>
  <c r="BD35" i="2"/>
  <c r="BC35" i="2"/>
  <c r="BB35" i="2"/>
  <c r="BA35" i="2"/>
  <c r="AB35" i="2"/>
  <c r="AB37" i="2" s="1"/>
  <c r="DM34" i="2"/>
  <c r="DL34" i="2"/>
  <c r="DK34" i="2"/>
  <c r="DI34" i="2"/>
  <c r="BO34" i="2"/>
  <c r="BO36" i="2" s="1"/>
  <c r="BN34" i="2"/>
  <c r="BN36" i="2" s="1"/>
  <c r="BG34" i="2"/>
  <c r="CE34" i="2" s="1"/>
  <c r="BD34" i="2"/>
  <c r="BB34" i="2"/>
  <c r="BA34" i="2"/>
  <c r="AV34" i="2"/>
  <c r="BE34" i="2" s="1"/>
  <c r="AB34" i="2"/>
  <c r="DM33" i="2"/>
  <c r="DL33" i="2"/>
  <c r="DK33" i="2"/>
  <c r="CI33" i="2"/>
  <c r="CH33" i="2"/>
  <c r="CG33" i="2"/>
  <c r="CF33" i="2"/>
  <c r="CE33" i="2"/>
  <c r="BE33" i="2"/>
  <c r="BD33" i="2"/>
  <c r="BC33" i="2"/>
  <c r="BB33" i="2"/>
  <c r="BA33" i="2"/>
  <c r="AB33" i="2"/>
  <c r="DM32" i="2"/>
  <c r="DL32" i="2"/>
  <c r="DK32" i="2"/>
  <c r="DI32" i="2"/>
  <c r="CI32" i="2"/>
  <c r="CH32" i="2"/>
  <c r="CG32" i="2"/>
  <c r="CF32" i="2"/>
  <c r="CE32" i="2"/>
  <c r="AO32" i="2"/>
  <c r="AO37" i="2" s="1"/>
  <c r="AN32" i="2"/>
  <c r="BE32" i="2" s="1"/>
  <c r="AK32" i="2"/>
  <c r="DM31" i="2"/>
  <c r="DL31" i="2"/>
  <c r="DK31" i="2"/>
  <c r="DJ36" i="2"/>
  <c r="DI31" i="2"/>
  <c r="CH31" i="2"/>
  <c r="CG31" i="2"/>
  <c r="CF31" i="2"/>
  <c r="CE31" i="2"/>
  <c r="AY31" i="2"/>
  <c r="AY36" i="2" s="1"/>
  <c r="AW31" i="2"/>
  <c r="AW36" i="2" s="1"/>
  <c r="AV31" i="2"/>
  <c r="AU31" i="2"/>
  <c r="AU36" i="2" s="1"/>
  <c r="AT31" i="2"/>
  <c r="AT36" i="2" s="1"/>
  <c r="AS31" i="2"/>
  <c r="AS36" i="2" s="1"/>
  <c r="AQ31" i="2"/>
  <c r="AQ36" i="2" s="1"/>
  <c r="AP31" i="2"/>
  <c r="AO31" i="2"/>
  <c r="AO36" i="2" s="1"/>
  <c r="AM31" i="2"/>
  <c r="AK31" i="2"/>
  <c r="AK36" i="2" s="1"/>
  <c r="EL30" i="2"/>
  <c r="EK30" i="2"/>
  <c r="EJ30" i="2"/>
  <c r="EI30" i="2"/>
  <c r="EH30" i="2"/>
  <c r="EG30" i="2"/>
  <c r="EF30" i="2"/>
  <c r="EE30" i="2"/>
  <c r="ED30" i="2"/>
  <c r="EC30" i="2"/>
  <c r="EB30" i="2"/>
  <c r="EA30" i="2"/>
  <c r="DZ30" i="2"/>
  <c r="DY30" i="2"/>
  <c r="DH30" i="2"/>
  <c r="DG30" i="2"/>
  <c r="DF30" i="2"/>
  <c r="DE30" i="2"/>
  <c r="DD30" i="2"/>
  <c r="DC30" i="2"/>
  <c r="DB30" i="2"/>
  <c r="DA30" i="2"/>
  <c r="CZ30" i="2"/>
  <c r="CY30" i="2"/>
  <c r="CX30" i="2"/>
  <c r="CW30" i="2"/>
  <c r="CV30" i="2"/>
  <c r="CU30" i="2"/>
  <c r="CT30" i="2"/>
  <c r="CS30" i="2"/>
  <c r="CR30" i="2"/>
  <c r="CQ30" i="2"/>
  <c r="CP30" i="2"/>
  <c r="CO30" i="2"/>
  <c r="CN30" i="2"/>
  <c r="CM30" i="2"/>
  <c r="CL30" i="2"/>
  <c r="CK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J30" i="2"/>
  <c r="AI30" i="2"/>
  <c r="AH30" i="2"/>
  <c r="AG30" i="2"/>
  <c r="AF30" i="2"/>
  <c r="AE30" i="2"/>
  <c r="AD30" i="2"/>
  <c r="AC30" i="2"/>
  <c r="H30" i="2"/>
  <c r="DH29" i="2"/>
  <c r="DG29" i="2"/>
  <c r="DF29" i="2"/>
  <c r="DE29" i="2"/>
  <c r="DD29" i="2"/>
  <c r="DC29" i="2"/>
  <c r="DB29" i="2"/>
  <c r="DA29" i="2"/>
  <c r="CZ29" i="2"/>
  <c r="CY29" i="2"/>
  <c r="CX29" i="2"/>
  <c r="CW29" i="2"/>
  <c r="CV29" i="2"/>
  <c r="CU29" i="2"/>
  <c r="CT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AZ29" i="2"/>
  <c r="AY29" i="2"/>
  <c r="AX29" i="2"/>
  <c r="AW29" i="2"/>
  <c r="AV29" i="2"/>
  <c r="AU29" i="2"/>
  <c r="AT29" i="2"/>
  <c r="AS29" i="2"/>
  <c r="AR29" i="2"/>
  <c r="AQ29" i="2"/>
  <c r="AP29" i="2"/>
  <c r="AO29" i="2"/>
  <c r="AN29" i="2"/>
  <c r="AM29" i="2"/>
  <c r="AL29" i="2"/>
  <c r="AK29" i="2"/>
  <c r="AJ29" i="2"/>
  <c r="AI29" i="2"/>
  <c r="AH29" i="2"/>
  <c r="AG29" i="2"/>
  <c r="AF29" i="2"/>
  <c r="AE29" i="2"/>
  <c r="AD29" i="2"/>
  <c r="AC29" i="2"/>
  <c r="H29" i="2"/>
  <c r="DM28" i="2"/>
  <c r="DL28" i="2"/>
  <c r="DK28" i="2"/>
  <c r="DI28" i="2"/>
  <c r="CI28" i="2"/>
  <c r="CH28" i="2"/>
  <c r="CG28" i="2"/>
  <c r="CF28" i="2"/>
  <c r="CE28" i="2"/>
  <c r="BE28" i="2"/>
  <c r="BD28" i="2"/>
  <c r="BC28" i="2"/>
  <c r="BB28" i="2"/>
  <c r="BA28" i="2"/>
  <c r="AB28" i="2"/>
  <c r="AB30" i="2" s="1"/>
  <c r="DM27" i="2"/>
  <c r="DL27" i="2"/>
  <c r="DK27" i="2"/>
  <c r="DI27" i="2"/>
  <c r="CI27" i="2"/>
  <c r="CH27" i="2"/>
  <c r="CG27" i="2"/>
  <c r="CF27" i="2"/>
  <c r="CE27" i="2"/>
  <c r="BE27" i="2"/>
  <c r="BD27" i="2"/>
  <c r="BC27" i="2"/>
  <c r="BB27" i="2"/>
  <c r="BA27" i="2"/>
  <c r="AB27" i="2"/>
  <c r="DM26" i="2"/>
  <c r="DL26" i="2"/>
  <c r="DK26" i="2"/>
  <c r="DI26" i="2"/>
  <c r="CI26" i="2"/>
  <c r="CH26" i="2"/>
  <c r="CG26" i="2"/>
  <c r="CF26" i="2"/>
  <c r="CE26" i="2"/>
  <c r="BE26" i="2"/>
  <c r="BD26" i="2"/>
  <c r="BC26" i="2"/>
  <c r="BB26" i="2"/>
  <c r="BA26" i="2"/>
  <c r="AB26" i="2"/>
  <c r="DM25" i="2"/>
  <c r="DL25" i="2"/>
  <c r="DK25" i="2"/>
  <c r="DI25" i="2"/>
  <c r="CI25" i="2"/>
  <c r="CH25" i="2"/>
  <c r="CG25" i="2"/>
  <c r="CF25" i="2"/>
  <c r="CF30" i="2" s="1"/>
  <c r="CE25" i="2"/>
  <c r="BE25" i="2"/>
  <c r="BC25" i="2"/>
  <c r="AK25" i="2"/>
  <c r="AK30" i="2" s="1"/>
  <c r="DM24" i="2"/>
  <c r="DL24" i="2"/>
  <c r="DK24" i="2"/>
  <c r="DJ29" i="2"/>
  <c r="DI24" i="2"/>
  <c r="CI24" i="2"/>
  <c r="CH24" i="2"/>
  <c r="CG24" i="2"/>
  <c r="CF24" i="2"/>
  <c r="CE24" i="2"/>
  <c r="BD24" i="2"/>
  <c r="BC24" i="2"/>
  <c r="BB24" i="2"/>
  <c r="BA24" i="2"/>
  <c r="AB24" i="2"/>
  <c r="EL23" i="2"/>
  <c r="EK23" i="2"/>
  <c r="EJ23" i="2"/>
  <c r="EH23" i="2"/>
  <c r="EG23" i="2"/>
  <c r="EF23" i="2"/>
  <c r="EE23" i="2"/>
  <c r="ED23" i="2"/>
  <c r="EC23" i="2"/>
  <c r="EB23" i="2"/>
  <c r="EA23" i="2"/>
  <c r="DZ23" i="2"/>
  <c r="DY23" i="2"/>
  <c r="DN23" i="2"/>
  <c r="DH23" i="2"/>
  <c r="DG23" i="2"/>
  <c r="DF23" i="2"/>
  <c r="DE23" i="2"/>
  <c r="DC23" i="2"/>
  <c r="DB23" i="2"/>
  <c r="DA23" i="2"/>
  <c r="CZ23" i="2"/>
  <c r="CY23" i="2"/>
  <c r="CX23" i="2"/>
  <c r="CW23" i="2"/>
  <c r="CV23" i="2"/>
  <c r="CU23" i="2"/>
  <c r="CT23" i="2"/>
  <c r="CS23" i="2"/>
  <c r="CR23" i="2"/>
  <c r="CQ23" i="2"/>
  <c r="CP23" i="2"/>
  <c r="CO23" i="2"/>
  <c r="CN23" i="2"/>
  <c r="CM23" i="2"/>
  <c r="CL23" i="2"/>
  <c r="CK23" i="2"/>
  <c r="CJ23" i="2"/>
  <c r="CD23" i="2"/>
  <c r="CC23" i="2"/>
  <c r="CB23" i="2"/>
  <c r="CA23" i="2"/>
  <c r="BZ23" i="2"/>
  <c r="BY23" i="2"/>
  <c r="BX23" i="2"/>
  <c r="BW23" i="2"/>
  <c r="BV23" i="2"/>
  <c r="BU23" i="2"/>
  <c r="BT23" i="2"/>
  <c r="BS23" i="2"/>
  <c r="BR23" i="2"/>
  <c r="BQ23" i="2"/>
  <c r="BP23" i="2"/>
  <c r="BO23" i="2"/>
  <c r="BN23" i="2"/>
  <c r="BM23" i="2"/>
  <c r="BL23" i="2"/>
  <c r="BK23" i="2"/>
  <c r="BJ23" i="2"/>
  <c r="BI23" i="2"/>
  <c r="BH23" i="2"/>
  <c r="BG23" i="2"/>
  <c r="AZ23" i="2"/>
  <c r="AY23" i="2"/>
  <c r="AX23" i="2"/>
  <c r="AW23" i="2"/>
  <c r="AV23" i="2"/>
  <c r="AU23" i="2"/>
  <c r="AT23" i="2"/>
  <c r="AS23" i="2"/>
  <c r="AR23" i="2"/>
  <c r="AQ23" i="2"/>
  <c r="AP23" i="2"/>
  <c r="AO23" i="2"/>
  <c r="AN23" i="2"/>
  <c r="AM23" i="2"/>
  <c r="AL23" i="2"/>
  <c r="AJ23" i="2"/>
  <c r="AI23" i="2"/>
  <c r="AH23" i="2"/>
  <c r="AG23" i="2"/>
  <c r="AF23" i="2"/>
  <c r="AE23" i="2"/>
  <c r="AD23" i="2"/>
  <c r="AC23" i="2"/>
  <c r="AA23" i="2"/>
  <c r="Z23" i="2"/>
  <c r="Y23" i="2"/>
  <c r="X23" i="2"/>
  <c r="W23" i="2"/>
  <c r="V23" i="2"/>
  <c r="U23" i="2"/>
  <c r="T23" i="2"/>
  <c r="S23" i="2"/>
  <c r="R23" i="2"/>
  <c r="Q23" i="2"/>
  <c r="P23" i="2"/>
  <c r="O23" i="2"/>
  <c r="N23" i="2"/>
  <c r="M23" i="2"/>
  <c r="L23" i="2"/>
  <c r="K23" i="2"/>
  <c r="J23" i="2"/>
  <c r="I23" i="2"/>
  <c r="H23" i="2"/>
  <c r="DN22" i="2"/>
  <c r="DF22" i="2"/>
  <c r="DE22" i="2"/>
  <c r="DD22" i="2"/>
  <c r="DC22" i="2"/>
  <c r="DB22" i="2"/>
  <c r="DA22" i="2"/>
  <c r="CZ22" i="2"/>
  <c r="CY22" i="2"/>
  <c r="CX22" i="2"/>
  <c r="CW22" i="2"/>
  <c r="CV22" i="2"/>
  <c r="CU22" i="2"/>
  <c r="CT22" i="2"/>
  <c r="CS22" i="2"/>
  <c r="CR22" i="2"/>
  <c r="CQ22" i="2"/>
  <c r="CP22" i="2"/>
  <c r="CO22" i="2"/>
  <c r="CN22" i="2"/>
  <c r="CM22" i="2"/>
  <c r="CL22" i="2"/>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AZ22" i="2"/>
  <c r="AY22" i="2"/>
  <c r="AX22" i="2"/>
  <c r="AW22" i="2"/>
  <c r="AV22" i="2"/>
  <c r="AU22" i="2"/>
  <c r="AT22" i="2"/>
  <c r="AS22" i="2"/>
  <c r="AR22" i="2"/>
  <c r="AQ22" i="2"/>
  <c r="AP22" i="2"/>
  <c r="AO22" i="2"/>
  <c r="AN22" i="2"/>
  <c r="AM22" i="2"/>
  <c r="AL22" i="2"/>
  <c r="AK22" i="2"/>
  <c r="AJ22" i="2"/>
  <c r="AI22" i="2"/>
  <c r="AH22" i="2"/>
  <c r="AG22" i="2"/>
  <c r="AF22" i="2"/>
  <c r="AE22" i="2"/>
  <c r="AD22" i="2"/>
  <c r="AC22" i="2"/>
  <c r="H22" i="2"/>
  <c r="DM21" i="2"/>
  <c r="DL21" i="2"/>
  <c r="DK21" i="2"/>
  <c r="DI21" i="2"/>
  <c r="CI21" i="2"/>
  <c r="CH21" i="2"/>
  <c r="CG21" i="2"/>
  <c r="CF21" i="2"/>
  <c r="CE21" i="2"/>
  <c r="BF21" i="2"/>
  <c r="BF46" i="2" s="1"/>
  <c r="BE21" i="2"/>
  <c r="BD21" i="2"/>
  <c r="BC21" i="2"/>
  <c r="BB21" i="2"/>
  <c r="BA21" i="2"/>
  <c r="AB21" i="2"/>
  <c r="AB23" i="2" s="1"/>
  <c r="DM20" i="2"/>
  <c r="DL20" i="2"/>
  <c r="DK20" i="2"/>
  <c r="DJ22" i="2"/>
  <c r="DI20" i="2"/>
  <c r="CI20" i="2"/>
  <c r="CH20" i="2"/>
  <c r="CG20" i="2"/>
  <c r="CF20" i="2"/>
  <c r="CE20" i="2"/>
  <c r="BE20" i="2"/>
  <c r="BD20" i="2"/>
  <c r="BC20" i="2"/>
  <c r="BB20" i="2"/>
  <c r="BA20" i="2"/>
  <c r="AB20" i="2"/>
  <c r="DM19" i="2"/>
  <c r="DI19" i="2"/>
  <c r="CI19" i="2"/>
  <c r="CH19" i="2"/>
  <c r="CG19" i="2"/>
  <c r="CF19" i="2"/>
  <c r="CE19" i="2"/>
  <c r="BE19" i="2"/>
  <c r="BD19" i="2"/>
  <c r="BC19" i="2"/>
  <c r="BB19" i="2"/>
  <c r="BA19" i="2"/>
  <c r="AB19" i="2"/>
  <c r="DM18" i="2"/>
  <c r="DL18" i="2"/>
  <c r="DJ23" i="2"/>
  <c r="CI18" i="2"/>
  <c r="CH18" i="2"/>
  <c r="CG18" i="2"/>
  <c r="CF18" i="2"/>
  <c r="CE18" i="2"/>
  <c r="BE18" i="2"/>
  <c r="BC18" i="2"/>
  <c r="AK18" i="2"/>
  <c r="AK23" i="2" s="1"/>
  <c r="DM17" i="2"/>
  <c r="DL17" i="2"/>
  <c r="DK17" i="2"/>
  <c r="DI17" i="2"/>
  <c r="CI17" i="2"/>
  <c r="CH17" i="2"/>
  <c r="CG17" i="2"/>
  <c r="CF17" i="2"/>
  <c r="CE17" i="2"/>
  <c r="BE17" i="2"/>
  <c r="BD17" i="2"/>
  <c r="BC17" i="2"/>
  <c r="BB17" i="2"/>
  <c r="BA17" i="2"/>
  <c r="AB17" i="2"/>
  <c r="DH16" i="2"/>
  <c r="DG16" i="2"/>
  <c r="DF16" i="2"/>
  <c r="DE16" i="2"/>
  <c r="DD16" i="2"/>
  <c r="DC16" i="2"/>
  <c r="DB16" i="2"/>
  <c r="DA16" i="2"/>
  <c r="CZ16" i="2"/>
  <c r="CY16" i="2"/>
  <c r="CX16" i="2"/>
  <c r="CW16" i="2"/>
  <c r="CV16" i="2"/>
  <c r="CU16" i="2"/>
  <c r="CT16" i="2"/>
  <c r="CS16" i="2"/>
  <c r="CR16" i="2"/>
  <c r="CQ16" i="2"/>
  <c r="CP16" i="2"/>
  <c r="CO16" i="2"/>
  <c r="CN16" i="2"/>
  <c r="CM16" i="2"/>
  <c r="CL16" i="2"/>
  <c r="CK16" i="2"/>
  <c r="CJ16" i="2"/>
  <c r="CD16" i="2"/>
  <c r="CC16" i="2"/>
  <c r="CB16" i="2"/>
  <c r="CA16" i="2"/>
  <c r="BZ16" i="2"/>
  <c r="BY16" i="2"/>
  <c r="BX16" i="2"/>
  <c r="BW16" i="2"/>
  <c r="BV16" i="2"/>
  <c r="BU16" i="2"/>
  <c r="BT16" i="2"/>
  <c r="BS16" i="2"/>
  <c r="BR16" i="2"/>
  <c r="BQ16" i="2"/>
  <c r="BP16" i="2"/>
  <c r="BN16" i="2"/>
  <c r="BM16" i="2"/>
  <c r="BL16" i="2"/>
  <c r="BK16" i="2"/>
  <c r="BJ16" i="2"/>
  <c r="BI16" i="2"/>
  <c r="BH16" i="2"/>
  <c r="BG16" i="2"/>
  <c r="BF16" i="2"/>
  <c r="AZ16" i="2"/>
  <c r="AY16" i="2"/>
  <c r="AX16" i="2"/>
  <c r="AW16" i="2"/>
  <c r="AV16" i="2"/>
  <c r="AU16" i="2"/>
  <c r="AT16" i="2"/>
  <c r="AS16" i="2"/>
  <c r="AR16" i="2"/>
  <c r="AQ16" i="2"/>
  <c r="AP16" i="2"/>
  <c r="AO16" i="2"/>
  <c r="AN16" i="2"/>
  <c r="AM16" i="2"/>
  <c r="AL16" i="2"/>
  <c r="AJ16" i="2"/>
  <c r="AI16" i="2"/>
  <c r="AH16" i="2"/>
  <c r="AG16" i="2"/>
  <c r="AF16" i="2"/>
  <c r="AE16" i="2"/>
  <c r="AD16" i="2"/>
  <c r="AC16" i="2"/>
  <c r="AA16" i="2"/>
  <c r="Z16" i="2"/>
  <c r="Y16" i="2"/>
  <c r="X16" i="2"/>
  <c r="W16" i="2"/>
  <c r="V16" i="2"/>
  <c r="U16" i="2"/>
  <c r="T16" i="2"/>
  <c r="S16" i="2"/>
  <c r="R16" i="2"/>
  <c r="Q16" i="2"/>
  <c r="P16" i="2"/>
  <c r="O16" i="2"/>
  <c r="N16" i="2"/>
  <c r="M16" i="2"/>
  <c r="L16" i="2"/>
  <c r="K16" i="2"/>
  <c r="J16" i="2"/>
  <c r="I16" i="2"/>
  <c r="H16" i="2"/>
  <c r="DG15" i="2"/>
  <c r="DF15" i="2"/>
  <c r="DE15" i="2"/>
  <c r="DD15" i="2"/>
  <c r="DC15" i="2"/>
  <c r="DB15" i="2"/>
  <c r="DA15" i="2"/>
  <c r="CZ15" i="2"/>
  <c r="CY15" i="2"/>
  <c r="CX15" i="2"/>
  <c r="CW15" i="2"/>
  <c r="CV15" i="2"/>
  <c r="CU15" i="2"/>
  <c r="CT15" i="2"/>
  <c r="CS15" i="2"/>
  <c r="CR15" i="2"/>
  <c r="CQ15" i="2"/>
  <c r="CP15" i="2"/>
  <c r="CO15" i="2"/>
  <c r="CN15" i="2"/>
  <c r="CM15" i="2"/>
  <c r="CL15" i="2"/>
  <c r="CK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AZ15" i="2"/>
  <c r="AY15" i="2"/>
  <c r="AX15" i="2"/>
  <c r="AW15" i="2"/>
  <c r="AV15" i="2"/>
  <c r="AU15" i="2"/>
  <c r="AT15" i="2"/>
  <c r="AS15" i="2"/>
  <c r="AR15" i="2"/>
  <c r="AQ15" i="2"/>
  <c r="AP15" i="2"/>
  <c r="AO15" i="2"/>
  <c r="AN15" i="2"/>
  <c r="AM15" i="2"/>
  <c r="AL15" i="2"/>
  <c r="AK15" i="2"/>
  <c r="AJ15" i="2"/>
  <c r="AI15" i="2"/>
  <c r="AH15" i="2"/>
  <c r="AG15" i="2"/>
  <c r="AF15" i="2"/>
  <c r="AE15" i="2"/>
  <c r="AD15" i="2"/>
  <c r="AC15" i="2"/>
  <c r="H15" i="2"/>
  <c r="DM14" i="2"/>
  <c r="DL14" i="2"/>
  <c r="DK14" i="2"/>
  <c r="CI14" i="2"/>
  <c r="CG14" i="2"/>
  <c r="BO14" i="2"/>
  <c r="BO46" i="2" s="1"/>
  <c r="BE14" i="2"/>
  <c r="BD14" i="2"/>
  <c r="BC14" i="2"/>
  <c r="BB14" i="2"/>
  <c r="BA14" i="2"/>
  <c r="AB14" i="2"/>
  <c r="DM13" i="2"/>
  <c r="DL13" i="2"/>
  <c r="DK13" i="2"/>
  <c r="DI13" i="2"/>
  <c r="CI13" i="2"/>
  <c r="CH13" i="2"/>
  <c r="CG13" i="2"/>
  <c r="CF13" i="2"/>
  <c r="BE13" i="2"/>
  <c r="BD13" i="2"/>
  <c r="BC13" i="2"/>
  <c r="BB13" i="2"/>
  <c r="BA13" i="2"/>
  <c r="AB13" i="2"/>
  <c r="DM12" i="2"/>
  <c r="DL12" i="2"/>
  <c r="DK12" i="2"/>
  <c r="DI12" i="2"/>
  <c r="CI12" i="2"/>
  <c r="CH12" i="2"/>
  <c r="CG12" i="2"/>
  <c r="CF12" i="2"/>
  <c r="CE12" i="2"/>
  <c r="BD12" i="2"/>
  <c r="BB12" i="2"/>
  <c r="BA12" i="2"/>
  <c r="AN12" i="2"/>
  <c r="AN49" i="2" s="1"/>
  <c r="AB12" i="2"/>
  <c r="DM11" i="2"/>
  <c r="DL11" i="2"/>
  <c r="DK11" i="2"/>
  <c r="DK16" i="2" s="1"/>
  <c r="CI11" i="2"/>
  <c r="CH11" i="2"/>
  <c r="CG11" i="2"/>
  <c r="CF11" i="2"/>
  <c r="CE11" i="2"/>
  <c r="BE11" i="2"/>
  <c r="BC11" i="2"/>
  <c r="AK11" i="2"/>
  <c r="DM10" i="2"/>
  <c r="DL10" i="2"/>
  <c r="DI10" i="2"/>
  <c r="CI10" i="2"/>
  <c r="CH10" i="2"/>
  <c r="CG10" i="2"/>
  <c r="CF10" i="2"/>
  <c r="CE10" i="2"/>
  <c r="BE10" i="2"/>
  <c r="BD10" i="2"/>
  <c r="BC10" i="2"/>
  <c r="BB10" i="2"/>
  <c r="BA10" i="2"/>
  <c r="AB10" i="2"/>
  <c r="DO13" i="1"/>
  <c r="DN13" i="1"/>
  <c r="DM13" i="1"/>
  <c r="DK13" i="1"/>
  <c r="CK13" i="1"/>
  <c r="CJ13" i="1"/>
  <c r="CI13" i="1"/>
  <c r="CH13" i="1"/>
  <c r="CG13" i="1"/>
  <c r="BH13" i="1"/>
  <c r="BG13" i="1"/>
  <c r="BF13" i="1"/>
  <c r="BE13" i="1"/>
  <c r="BD13" i="1"/>
  <c r="BC13" i="1"/>
  <c r="AD13" i="1"/>
  <c r="CF23" i="2" l="1"/>
  <c r="CI30" i="2"/>
  <c r="BC43" i="2"/>
  <c r="K47" i="2"/>
  <c r="AI47" i="2"/>
  <c r="CR47" i="2"/>
  <c r="CG23" i="2"/>
  <c r="AJ47" i="2"/>
  <c r="CH23" i="2"/>
  <c r="M47" i="2"/>
  <c r="CH30" i="2"/>
  <c r="BB43" i="2"/>
  <c r="AV36" i="2"/>
  <c r="G28" i="2"/>
  <c r="G41" i="2"/>
  <c r="BC23" i="2"/>
  <c r="BE29" i="2"/>
  <c r="BE37" i="2"/>
  <c r="G32" i="2"/>
  <c r="BD43" i="2"/>
  <c r="G44" i="2"/>
  <c r="G38" i="2"/>
  <c r="G24" i="2"/>
  <c r="G25" i="2"/>
  <c r="G35" i="2"/>
  <c r="CF44" i="2"/>
  <c r="AB43" i="2"/>
  <c r="AE47" i="2"/>
  <c r="CE23" i="2"/>
  <c r="CG43" i="2"/>
  <c r="BB44" i="2"/>
  <c r="CI44" i="2"/>
  <c r="BC34" i="2"/>
  <c r="O47" i="2"/>
  <c r="W47" i="2"/>
  <c r="BS47" i="2"/>
  <c r="CA47" i="2"/>
  <c r="CN47" i="2"/>
  <c r="CV47" i="2"/>
  <c r="DE47" i="2"/>
  <c r="AB31" i="2"/>
  <c r="BC32" i="2"/>
  <c r="AF47" i="2"/>
  <c r="DM37" i="2"/>
  <c r="BC31" i="2"/>
  <c r="BE31" i="2"/>
  <c r="DM36" i="2"/>
  <c r="AP36" i="2"/>
  <c r="DO15" i="1"/>
  <c r="DJ15" i="2"/>
  <c r="CI37" i="2"/>
  <c r="CG16" i="2"/>
  <c r="CI23" i="2"/>
  <c r="CH29" i="2"/>
  <c r="BF43" i="2"/>
  <c r="DL44" i="2"/>
  <c r="DI44" i="2"/>
  <c r="BC36" i="2"/>
  <c r="CF37" i="2"/>
  <c r="BD25" i="2"/>
  <c r="BD30" i="2" s="1"/>
  <c r="BE22" i="2"/>
  <c r="BE23" i="2"/>
  <c r="J47" i="2"/>
  <c r="V47" i="2"/>
  <c r="AW47" i="2"/>
  <c r="BN47" i="2"/>
  <c r="BZ47" i="2"/>
  <c r="CQ47" i="2"/>
  <c r="AT47" i="2"/>
  <c r="AU47" i="2"/>
  <c r="BL47" i="2"/>
  <c r="I47" i="2"/>
  <c r="U47" i="2"/>
  <c r="BM47" i="2"/>
  <c r="BY47" i="2"/>
  <c r="CP47" i="2"/>
  <c r="DC47" i="2"/>
  <c r="AX47" i="2"/>
  <c r="BF15" i="2"/>
  <c r="CH37" i="2"/>
  <c r="CF22" i="2"/>
  <c r="CH22" i="2"/>
  <c r="BB22" i="2"/>
  <c r="BA25" i="2"/>
  <c r="BA43" i="2"/>
  <c r="BB15" i="2"/>
  <c r="DI43" i="2"/>
  <c r="AB22" i="2"/>
  <c r="DL43" i="2"/>
  <c r="AK45" i="2"/>
  <c r="AK47" i="2" s="1"/>
  <c r="BC22" i="2"/>
  <c r="CF29" i="2"/>
  <c r="BB25" i="2"/>
  <c r="BB30" i="2" s="1"/>
  <c r="AB36" i="2"/>
  <c r="BC37" i="2"/>
  <c r="CI22" i="2"/>
  <c r="BD22" i="2"/>
  <c r="CG29" i="2"/>
  <c r="BC30" i="2"/>
  <c r="DI36" i="2"/>
  <c r="DL36" i="2"/>
  <c r="BG47" i="2"/>
  <c r="P47" i="2"/>
  <c r="BT47" i="2"/>
  <c r="CW47" i="2"/>
  <c r="CF34" i="2"/>
  <c r="CF36" i="2" s="1"/>
  <c r="CI46" i="2"/>
  <c r="CH34" i="2"/>
  <c r="CH36" i="2" s="1"/>
  <c r="CG37" i="2"/>
  <c r="L47" i="2"/>
  <c r="X47" i="2"/>
  <c r="CB47" i="2"/>
  <c r="CS47" i="2"/>
  <c r="DF47" i="2"/>
  <c r="BB29" i="2"/>
  <c r="CE30" i="2"/>
  <c r="BD29" i="2"/>
  <c r="R47" i="2"/>
  <c r="AS47" i="2"/>
  <c r="BJ47" i="2"/>
  <c r="BV47" i="2"/>
  <c r="CM47" i="2"/>
  <c r="DL29" i="2"/>
  <c r="CG46" i="2"/>
  <c r="BA29" i="2"/>
  <c r="AB46" i="2"/>
  <c r="AB47" i="2" s="1"/>
  <c r="AB29" i="2"/>
  <c r="CG30" i="2"/>
  <c r="DI29" i="2"/>
  <c r="CE45" i="2"/>
  <c r="DI22" i="2"/>
  <c r="Y47" i="2"/>
  <c r="AL47" i="2"/>
  <c r="BQ47" i="2"/>
  <c r="CC47" i="2"/>
  <c r="CT47" i="2"/>
  <c r="CG22" i="2"/>
  <c r="DL23" i="2"/>
  <c r="BA46" i="2"/>
  <c r="BB46" i="2"/>
  <c r="AV47" i="2"/>
  <c r="BC46" i="2"/>
  <c r="BC45" i="2"/>
  <c r="BD46" i="2"/>
  <c r="BE45" i="2"/>
  <c r="CE22" i="2"/>
  <c r="G17" i="2"/>
  <c r="BA22" i="2"/>
  <c r="CF45" i="2"/>
  <c r="CG45" i="2"/>
  <c r="E43" i="5" s="1"/>
  <c r="H43" i="5" s="1"/>
  <c r="AP47" i="2"/>
  <c r="AQ47" i="2"/>
  <c r="CI45" i="2"/>
  <c r="BA18" i="2"/>
  <c r="BA23" i="2" s="1"/>
  <c r="Q47" i="2"/>
  <c r="AR47" i="2"/>
  <c r="BI47" i="2"/>
  <c r="BU47" i="2"/>
  <c r="CL47" i="2"/>
  <c r="CX47" i="2"/>
  <c r="BC15" i="2"/>
  <c r="BD15" i="2"/>
  <c r="AB16" i="2"/>
  <c r="BE15" i="2"/>
  <c r="BB11" i="2"/>
  <c r="BB16" i="2" s="1"/>
  <c r="BA15" i="2"/>
  <c r="CE15" i="2"/>
  <c r="CF15" i="2"/>
  <c r="BD11" i="2"/>
  <c r="BD16" i="2" s="1"/>
  <c r="DI15" i="2"/>
  <c r="CG15" i="2"/>
  <c r="CH15" i="2"/>
  <c r="CI15" i="2"/>
  <c r="AY47" i="2"/>
  <c r="AB15" i="2"/>
  <c r="AZ47" i="2"/>
  <c r="AK16" i="2"/>
  <c r="N47" i="2"/>
  <c r="Z47" i="2"/>
  <c r="AM47" i="2"/>
  <c r="BR47" i="2"/>
  <c r="CD47" i="2"/>
  <c r="CU47" i="2"/>
  <c r="DH47" i="2"/>
  <c r="DL15" i="2"/>
  <c r="DL45" i="2"/>
  <c r="DK36" i="2"/>
  <c r="DK30" i="2"/>
  <c r="DD47" i="2"/>
  <c r="DM45" i="2"/>
  <c r="DM44" i="2"/>
  <c r="DK37" i="2"/>
  <c r="DK45" i="2"/>
  <c r="DK46" i="2"/>
  <c r="DK29" i="2"/>
  <c r="DK22" i="2"/>
  <c r="DK23" i="2"/>
  <c r="DG47" i="2"/>
  <c r="DA47" i="2"/>
  <c r="DB47" i="2"/>
  <c r="AK37" i="2"/>
  <c r="BA37" i="2" s="1"/>
  <c r="BD32" i="2"/>
  <c r="BB32" i="2"/>
  <c r="BB37" i="2" s="1"/>
  <c r="BA32" i="2"/>
  <c r="BO47" i="2"/>
  <c r="CH45" i="2"/>
  <c r="DM16" i="2"/>
  <c r="CE14" i="2"/>
  <c r="CE46" i="2" s="1"/>
  <c r="DK15" i="2"/>
  <c r="BB18" i="2"/>
  <c r="BB23" i="2" s="1"/>
  <c r="G20" i="2"/>
  <c r="DM22" i="2"/>
  <c r="CI29" i="2"/>
  <c r="DJ30" i="2"/>
  <c r="BF29" i="2"/>
  <c r="CE29" i="2"/>
  <c r="DI30" i="2"/>
  <c r="CE37" i="2"/>
  <c r="CF43" i="2"/>
  <c r="DM43" i="2"/>
  <c r="BE44" i="2"/>
  <c r="DK44" i="2"/>
  <c r="CE43" i="2"/>
  <c r="CI43" i="2"/>
  <c r="BA44" i="2"/>
  <c r="AO45" i="2"/>
  <c r="AO47" i="2" s="1"/>
  <c r="BH47" i="2"/>
  <c r="BP47" i="2"/>
  <c r="BX47" i="2"/>
  <c r="DL22" i="2"/>
  <c r="G10" i="2"/>
  <c r="BA11" i="2"/>
  <c r="BC12" i="2"/>
  <c r="CF14" i="2"/>
  <c r="CF46" i="2" s="1"/>
  <c r="DM46" i="2"/>
  <c r="BC16" i="2"/>
  <c r="CI16" i="2"/>
  <c r="BE30" i="2"/>
  <c r="BB31" i="2"/>
  <c r="BB36" i="2" s="1"/>
  <c r="CK47" i="2"/>
  <c r="DI45" i="2"/>
  <c r="DM15" i="2"/>
  <c r="BD18" i="2"/>
  <c r="BD23" i="2" s="1"/>
  <c r="DI23" i="2"/>
  <c r="BC29" i="2"/>
  <c r="DL30" i="2"/>
  <c r="CE44" i="2"/>
  <c r="BE12" i="2"/>
  <c r="CH14" i="2"/>
  <c r="CH46" i="2" s="1"/>
  <c r="BE16" i="2"/>
  <c r="BF23" i="2"/>
  <c r="DM30" i="2"/>
  <c r="G27" i="2"/>
  <c r="BA30" i="2"/>
  <c r="CY46" i="2"/>
  <c r="CY47" i="2" s="1"/>
  <c r="DL35" i="2"/>
  <c r="DL37" i="2" s="1"/>
  <c r="DJ46" i="2"/>
  <c r="DJ47" i="2" s="1"/>
  <c r="CY37" i="2"/>
  <c r="DI37" i="2" s="1"/>
  <c r="DI35" i="2"/>
  <c r="G13" i="2"/>
  <c r="CG34" i="2"/>
  <c r="CI34" i="2"/>
  <c r="G34" i="2" s="1"/>
  <c r="AM36" i="2"/>
  <c r="BA36" i="2" s="1"/>
  <c r="BO16" i="2"/>
  <c r="BF22" i="2"/>
  <c r="DM29" i="2"/>
  <c r="BE46" i="2"/>
  <c r="DL16" i="2"/>
  <c r="DM23" i="2"/>
  <c r="BD31" i="2"/>
  <c r="DK43" i="2"/>
  <c r="BF47" i="2"/>
  <c r="BA31" i="2"/>
  <c r="AN37" i="2"/>
  <c r="BE43" i="2"/>
  <c r="AN45" i="2"/>
  <c r="AN47" i="2" s="1"/>
  <c r="BG36" i="2"/>
  <c r="G43" i="2" l="1"/>
  <c r="EP34" i="2"/>
  <c r="EM34" i="2"/>
  <c r="DO36" i="2"/>
  <c r="G45" i="2"/>
  <c r="G31" i="2"/>
  <c r="G36" i="2" s="1"/>
  <c r="BE36" i="2"/>
  <c r="H58" i="5"/>
  <c r="E59" i="5"/>
  <c r="H59" i="5" s="1"/>
  <c r="CI47" i="2"/>
  <c r="CE47" i="2"/>
  <c r="BD45" i="2"/>
  <c r="BD47" i="2" s="1"/>
  <c r="BE47" i="2"/>
  <c r="CF47" i="2"/>
  <c r="DI46" i="2"/>
  <c r="DI47" i="2" s="1"/>
  <c r="E44" i="5"/>
  <c r="H44" i="5" s="1"/>
  <c r="CG47" i="2"/>
  <c r="G30" i="2"/>
  <c r="G29" i="2"/>
  <c r="BC47" i="2"/>
  <c r="H56" i="5"/>
  <c r="H57" i="5"/>
  <c r="BB45" i="2"/>
  <c r="BB47" i="2" s="1"/>
  <c r="CE16" i="2"/>
  <c r="CF16" i="2"/>
  <c r="DK47" i="2"/>
  <c r="BD37" i="2"/>
  <c r="CE36" i="2"/>
  <c r="BF36" i="2"/>
  <c r="BD36" i="2"/>
  <c r="DJ37" i="2"/>
  <c r="DM47" i="2"/>
  <c r="H55" i="5"/>
  <c r="DL46" i="2"/>
  <c r="CH47" i="2"/>
  <c r="BA45" i="2"/>
  <c r="BA47" i="2" s="1"/>
  <c r="BA16" i="2"/>
  <c r="CH16" i="2"/>
  <c r="EM36" i="2" l="1"/>
  <c r="EP36" i="2"/>
  <c r="G46" i="2"/>
  <c r="G47" i="2" s="1"/>
  <c r="G37" i="2"/>
  <c r="DL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theme="1"/>
            <rFont val="Calibri"/>
            <family val="2"/>
            <scheme val="minor"/>
          </rPr>
          <t>======
ID#AAAA6vXSyFI
YULIED.PENARANDA    (2022-02-07 20:51:54)
Se debe escribir el nombre completo de la oficina, dirección o subdirección que gerencia el proyecto de inversión.</t>
        </r>
      </text>
    </comment>
    <comment ref="A6" authorId="0" shapeId="0" xr:uid="{00000000-0006-0000-0000-000002000000}">
      <text>
        <r>
          <rPr>
            <sz val="11"/>
            <color theme="1"/>
            <rFont val="Calibri"/>
            <family val="2"/>
            <scheme val="minor"/>
          </rPr>
          <t>======
ID#AAAA6vXSyEw
YULIED.PENARANDA    (2022-02-07 20:51:54)
Se debe escribir el número y nombre completo del proyecto de inversión.</t>
        </r>
      </text>
    </comment>
    <comment ref="A8" authorId="0" shapeId="0" xr:uid="{00000000-0006-0000-0000-000003000000}">
      <text>
        <r>
          <rPr>
            <sz val="11"/>
            <color theme="1"/>
            <rFont val="Calibri"/>
            <family val="2"/>
            <scheme val="minor"/>
          </rPr>
          <t>======
ID#AAAA6vXSyJA
YULIED.PENARANDA    (2022-02-07 20:51:54)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t>
        </r>
      </text>
    </comment>
    <comment ref="EY10" authorId="0" shapeId="0" xr:uid="{00000000-0006-0000-0000-000004000000}">
      <text>
        <r>
          <rPr>
            <sz val="11"/>
            <color theme="1"/>
            <rFont val="Calibri"/>
            <family val="2"/>
            <scheme val="minor"/>
          </rPr>
          <t>======
ID#AAAA6vXSyNA
YULIED.PENARANDA    (2023-09-27 16:07:09)
Logros más representativos en función de la meta, de forma acumulada.(lenguaje claro y preciso)
Máximo de caracteres 2.000 incluidos espacios.</t>
        </r>
      </text>
    </comment>
    <comment ref="EZ10" authorId="0" shapeId="0" xr:uid="{00000000-0006-0000-0000-000005000000}">
      <text>
        <r>
          <rPr>
            <sz val="11"/>
            <color theme="1"/>
            <rFont val="Calibri"/>
            <family val="2"/>
            <scheme val="minor"/>
          </rPr>
          <t>======
ID#AAAA6vXSyHw
YULIED.PENARANDA    (2023-09-27 16:07:09)
Inconvenientes y/o dificultades que se han presentado para el cumplimiento de la Meta. 
Máximo de caracteres 500 incluidos espacios.</t>
        </r>
      </text>
    </comment>
    <comment ref="FA10" authorId="0" shapeId="0" xr:uid="{00000000-0006-0000-0000-000006000000}">
      <text>
        <r>
          <rPr>
            <sz val="11"/>
            <color theme="1"/>
            <rFont val="Calibri"/>
            <family val="2"/>
            <scheme val="minor"/>
          </rPr>
          <t>======
ID#AAAA6vXSyG0
YULIED.PENARANDA    (2023-09-27 16:07:09)
Medidas a tomar para solucionar los retrasos presentados. 
Máximo de caracteres 500 incluidos espacios.</t>
        </r>
      </text>
    </comment>
    <comment ref="FB10" authorId="0" shapeId="0" xr:uid="{00000000-0006-0000-0000-000007000000}">
      <text>
        <r>
          <rPr>
            <sz val="11"/>
            <color theme="1"/>
            <rFont val="Calibri"/>
            <family val="2"/>
            <scheme val="minor"/>
          </rPr>
          <t>======
ID#AAAA6vXSyE0
YULIED.PENARANDA    (2023-09-27 16:07:09)
Logros obtenidos para la población objetivo, que se han alcanzado  con el cumplimiento de la meta.</t>
        </r>
      </text>
    </comment>
    <comment ref="FC10" authorId="0" shapeId="0" xr:uid="{00000000-0006-0000-0000-000008000000}">
      <text>
        <r>
          <rPr>
            <sz val="11"/>
            <color theme="1"/>
            <rFont val="Calibri"/>
            <family val="2"/>
            <scheme val="minor"/>
          </rPr>
          <t>======
ID#AAAA6vXSyP4
YULIED.PENARANDA    (2023-09-27 16:07:09)
Soportes que justifican las acciones desarrolladas en el cumplimiento de la meta.</t>
        </r>
      </text>
    </comment>
    <comment ref="A11" authorId="0" shapeId="0" xr:uid="{00000000-0006-0000-0000-000009000000}">
      <text>
        <r>
          <rPr>
            <sz val="11"/>
            <color theme="1"/>
            <rFont val="Calibri"/>
            <family val="2"/>
            <scheme val="minor"/>
          </rPr>
          <t>======
ID#AAAA6vXSyOw
YULIED.PENARANDA    (2023-09-27 16:07:09)
Número del propósito al que pertenece la estructura del proyecto de inversión asociada al PDD</t>
        </r>
      </text>
    </comment>
    <comment ref="J11" authorId="0" shapeId="0" xr:uid="{00000000-0006-0000-0000-00000A000000}">
      <text>
        <r>
          <rPr>
            <sz val="11"/>
            <color theme="1"/>
            <rFont val="Calibri"/>
            <family val="2"/>
            <scheme val="minor"/>
          </rPr>
          <t>======
ID#AAAA6vXSyGg
YULIED.PENARANDA    (2023-09-27 16:07:09)
Año 1</t>
        </r>
      </text>
    </comment>
    <comment ref="BH11" authorId="0" shapeId="0" xr:uid="{00000000-0006-0000-0000-00000B000000}">
      <text>
        <r>
          <rPr>
            <sz val="11"/>
            <color theme="1"/>
            <rFont val="Calibri"/>
            <family val="2"/>
            <scheme val="minor"/>
          </rPr>
          <t>======
ID#AAAA6vXSyQg
YULIED.PENARANDA    (2023-09-27 16:07:09)
Año 3</t>
        </r>
      </text>
    </comment>
    <comment ref="CL11" authorId="0" shapeId="0" xr:uid="{00000000-0006-0000-0000-00000C000000}">
      <text>
        <r>
          <rPr>
            <sz val="11"/>
            <color theme="1"/>
            <rFont val="Calibri"/>
            <family val="2"/>
            <scheme val="minor"/>
          </rPr>
          <t>======
ID#AAAA6vXSySk
YULIED.PENARANDA    (2023-09-27 16:07:09)
Año 4</t>
        </r>
      </text>
    </comment>
    <comment ref="DP11" authorId="0" shapeId="0" xr:uid="{00000000-0006-0000-0000-00000D000000}">
      <text>
        <r>
          <rPr>
            <sz val="11"/>
            <color theme="1"/>
            <rFont val="Calibri"/>
            <family val="2"/>
            <scheme val="minor"/>
          </rPr>
          <t>======
ID#AAAA6vXSyNc
YULIED.PENARANDA    (2023-09-27 16:07:09)
Año 5</t>
        </r>
      </text>
    </comment>
    <comment ref="A12" authorId="0" shapeId="0" xr:uid="{00000000-0006-0000-0000-00000E000000}">
      <text>
        <r>
          <rPr>
            <sz val="11"/>
            <color theme="1"/>
            <rFont val="Calibri"/>
            <family val="2"/>
            <scheme val="minor"/>
          </rPr>
          <t>======
ID#AAAA6vXSyH0
YULIED.PENARANDA    (2023-09-27 16:07:09)
Número del propósito al que pertenece la estructura del proyecto de inversión asociada al PDD</t>
        </r>
      </text>
    </comment>
    <comment ref="B12" authorId="0" shapeId="0" xr:uid="{00000000-0006-0000-0000-00000F000000}">
      <text>
        <r>
          <rPr>
            <sz val="11"/>
            <color theme="1"/>
            <rFont val="Calibri"/>
            <family val="2"/>
            <scheme val="minor"/>
          </rPr>
          <t>======
ID#AAAA6vXSySU
YULIED.PENARANDA    (2023-09-27 16:07:09)
Número del programa al que pertenece la estructura del proyecto de inversión asociada al PDD</t>
        </r>
      </text>
    </comment>
    <comment ref="C12" authorId="0" shapeId="0" xr:uid="{00000000-0006-0000-0000-000010000000}">
      <text>
        <r>
          <rPr>
            <sz val="11"/>
            <color theme="1"/>
            <rFont val="Calibri"/>
            <family val="2"/>
            <scheme val="minor"/>
          </rPr>
          <t>======
ID#AAAA6vXSyJQ
YULIED.PENARANDA    (2023-09-27 16:07:09)
Número de Meta Plan de Desarrollo.</t>
        </r>
      </text>
    </comment>
    <comment ref="D12" authorId="0" shapeId="0" xr:uid="{00000000-0006-0000-0000-000011000000}">
      <text>
        <r>
          <rPr>
            <sz val="11"/>
            <color theme="1"/>
            <rFont val="Calibri"/>
            <family val="2"/>
            <scheme val="minor"/>
          </rPr>
          <t>======
ID#AAAA6vXSyJ4
YULIED.PENARANDA    (2023-09-27 16:07:09)
Nombre completo de la Meta  del Plan de Desarrollo, según acuerdo.</t>
        </r>
      </text>
    </comment>
    <comment ref="E12" authorId="0" shapeId="0" xr:uid="{00000000-0006-0000-0000-000012000000}">
      <text>
        <r>
          <rPr>
            <sz val="11"/>
            <color theme="1"/>
            <rFont val="Calibri"/>
            <family val="2"/>
            <scheme val="minor"/>
          </rPr>
          <t>======
ID#AAAA6vXSyIw
YULIED.PENARANDA    (2023-09-27 16:07:09)
Número asignado al indicador en la estructura del Plan de Desarrollo.</t>
        </r>
      </text>
    </comment>
    <comment ref="F12" authorId="0" shapeId="0" xr:uid="{00000000-0006-0000-0000-000013000000}">
      <text>
        <r>
          <rPr>
            <sz val="11"/>
            <color theme="1"/>
            <rFont val="Calibri"/>
            <family val="2"/>
            <scheme val="minor"/>
          </rPr>
          <t>======
ID#AAAA6vXSySo
YULIED.PENARANDA    (2023-09-27 16:07:09)
Nombre completo del indicador. Expresión verbal, precisa y concreta del patrón de evaluación.</t>
        </r>
      </text>
    </comment>
    <comment ref="G12" authorId="0" shapeId="0" xr:uid="{00000000-0006-0000-0000-000014000000}">
      <text>
        <r>
          <rPr>
            <sz val="11"/>
            <color theme="1"/>
            <rFont val="Calibri"/>
            <family val="2"/>
            <scheme val="minor"/>
          </rPr>
          <t>======
ID#AAAA6vXSyIE
YULIED.PENARANDA    (2023-09-27 16:07:09)
Unidad cualitativa del indicador, define las características de la magnitud a realizar seguimiento. Eje: Hectáreas, estrategias, modelos, proyectos etc.</t>
        </r>
      </text>
    </comment>
    <comment ref="H12" authorId="0" shapeId="0" xr:uid="{00000000-0006-0000-0000-000015000000}">
      <text>
        <r>
          <rPr>
            <sz val="11"/>
            <color theme="1"/>
            <rFont val="Calibri"/>
            <family val="2"/>
            <scheme val="minor"/>
          </rPr>
          <t>======
ID#AAAA6vXSyQI
YULIED.PENARANDA    (2023-09-27 16:07:09)
Clasificación que define la forma en que será anualizada la meta y por tanto la forma en que este se reportará.  (Suma, Creciente, Decreciente y Constante)</t>
        </r>
      </text>
    </comment>
    <comment ref="I12" authorId="0" shapeId="0" xr:uid="{00000000-0006-0000-0000-000016000000}">
      <text>
        <r>
          <rPr>
            <sz val="11"/>
            <color theme="1"/>
            <rFont val="Calibri"/>
            <family val="2"/>
            <scheme val="minor"/>
          </rPr>
          <t>======
ID#AAAA6vXSyKY
YULIED.PENARANDA    (2023-09-27 16:07:09)
Magnitud física del indicador programada para la totalidad del plan de desarrollo 2020-2024</t>
        </r>
      </text>
    </comment>
    <comment ref="J12" authorId="0" shapeId="0" xr:uid="{00000000-0006-0000-0000-000017000000}">
      <text>
        <r>
          <rPr>
            <sz val="11"/>
            <color theme="1"/>
            <rFont val="Calibri"/>
            <family val="2"/>
            <scheme val="minor"/>
          </rPr>
          <t>======
ID#AAAA6vXSyGc
YULIED.PENARANDA    (2023-09-27 16:07:09)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color theme="1"/>
            <rFont val="Calibri"/>
            <family val="2"/>
            <scheme val="minor"/>
          </rPr>
          <t>======
ID#AAAA6vXSySw
YULIED.PENARANDA    (2022-02-07 20:51:54)
Describir el nombre completo de la oficina, dirección o subdirección que gerencia el proyecto de inversión.</t>
        </r>
      </text>
    </comment>
    <comment ref="A5" authorId="0" shapeId="0" xr:uid="{00000000-0006-0000-0100-000002000000}">
      <text>
        <r>
          <rPr>
            <sz val="11"/>
            <color theme="1"/>
            <rFont val="Calibri"/>
            <family val="2"/>
            <scheme val="minor"/>
          </rPr>
          <t>======
ID#AAAA6vXSyOU
YULIED.PENARANDA    (2022-02-07 20:51:54)
Describir el número y nombre completo del proyecto de inversión.</t>
        </r>
      </text>
    </comment>
    <comment ref="ES7" authorId="0" shapeId="0" xr:uid="{00000000-0006-0000-0100-000003000000}">
      <text>
        <r>
          <rPr>
            <sz val="11"/>
            <color theme="1"/>
            <rFont val="Calibri"/>
            <family val="2"/>
            <scheme val="minor"/>
          </rPr>
          <t>======
ID#AAAA6vXSyOc
YULIED.PENARANDA    (2023-09-27 16:07:09)
En este campo se conoce el porcentaje de avance de la vigencia; según la tipología del indicador.</t>
        </r>
      </text>
    </comment>
    <comment ref="ET7" authorId="0" shapeId="0" xr:uid="{00000000-0006-0000-0100-000004000000}">
      <text>
        <r>
          <rPr>
            <sz val="11"/>
            <color theme="1"/>
            <rFont val="Calibri"/>
            <family val="2"/>
            <scheme val="minor"/>
          </rPr>
          <t>======
ID#AAAA6vXSyOs
YULIED.PENARANDA    (2023-09-27 16:07:09)
En este campo se conoce el porcentaje de avance de la vigencia; según la tipología del indicador.</t>
        </r>
      </text>
    </comment>
    <comment ref="EU7" authorId="0" shapeId="0" xr:uid="{00000000-0006-0000-0100-000005000000}">
      <text>
        <r>
          <rPr>
            <sz val="11"/>
            <color theme="1"/>
            <rFont val="Calibri"/>
            <family val="2"/>
            <scheme val="minor"/>
          </rPr>
          <t>======
ID#AAAA6vXSyGA
YULIED.PENARANDA    (2023-09-27 16:07:09)
En este campo se conoce el porcentaje de avance de la vigencia; según la tipología del indicador.</t>
        </r>
      </text>
    </comment>
    <comment ref="EV7" authorId="0" shapeId="0" xr:uid="{00000000-0006-0000-0100-000006000000}">
      <text>
        <r>
          <rPr>
            <sz val="11"/>
            <color theme="1"/>
            <rFont val="Calibri"/>
            <family val="2"/>
            <scheme val="minor"/>
          </rPr>
          <t>======
ID#AAAA6vXSyPA
YULIED.PENARANDA    (2023-09-27 16:07:09)
Este campo se conoce el porcentaje de avance de forma acumulada al plan de desarrollo, de acuerdo con la tipología del indicador.</t>
        </r>
      </text>
    </comment>
    <comment ref="EW7" authorId="0" shapeId="0" xr:uid="{00000000-0006-0000-0100-000007000000}">
      <text>
        <r>
          <rPr>
            <sz val="11"/>
            <color theme="1"/>
            <rFont val="Calibri"/>
            <family val="2"/>
            <scheme val="minor"/>
          </rPr>
          <t>======
ID#AAAA6vXSyS8
YULIED.PENARANDA    (2022-02-07 20:51:54)
Logros más representativos en función de la meta, de forma acumulada.(lenguaje claro y preciso)
Máximo de caracteres 2.000 incluidos espacios.</t>
        </r>
      </text>
    </comment>
    <comment ref="EX7" authorId="0" shapeId="0" xr:uid="{00000000-0006-0000-0100-000008000000}">
      <text>
        <r>
          <rPr>
            <sz val="11"/>
            <color theme="1"/>
            <rFont val="Calibri"/>
            <family val="2"/>
            <scheme val="minor"/>
          </rPr>
          <t>======
ID#AAAA6vXSyOI
YULIED.PENARANDA    (2022-02-07 20:51:54)
Inconvenientes y/o dificultades que se han presentado para el cumplimiento de la Meta. 
Máximo de caracteres 500 incluidos espacios.</t>
        </r>
      </text>
    </comment>
    <comment ref="EY7" authorId="0" shapeId="0" xr:uid="{00000000-0006-0000-0100-000009000000}">
      <text>
        <r>
          <rPr>
            <sz val="11"/>
            <color theme="1"/>
            <rFont val="Calibri"/>
            <family val="2"/>
            <scheme val="minor"/>
          </rPr>
          <t>======
ID#AAAA6vXSyPo
YULIED.PENARANDA    (2022-02-07 20:51:54)
Medidas a tomar para solucionar los retrasos presentados. 
Máximo de caracteres 500 incluidos espacios.</t>
        </r>
      </text>
    </comment>
    <comment ref="EZ7" authorId="0" shapeId="0" xr:uid="{00000000-0006-0000-0100-00000A000000}">
      <text>
        <r>
          <rPr>
            <sz val="11"/>
            <color theme="1"/>
            <rFont val="Calibri"/>
            <family val="2"/>
            <scheme val="minor"/>
          </rPr>
          <t>======
ID#AAAA6vXSyLk
YULIED.PENARANDA    (2022-02-07 20:51:54)
Logros obtenidos para la población objetivo, que se han alcanzado  con el cumplimiento de la meta.</t>
        </r>
      </text>
    </comment>
    <comment ref="FA7" authorId="0" shapeId="0" xr:uid="{00000000-0006-0000-0100-00000B000000}">
      <text>
        <r>
          <rPr>
            <sz val="11"/>
            <color theme="1"/>
            <rFont val="Calibri"/>
            <family val="2"/>
            <scheme val="minor"/>
          </rPr>
          <t>======
ID#AAAA6vXSyDU
YULIED.PENARANDA    (2022-02-07 20:51:54)
Soportes que justifican las acciones desarrolladas en el cumplimiento de la meta.</t>
        </r>
      </text>
    </comment>
    <comment ref="H8" authorId="0" shapeId="0" xr:uid="{00000000-0006-0000-0100-00000C000000}">
      <text>
        <r>
          <rPr>
            <sz val="11"/>
            <color theme="1"/>
            <rFont val="Calibri"/>
            <family val="2"/>
            <scheme val="minor"/>
          </rPr>
          <t>======
ID#AAAA6vXSyMw
YULIED.PENARANDA    (2022-02-07 20:51:54)
Año 1</t>
        </r>
      </text>
    </comment>
    <comment ref="BF8" authorId="0" shapeId="0" xr:uid="{00000000-0006-0000-0100-00000D000000}">
      <text>
        <r>
          <rPr>
            <sz val="11"/>
            <color theme="1"/>
            <rFont val="Calibri"/>
            <family val="2"/>
            <scheme val="minor"/>
          </rPr>
          <t>======
ID#AAAA6vXSyOQ
YULIED.PENARANDA    (2022-02-07 20:51:54)
Año 3</t>
        </r>
      </text>
    </comment>
    <comment ref="CJ8" authorId="0" shapeId="0" xr:uid="{00000000-0006-0000-0100-00000E000000}">
      <text>
        <r>
          <rPr>
            <sz val="11"/>
            <color theme="1"/>
            <rFont val="Calibri"/>
            <family val="2"/>
            <scheme val="minor"/>
          </rPr>
          <t>======
ID#AAAA6vXSyFQ
YULIED.PENARANDA    (2022-02-07 20:51:54)
Año 4</t>
        </r>
      </text>
    </comment>
    <comment ref="DN8" authorId="0" shapeId="0" xr:uid="{00000000-0006-0000-0100-00000F000000}">
      <text>
        <r>
          <rPr>
            <sz val="11"/>
            <color theme="1"/>
            <rFont val="Calibri"/>
            <family val="2"/>
            <scheme val="minor"/>
          </rPr>
          <t>======
ID#AAAA6vXSyNM
YULIED.PENARANDA    (2022-02-07 20:51:54)
Año 5</t>
        </r>
      </text>
    </comment>
    <comment ref="A9" authorId="0" shapeId="0" xr:uid="{00000000-0006-0000-0100-000010000000}">
      <text>
        <r>
          <rPr>
            <sz val="11"/>
            <color theme="1"/>
            <rFont val="Calibri"/>
            <family val="2"/>
            <scheme val="minor"/>
          </rPr>
          <t>======
ID#AAAA6vXSyM8
YULIED.PENARANDA    (2022-02-07 20:51:54)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color theme="1"/>
            <rFont val="Calibri"/>
            <family val="2"/>
            <scheme val="minor"/>
          </rPr>
          <t>======
ID#AAAA6vXSyJk
YULIED.PENARANDA    (2022-02-07 20:51:54)
Número de la meta proyecto de inversión, según la asignación dada en  SEGPLAN</t>
        </r>
      </text>
    </comment>
    <comment ref="C9" authorId="0" shapeId="0" xr:uid="{00000000-0006-0000-0100-000012000000}">
      <text>
        <r>
          <rPr>
            <sz val="11"/>
            <color theme="1"/>
            <rFont val="Calibri"/>
            <family val="2"/>
            <scheme val="minor"/>
          </rPr>
          <t>======
ID#AAAA6vXSyGI
YULIED.PENARANDA    (2022-02-07 20:51:54)
Nombre completo de la meta proyecto de inversión, igual como quedo en SEGPLAN</t>
        </r>
      </text>
    </comment>
    <comment ref="D9" authorId="0" shapeId="0" xr:uid="{00000000-0006-0000-0100-000013000000}">
      <text>
        <r>
          <rPr>
            <sz val="11"/>
            <color theme="1"/>
            <rFont val="Calibri"/>
            <family val="2"/>
            <scheme val="minor"/>
          </rPr>
          <t>======
ID#AAAA6vXSyN4
YULIED.PENARANDA    (2022-02-07 20:51:54)
Clasificación que define la forma en que será anualizada la meta y por tanto la forma en que este se reportará.  (Suma, Creciente, Decreciente y Constante)</t>
        </r>
      </text>
    </comment>
    <comment ref="E9" authorId="0" shapeId="0" xr:uid="{00000000-0006-0000-0100-000014000000}">
      <text>
        <r>
          <rPr>
            <sz val="11"/>
            <color theme="1"/>
            <rFont val="Calibri"/>
            <family val="2"/>
            <scheme val="minor"/>
          </rPr>
          <t>======
ID#AAAA6vXSyLE
YULIED.PENARANDA    (2022-02-07 20:51:54)
Número de la meta Plan de Desarrollo, a la cual se encuentra asociada la meta de inversión.</t>
        </r>
      </text>
    </comment>
    <comment ref="F9" authorId="0" shapeId="0" xr:uid="{00000000-0006-0000-0100-000015000000}">
      <text>
        <r>
          <rPr>
            <sz val="11"/>
            <color theme="1"/>
            <rFont val="Calibri"/>
            <family val="2"/>
            <scheme val="minor"/>
          </rPr>
          <t>======
ID#AAAA6vXSyPw
YULIED.PENARANDA    (2022-02-07 20:51:54)
Se desagrega los siguientesvariables.
Magnitud física y presupuestal de la vigencia, así como la magnitud física y presupuestal de las reservas y el total de cada una de ellas.</t>
        </r>
      </text>
    </comment>
    <comment ref="G9" authorId="0" shapeId="0" xr:uid="{00000000-0006-0000-0100-000016000000}">
      <text>
        <r>
          <rPr>
            <sz val="11"/>
            <color theme="1"/>
            <rFont val="Calibri"/>
            <family val="2"/>
            <scheme val="minor"/>
          </rPr>
          <t>======
ID#AAAA6vXSyK4
YULIED.PENARANDA    (2022-02-07 20:51:54)
Magnitud física y presupuestal para la totalidad del plan de desarrollo.</t>
        </r>
      </text>
    </comment>
    <comment ref="H9" authorId="0" shapeId="0" xr:uid="{00000000-0006-0000-0100-000017000000}">
      <text>
        <r>
          <rPr>
            <sz val="11"/>
            <color theme="1"/>
            <rFont val="Calibri"/>
            <family val="2"/>
            <scheme val="minor"/>
          </rPr>
          <t>======
ID#AAAA6vXSyNo
YULIED.PENARANDA    (2022-02-07 20:51:54)
Magnitud física y presupuestal  programada para el inicio del plan de desarrollo.</t>
        </r>
      </text>
    </comment>
    <comment ref="F10" authorId="0" shapeId="0" xr:uid="{00000000-0006-0000-0100-000018000000}">
      <text>
        <r>
          <rPr>
            <sz val="11"/>
            <color theme="1"/>
            <rFont val="Calibri"/>
            <family val="2"/>
            <scheme val="minor"/>
          </rPr>
          <t>======
ID#AAAA6vXSyFE
YULIED.PENARANDA    (2022-02-07 20:51:54)
Magnitud física de la meta proyecto de inversión, a programar o a realizar seguimiento, según la columna en que se reporte.</t>
        </r>
      </text>
    </comment>
    <comment ref="F11" authorId="0" shapeId="0" xr:uid="{00000000-0006-0000-0100-000019000000}">
      <text>
        <r>
          <rPr>
            <sz val="11"/>
            <color theme="1"/>
            <rFont val="Calibri"/>
            <family val="2"/>
            <scheme val="minor"/>
          </rPr>
          <t>======
ID#AAAA6vXSyIg
YULIED.PENARANDA    (2022-02-07 20:51:54)
Recursos presupuestales asignados para la vigencia en programación  y/o seguimiento, según la columna en que se reporte</t>
        </r>
      </text>
    </comment>
    <comment ref="F12" authorId="0" shapeId="0" xr:uid="{00000000-0006-0000-0100-00001C000000}">
      <text>
        <r>
          <rPr>
            <sz val="11"/>
            <color theme="1"/>
            <rFont val="Calibri"/>
            <family val="2"/>
            <scheme val="minor"/>
          </rPr>
          <t>======
ID#AAAA6vXSyMY
YULIED.PENARANDA    (2022-02-07 20:51:54)
Este debe corresponder con la programación del  Plan Anual de Caja- PAC de la vigencia</t>
        </r>
      </text>
    </comment>
    <comment ref="F13" authorId="0" shapeId="0" xr:uid="{00000000-0006-0000-0100-00001E000000}">
      <text>
        <r>
          <rPr>
            <sz val="11"/>
            <color theme="1"/>
            <rFont val="Calibri"/>
            <family val="2"/>
            <scheme val="minor"/>
          </rPr>
          <t>======
ID#AAAA6vXSyFU
YULIED.PENARANDA    (2022-02-07 20:51:54)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F000000}">
      <text>
        <r>
          <rPr>
            <sz val="11"/>
            <color theme="1"/>
            <rFont val="Calibri"/>
            <family val="2"/>
            <scheme val="minor"/>
          </rPr>
          <t>======
ID#AAAA6vXSyII
YULIED.PENARANDA    (2022-02-07 20:51:54)
Son compromisos legalmente contraídos que al cierre de la vigencia fiscal no se han atendido por no haberse completado las formalidades necesarias que hagan exigible el pago al terminarse el año.</t>
        </r>
      </text>
    </comment>
    <comment ref="F15" authorId="0" shapeId="0" xr:uid="{00000000-0006-0000-0100-000023000000}">
      <text>
        <r>
          <rPr>
            <sz val="11"/>
            <color theme="1"/>
            <rFont val="Calibri"/>
            <family val="2"/>
            <scheme val="minor"/>
          </rPr>
          <t>======
ID#AAAA6vXSyEM
YULIED.PENARANDA    (2022-02-07 20:51:54)
Para las metas de tipología suma (vigencia *reservas). Para las demás tipos de metas se asocia el mismo dato de la vigencia.</t>
        </r>
      </text>
    </comment>
    <comment ref="F16" authorId="0" shapeId="0" xr:uid="{00000000-0006-0000-0100-000024000000}">
      <text>
        <r>
          <rPr>
            <sz val="11"/>
            <color theme="1"/>
            <rFont val="Calibri"/>
            <family val="2"/>
            <scheme val="minor"/>
          </rPr>
          <t>======
ID#AAAA6vXSyRg
YULIED.PENARANDA    (2022-02-07 20:51:54)
Se suma los recursos presupuestales (vigencia + reservas)</t>
        </r>
      </text>
    </comment>
    <comment ref="F17" authorId="0" shapeId="0" xr:uid="{00000000-0006-0000-0100-000025000000}">
      <text>
        <r>
          <rPr>
            <sz val="11"/>
            <color theme="1"/>
            <rFont val="Calibri"/>
            <family val="2"/>
            <scheme val="minor"/>
          </rPr>
          <t>======
ID#AAAA6vXSyOY
YULIED.PENARANDA    (2022-02-07 20:51:54)
Magnitud física de la meta proyecto de inversión, a programar o a realizar seguimiento, según la columna en que se reporte.</t>
        </r>
      </text>
    </comment>
    <comment ref="F18" authorId="0" shapeId="0" xr:uid="{00000000-0006-0000-0100-000026000000}">
      <text>
        <r>
          <rPr>
            <sz val="11"/>
            <color theme="1"/>
            <rFont val="Calibri"/>
            <family val="2"/>
            <scheme val="minor"/>
          </rPr>
          <t>======
ID#AAAA6vXSyRM
YULIED.PENARANDA    (2022-02-07 20:51:54)
Recursos presupuestales asignados para la vigencia en programación  y/o seguimiento, según la columna en que se reporte</t>
        </r>
      </text>
    </comment>
    <comment ref="F19" authorId="0" shapeId="0" xr:uid="{00000000-0006-0000-0100-000028000000}">
      <text>
        <r>
          <rPr>
            <sz val="11"/>
            <color theme="1"/>
            <rFont val="Calibri"/>
            <family val="2"/>
            <scheme val="minor"/>
          </rPr>
          <t>======
ID#AAAA6vXSyMc
YULIED.PENARANDA    (2022-02-07 20:51:54)
Este debe corresponder con la programación del  Plan Anual de Caja- PAC de la vigencia</t>
        </r>
      </text>
    </comment>
    <comment ref="F20" authorId="0" shapeId="0" xr:uid="{00000000-0006-0000-0100-000029000000}">
      <text>
        <r>
          <rPr>
            <sz val="11"/>
            <color theme="1"/>
            <rFont val="Calibri"/>
            <family val="2"/>
            <scheme val="minor"/>
          </rPr>
          <t>======
ID#AAAA6vXSyRE
YULIED.PENARANDA    (2022-02-07 20:51:54)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A000000}">
      <text>
        <r>
          <rPr>
            <sz val="11"/>
            <color theme="1"/>
            <rFont val="Calibri"/>
            <family val="2"/>
            <scheme val="minor"/>
          </rPr>
          <t>======
ID#AAAA6vXSyP0
YULIED.PENARANDA    (2022-02-07 20:51:54)
Son compromisos legalmente contraídos que al cierre de la vigencia fiscal no se han atendido por no haberse completado las formalidades necesarias que hagan exigible el pago al terminarse el año.</t>
        </r>
      </text>
    </comment>
    <comment ref="F22" authorId="0" shapeId="0" xr:uid="{00000000-0006-0000-0100-00002B000000}">
      <text>
        <r>
          <rPr>
            <sz val="11"/>
            <color theme="1"/>
            <rFont val="Calibri"/>
            <family val="2"/>
            <scheme val="minor"/>
          </rPr>
          <t>======
ID#AAAA6vXSyN8
YULIED.PENARANDA    (2022-02-07 20:51:54)
Para las metas de tipología suma (vigencia *reservas). Para las demás tipos de metas se asocia el mismo dato de la vigencia.</t>
        </r>
      </text>
    </comment>
    <comment ref="F23" authorId="0" shapeId="0" xr:uid="{00000000-0006-0000-0100-00002C000000}">
      <text>
        <r>
          <rPr>
            <sz val="11"/>
            <color theme="1"/>
            <rFont val="Calibri"/>
            <family val="2"/>
            <scheme val="minor"/>
          </rPr>
          <t>======
ID#AAAA6vXSyR0
YULIED.PENARANDA    (2022-02-07 20:51:54)
Se suma los recursos presupuestales (vigencia + reservas)</t>
        </r>
      </text>
    </comment>
    <comment ref="F24" authorId="0" shapeId="0" xr:uid="{00000000-0006-0000-0100-00002D000000}">
      <text>
        <r>
          <rPr>
            <sz val="11"/>
            <color theme="1"/>
            <rFont val="Calibri"/>
            <family val="2"/>
            <scheme val="minor"/>
          </rPr>
          <t>======
ID#AAAA6vXSyGY
YULIED.PENARANDA    (2022-02-07 20:51:54)
Magnitud física de la meta proyecto de inversión, a programar o a realizar seguimiento, según la columna en que se reporte.</t>
        </r>
      </text>
    </comment>
    <comment ref="F25" authorId="0" shapeId="0" xr:uid="{00000000-0006-0000-0100-00002E000000}">
      <text>
        <r>
          <rPr>
            <sz val="11"/>
            <color theme="1"/>
            <rFont val="Calibri"/>
            <family val="2"/>
            <scheme val="minor"/>
          </rPr>
          <t>======
ID#AAAA6vXSyQs
YULIED.PENARANDA    (2022-02-07 20:51:54)
Recursos presupuestales asignados para la vigencia en programación  y/o seguimiento, según la columna en que se reporte</t>
        </r>
      </text>
    </comment>
    <comment ref="F26" authorId="0" shapeId="0" xr:uid="{00000000-0006-0000-0100-00002F000000}">
      <text>
        <r>
          <rPr>
            <sz val="11"/>
            <color theme="1"/>
            <rFont val="Calibri"/>
            <family val="2"/>
            <scheme val="minor"/>
          </rPr>
          <t>======
ID#AAAA6vXSyRQ
YULIED.PENARANDA    (2022-02-07 20:51:54)
Este debe corresponder con la programación del  Plan Anual de Caja- PAC de la vigencia</t>
        </r>
      </text>
    </comment>
    <comment ref="F27" authorId="0" shapeId="0" xr:uid="{00000000-0006-0000-0100-000030000000}">
      <text>
        <r>
          <rPr>
            <sz val="11"/>
            <color theme="1"/>
            <rFont val="Calibri"/>
            <family val="2"/>
            <scheme val="minor"/>
          </rPr>
          <t>======
ID#AAAA6vXSyLg
YULIED.PENARANDA    (2022-02-07 20:51:54)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1000000}">
      <text>
        <r>
          <rPr>
            <sz val="11"/>
            <color theme="1"/>
            <rFont val="Calibri"/>
            <family val="2"/>
            <scheme val="minor"/>
          </rPr>
          <t>======
ID#AAAA6vXSyS0
YULIED.PENARANDA    (2022-02-07 20:51:54)
Son compromisos legalmente contraídos que al cierre de la vigencia fiscal no se han atendido por no haberse completado las formalidades necesarias que hagan exigible el pago al terminarse el año.</t>
        </r>
      </text>
    </comment>
    <comment ref="F29" authorId="0" shapeId="0" xr:uid="{00000000-0006-0000-0100-000032000000}">
      <text>
        <r>
          <rPr>
            <sz val="11"/>
            <color theme="1"/>
            <rFont val="Calibri"/>
            <family val="2"/>
            <scheme val="minor"/>
          </rPr>
          <t>======
ID#AAAA6vXSyDk
YULIED.PENARANDA    (2022-02-07 20:51:54)
Para las metas de tipología suma (vigencia *reservas). Para las demás tipos de metas se asocia el mismo dato de la vigencia.</t>
        </r>
      </text>
    </comment>
    <comment ref="F30" authorId="0" shapeId="0" xr:uid="{00000000-0006-0000-0100-000033000000}">
      <text>
        <r>
          <rPr>
            <sz val="11"/>
            <color theme="1"/>
            <rFont val="Calibri"/>
            <family val="2"/>
            <scheme val="minor"/>
          </rPr>
          <t>======
ID#AAAA6vXSyJ8
YULIED.PENARANDA    (2022-02-07 20:51:54)
Se suma los recursos presupuestales (vigencia + reservas)</t>
        </r>
      </text>
    </comment>
    <comment ref="F31" authorId="0" shapeId="0" xr:uid="{00000000-0006-0000-0100-000034000000}">
      <text>
        <r>
          <rPr>
            <sz val="11"/>
            <color theme="1"/>
            <rFont val="Calibri"/>
            <family val="2"/>
            <scheme val="minor"/>
          </rPr>
          <t>======
ID#AAAA6vXSyLQ
YULIED.PENARANDA    (2022-02-07 20:51:54)
Magnitud física de la meta proyecto de inversión, a programar o a realizar seguimiento, según la columna en que se reporte.</t>
        </r>
      </text>
    </comment>
    <comment ref="F32" authorId="0" shapeId="0" xr:uid="{00000000-0006-0000-0100-000036000000}">
      <text>
        <r>
          <rPr>
            <sz val="11"/>
            <color theme="1"/>
            <rFont val="Calibri"/>
            <family val="2"/>
            <scheme val="minor"/>
          </rPr>
          <t>======
ID#AAAA6vXSyQA
YULIED.PENARANDA    (2022-02-07 20:51:54)
Recursos presupuestales asignados para la vigencia en programación  y/o seguimiento, según la columna en que se reporte</t>
        </r>
      </text>
    </comment>
    <comment ref="F33" authorId="0" shapeId="0" xr:uid="{00000000-0006-0000-0100-000037000000}">
      <text>
        <r>
          <rPr>
            <sz val="11"/>
            <color theme="1"/>
            <rFont val="Calibri"/>
            <family val="2"/>
            <scheme val="minor"/>
          </rPr>
          <t>======
ID#AAAA6vXSyJw
YULIED.PENARANDA    (2022-02-07 20:51:54)
Este debe corresponder con la programación del  Plan Anual de Caja- PAC de la vigencia</t>
        </r>
      </text>
    </comment>
    <comment ref="F34" authorId="0" shapeId="0" xr:uid="{00000000-0006-0000-0100-000039000000}">
      <text>
        <r>
          <rPr>
            <sz val="11"/>
            <color theme="1"/>
            <rFont val="Calibri"/>
            <family val="2"/>
            <scheme val="minor"/>
          </rPr>
          <t>======
ID#AAAA6vXSyKA
YULIED.PENARANDA    (2022-02-07 20:51:54)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B000000}">
      <text>
        <r>
          <rPr>
            <sz val="11"/>
            <color theme="1"/>
            <rFont val="Calibri"/>
            <family val="2"/>
            <scheme val="minor"/>
          </rPr>
          <t>======
ID#AAAA6vXSyJc
YULIED.PENARANDA    (2022-02-07 20:51:54)
Son compromisos legalmente contraídos que al cierre de la vigencia fiscal no se han atendido por no haberse completado las formalidades necesarias que hagan exigible el pago al terminarse el año.</t>
        </r>
      </text>
    </comment>
    <comment ref="F36" authorId="0" shapeId="0" xr:uid="{00000000-0006-0000-0100-00003C000000}">
      <text>
        <r>
          <rPr>
            <sz val="11"/>
            <color theme="1"/>
            <rFont val="Calibri"/>
            <family val="2"/>
            <scheme val="minor"/>
          </rPr>
          <t>======
ID#AAAA6vXSyOg
YULIED.PENARANDA    (2022-02-07 20:51:54)
Para las metas de tipología suma (vigencia *reservas). Para las demás tipos de metas se asocia el mismo dato de la vigencia.</t>
        </r>
      </text>
    </comment>
    <comment ref="F37" authorId="0" shapeId="0" xr:uid="{00000000-0006-0000-0100-00003D000000}">
      <text>
        <r>
          <rPr>
            <sz val="11"/>
            <color theme="1"/>
            <rFont val="Calibri"/>
            <family val="2"/>
            <scheme val="minor"/>
          </rPr>
          <t>======
ID#AAAA6vXSyLs
YULIED.PENARANDA    (2022-02-07 20:51:54)
Se suma los recursos presupuestales (vigencia + reservas)</t>
        </r>
      </text>
    </comment>
    <comment ref="F38" authorId="0" shapeId="0" xr:uid="{00000000-0006-0000-0100-00003E000000}">
      <text>
        <r>
          <rPr>
            <sz val="11"/>
            <color theme="1"/>
            <rFont val="Calibri"/>
            <family val="2"/>
            <scheme val="minor"/>
          </rPr>
          <t>======
ID#AAAA6vXSyLw
YULIED.PENARANDA    (2022-02-07 20:51:54)
Magnitud física de la meta proyecto de inversión, a programar o a realizar seguimiento, según la columna en que se reporte.</t>
        </r>
      </text>
    </comment>
    <comment ref="F39" authorId="0" shapeId="0" xr:uid="{00000000-0006-0000-0100-00003F000000}">
      <text>
        <r>
          <rPr>
            <sz val="11"/>
            <color theme="1"/>
            <rFont val="Calibri"/>
            <family val="2"/>
            <scheme val="minor"/>
          </rPr>
          <t>======
ID#AAAA6vXSyPQ
YULIED.PENARANDA    (2022-02-07 20:51:54)
Recursos presupuestales asignados para la vigencia en programación  y/o seguimiento, según la columna en que se reporte</t>
        </r>
      </text>
    </comment>
    <comment ref="F40" authorId="0" shapeId="0" xr:uid="{00000000-0006-0000-0100-000041000000}">
      <text>
        <r>
          <rPr>
            <sz val="11"/>
            <color theme="1"/>
            <rFont val="Calibri"/>
            <family val="2"/>
            <scheme val="minor"/>
          </rPr>
          <t>======
ID#AAAA6vXSyNs
YULIED.PENARANDA    (2022-02-07 20:51:54)
Este debe corresponder con la programación del  Plan Anual de Caja- PAC de la vigencia</t>
        </r>
      </text>
    </comment>
    <comment ref="F41" authorId="0" shapeId="0" xr:uid="{00000000-0006-0000-0100-000042000000}">
      <text>
        <r>
          <rPr>
            <sz val="11"/>
            <color theme="1"/>
            <rFont val="Calibri"/>
            <family val="2"/>
            <scheme val="minor"/>
          </rPr>
          <t>======
ID#AAAA6vXSyLU
YULIED.PENARANDA    (2022-02-07 20:51:54)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3000000}">
      <text>
        <r>
          <rPr>
            <sz val="11"/>
            <color theme="1"/>
            <rFont val="Calibri"/>
            <family val="2"/>
            <scheme val="minor"/>
          </rPr>
          <t>======
ID#AAAA6vXSyDo
YULIED.PENARANDA    (2022-02-07 20:51:54)
Son compromisos legalmente contraídos que al cierre de la vigencia fiscal no se han atendido por no haberse completado las formalidades necesarias que hagan exigible el pago al terminarse el año.</t>
        </r>
      </text>
    </comment>
    <comment ref="F43" authorId="0" shapeId="0" xr:uid="{00000000-0006-0000-0100-000044000000}">
      <text>
        <r>
          <rPr>
            <sz val="11"/>
            <color theme="1"/>
            <rFont val="Calibri"/>
            <family val="2"/>
            <scheme val="minor"/>
          </rPr>
          <t>======
ID#AAAA6vXSyE4
YULIED.PENARANDA    (2022-02-07 20:51:54)
Para las metas de tipología suma (vigencia *reservas). Para las demás tipos de metas se asocia el mismo dato de la vigencia.</t>
        </r>
      </text>
    </comment>
    <comment ref="F44" authorId="0" shapeId="0" xr:uid="{00000000-0006-0000-0100-000045000000}">
      <text>
        <r>
          <rPr>
            <sz val="11"/>
            <color theme="1"/>
            <rFont val="Calibri"/>
            <family val="2"/>
            <scheme val="minor"/>
          </rPr>
          <t>======
ID#AAAA6vXSyC8
YULIED.PENARANDA    (2022-02-07 20:51:54)
Se suma los recursos presupuestales (vigencia + reservas)</t>
        </r>
      </text>
    </comment>
    <comment ref="F45" authorId="0" shapeId="0" xr:uid="{00000000-0006-0000-0100-000046000000}">
      <text>
        <r>
          <rPr>
            <sz val="11"/>
            <color theme="1"/>
            <rFont val="Calibri"/>
            <family val="2"/>
            <scheme val="minor"/>
          </rPr>
          <t>======
ID#AAAA6vXSyFA
YULIED.PENARANDA    (2022-02-07 20:51:54)
Se suma los recursos presupuestales de la vigencia, por cada meta de inversión del proyecto</t>
        </r>
      </text>
    </comment>
    <comment ref="F46" authorId="0" shapeId="0" xr:uid="{00000000-0006-0000-0100-000047000000}">
      <text>
        <r>
          <rPr>
            <sz val="11"/>
            <color theme="1"/>
            <rFont val="Calibri"/>
            <family val="2"/>
            <scheme val="minor"/>
          </rPr>
          <t>======
ID#AAAA6vXSyGU
YULIED.PENARANDA    (2022-02-07 20:51:54)
Se suma los recursos presupuestales de la reserva, por cada meta de inversión del proyecto</t>
        </r>
      </text>
    </comment>
    <comment ref="F47" authorId="0" shapeId="0" xr:uid="{00000000-0006-0000-0100-00004A000000}">
      <text>
        <r>
          <rPr>
            <sz val="11"/>
            <color theme="1"/>
            <rFont val="Calibri"/>
            <family val="2"/>
            <scheme val="minor"/>
          </rPr>
          <t>======
ID#AAAA6vXSyHQ
YULIED.PENARANDA    (2022-02-07 20:51:54)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color theme="1"/>
            <rFont val="Calibri"/>
            <family val="2"/>
            <scheme val="minor"/>
          </rPr>
          <t>======
ID#AAAA6vXSyQ0
YULIED.PENARANDA    (2022-02-07 20:51:54)
Describir el nombre completo de la oficina, dirección o subdirección que gerencia el proyecto de inversión.</t>
        </r>
      </text>
    </comment>
    <comment ref="A5" authorId="0" shapeId="0" xr:uid="{00000000-0006-0000-0200-000002000000}">
      <text>
        <r>
          <rPr>
            <sz val="11"/>
            <color theme="1"/>
            <rFont val="Calibri"/>
            <family val="2"/>
            <scheme val="minor"/>
          </rPr>
          <t>======
ID#AAAA6vXSyD4
YULIED.PENARANDA    (2022-02-07 20:51:54)
Describir el número y nombre completo del proyecto de inversión.</t>
        </r>
      </text>
    </comment>
    <comment ref="A7" authorId="0" shapeId="0" xr:uid="{00000000-0006-0000-0200-000003000000}">
      <text>
        <r>
          <rPr>
            <sz val="11"/>
            <color theme="1"/>
            <rFont val="Calibri"/>
            <family val="2"/>
            <scheme val="minor"/>
          </rPr>
          <t>======
ID#AAAA6vXSyPc
YULIED.PENARANDA    (2023-09-27 16:07:09)
Se escribe el nombre completo de las líneas de acción, quien nos dan una visión general de los grandes temas del proyecto, forman parte integral del mismo.</t>
        </r>
      </text>
    </comment>
    <comment ref="B7" authorId="0" shapeId="0" xr:uid="{00000000-0006-0000-0200-000004000000}">
      <text>
        <r>
          <rPr>
            <sz val="11"/>
            <color theme="1"/>
            <rFont val="Calibri"/>
            <family val="2"/>
            <scheme val="minor"/>
          </rPr>
          <t>======
ID#AAAA6vXSyFo
YULIED.PENARANDA    (2023-09-27 16:07:09)
Se deben relacionar todas las metas proyecto de inversión formuladas para la ejecución del proyecto.</t>
        </r>
      </text>
    </comment>
    <comment ref="C7" authorId="0" shapeId="0" xr:uid="{00000000-0006-0000-0200-000005000000}">
      <text>
        <r>
          <rPr>
            <sz val="11"/>
            <color theme="1"/>
            <rFont val="Calibri"/>
            <family val="2"/>
            <scheme val="minor"/>
          </rPr>
          <t>======
ID#AAAA6vXSySE
YULIED.PENARANDA    (2023-09-27 16:07:09)
Código y descripción de cada actividad en orden cronológico para el cumplimiento de la meta proyecto de inversión.    Máximo de caracteres 200 incluido espacios.</t>
        </r>
      </text>
    </comment>
    <comment ref="D7" authorId="0" shapeId="0" xr:uid="{00000000-0006-0000-0200-000006000000}">
      <text>
        <r>
          <rPr>
            <sz val="11"/>
            <color theme="1"/>
            <rFont val="Calibri"/>
            <family val="2"/>
            <scheme val="minor"/>
          </rPr>
          <t>======
ID#AAAA6vXSyJI
YULIED.PENARANDA    (2023-09-27 16:07:09)
Se selecciona con “X” si el presupuesto con el que se ejecuta la actividad es con recursos de vigencia y/o de la reserva.</t>
        </r>
      </text>
    </comment>
    <comment ref="F7" authorId="0" shapeId="0" xr:uid="{00000000-0006-0000-0200-000007000000}">
      <text>
        <r>
          <rPr>
            <sz val="11"/>
            <color theme="1"/>
            <rFont val="Calibri"/>
            <family val="2"/>
            <scheme val="minor"/>
          </rPr>
          <t>======
ID#AAAA6vXSyRk
YULIED.PENARANDA    (2023-09-27 16:07:09)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color theme="1"/>
            <rFont val="Calibri"/>
            <family val="2"/>
            <scheme val="minor"/>
          </rPr>
          <t>======
ID#AAAA6vXSyLY
YULIED.PENARANDA    (2023-09-27 16:07:09)
Peso porcentual de la meta y actividad, al final del resultado nos da el 100%</t>
        </r>
      </text>
    </comment>
    <comment ref="V7" authorId="0" shapeId="0" xr:uid="{00000000-0006-0000-0200-000009000000}">
      <text>
        <r>
          <rPr>
            <sz val="11"/>
            <color theme="1"/>
            <rFont val="Calibri"/>
            <family val="2"/>
            <scheme val="minor"/>
          </rPr>
          <t>======
ID#AAAA6vXSyTI
YULIED.PENARANDA    (2023-09-27 16:07:09)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color theme="1"/>
            <rFont val="Calibri"/>
            <family val="2"/>
            <scheme val="minor"/>
          </rPr>
          <t>======
ID#AAAA6vXSyTE
YULIED.PENARANDA    (2023-09-27 16:07:09)
Este campo se selecciona con “X” si el presupuesto con el que se ejecuta la actividad es con recursos de vigencia</t>
        </r>
      </text>
    </comment>
    <comment ref="E8" authorId="0" shapeId="0" xr:uid="{00000000-0006-0000-0200-00000B000000}">
      <text>
        <r>
          <rPr>
            <sz val="11"/>
            <color theme="1"/>
            <rFont val="Calibri"/>
            <family val="2"/>
            <scheme val="minor"/>
          </rPr>
          <t>======
ID#AAAA6vXSyHg
YULIED.PENARANDA    (2023-09-27 16:07:09)
Este campo se selecciona con “X” si el presupuesto con el que se ejecuta la actividad es con recursos  de la reserva.</t>
        </r>
      </text>
    </comment>
    <comment ref="F8" authorId="0" shapeId="0" xr:uid="{00000000-0006-0000-0200-00000C000000}">
      <text>
        <r>
          <rPr>
            <sz val="11"/>
            <color theme="1"/>
            <rFont val="Calibri"/>
            <family val="2"/>
            <scheme val="minor"/>
          </rPr>
          <t>======
ID#AAAA6vXSyDQ
YULIED.PENARANDA    (2023-09-27 16:07:09)
Variables: programado y ejecutado</t>
        </r>
      </text>
    </comment>
    <comment ref="G8" authorId="0" shapeId="0" xr:uid="{00000000-0006-0000-0200-00000D000000}">
      <text>
        <r>
          <rPr>
            <sz val="11"/>
            <color theme="1"/>
            <rFont val="Calibri"/>
            <family val="2"/>
            <scheme val="minor"/>
          </rPr>
          <t>======
ID#AAAA6vXSySQ
YULIED.PENARANDA    (2023-09-27 16:07:09)
Máximo dos decimales</t>
        </r>
      </text>
    </comment>
    <comment ref="H8" authorId="0" shapeId="0" xr:uid="{00000000-0006-0000-0200-00000E000000}">
      <text>
        <r>
          <rPr>
            <sz val="11"/>
            <color theme="1"/>
            <rFont val="Calibri"/>
            <family val="2"/>
            <scheme val="minor"/>
          </rPr>
          <t>======
ID#AAAA6vXSyHY
YULIED.PENARANDA    (2023-09-27 16:07:09)
Máximo dos decimales</t>
        </r>
      </text>
    </comment>
    <comment ref="I8" authorId="0" shapeId="0" xr:uid="{00000000-0006-0000-0200-00000F000000}">
      <text>
        <r>
          <rPr>
            <sz val="11"/>
            <color theme="1"/>
            <rFont val="Calibri"/>
            <family val="2"/>
            <scheme val="minor"/>
          </rPr>
          <t>======
ID#AAAA6vXSyI8
YULIED.PENARANDA    (2023-09-27 16:07:09)
Máximo dos decimales</t>
        </r>
      </text>
    </comment>
    <comment ref="J8" authorId="0" shapeId="0" xr:uid="{00000000-0006-0000-0200-000010000000}">
      <text>
        <r>
          <rPr>
            <sz val="11"/>
            <color theme="1"/>
            <rFont val="Calibri"/>
            <family val="2"/>
            <scheme val="minor"/>
          </rPr>
          <t>======
ID#AAAA6vXSyIQ
YULIED.PENARANDA    (2023-09-27 16:07:09)
Máximo dos decimales</t>
        </r>
      </text>
    </comment>
    <comment ref="K8" authorId="0" shapeId="0" xr:uid="{00000000-0006-0000-0200-000011000000}">
      <text>
        <r>
          <rPr>
            <sz val="11"/>
            <color theme="1"/>
            <rFont val="Calibri"/>
            <family val="2"/>
            <scheme val="minor"/>
          </rPr>
          <t>======
ID#AAAA6vXSyKg
YULIED.PENARANDA    (2023-09-27 16:07:09)
Máximo dos decimales</t>
        </r>
      </text>
    </comment>
    <comment ref="L8" authorId="0" shapeId="0" xr:uid="{00000000-0006-0000-0200-000012000000}">
      <text>
        <r>
          <rPr>
            <sz val="11"/>
            <color theme="1"/>
            <rFont val="Calibri"/>
            <family val="2"/>
            <scheme val="minor"/>
          </rPr>
          <t>======
ID#AAAA6vXSyE8
YULIED.PENARANDA    (2023-09-27 16:07:09)
Máximo dos decimales</t>
        </r>
      </text>
    </comment>
    <comment ref="M8" authorId="0" shapeId="0" xr:uid="{00000000-0006-0000-0200-000013000000}">
      <text>
        <r>
          <rPr>
            <sz val="11"/>
            <color theme="1"/>
            <rFont val="Calibri"/>
            <family val="2"/>
            <scheme val="minor"/>
          </rPr>
          <t>======
ID#AAAA6vXSyKM
YULIED.PENARANDA    (2023-09-27 16:07:09)
Máximo dos decimales</t>
        </r>
      </text>
    </comment>
    <comment ref="N8" authorId="0" shapeId="0" xr:uid="{00000000-0006-0000-0200-000014000000}">
      <text>
        <r>
          <rPr>
            <sz val="11"/>
            <color theme="1"/>
            <rFont val="Calibri"/>
            <family val="2"/>
            <scheme val="minor"/>
          </rPr>
          <t>======
ID#AAAA6vXSyKU
YULIED.PENARANDA    (2023-09-27 16:07:09)
Máximo dos decimales</t>
        </r>
      </text>
    </comment>
    <comment ref="O8" authorId="0" shapeId="0" xr:uid="{00000000-0006-0000-0200-000015000000}">
      <text>
        <r>
          <rPr>
            <sz val="11"/>
            <color theme="1"/>
            <rFont val="Calibri"/>
            <family val="2"/>
            <scheme val="minor"/>
          </rPr>
          <t>======
ID#AAAA6vXSyEo
YULIED.PENARANDA    (2023-09-27 16:07:09)
Máximo dos decimales</t>
        </r>
      </text>
    </comment>
    <comment ref="P8" authorId="0" shapeId="0" xr:uid="{00000000-0006-0000-0200-000016000000}">
      <text>
        <r>
          <rPr>
            <sz val="11"/>
            <color theme="1"/>
            <rFont val="Calibri"/>
            <family val="2"/>
            <scheme val="minor"/>
          </rPr>
          <t>======
ID#AAAA6vXSyL0
YULIED.PENARANDA    (2023-09-27 16:07:09)
Máximo dos decimales</t>
        </r>
      </text>
    </comment>
    <comment ref="Q8" authorId="0" shapeId="0" xr:uid="{00000000-0006-0000-0200-000017000000}">
      <text>
        <r>
          <rPr>
            <sz val="11"/>
            <color theme="1"/>
            <rFont val="Calibri"/>
            <family val="2"/>
            <scheme val="minor"/>
          </rPr>
          <t>======
ID#AAAA6vXSyI0
YULIED.PENARANDA    (2023-09-27 16:07:09)
Máximo dos decimales</t>
        </r>
      </text>
    </comment>
    <comment ref="R8" authorId="0" shapeId="0" xr:uid="{00000000-0006-0000-0200-000018000000}">
      <text>
        <r>
          <rPr>
            <sz val="11"/>
            <color theme="1"/>
            <rFont val="Calibri"/>
            <family val="2"/>
            <scheme val="minor"/>
          </rPr>
          <t>======
ID#AAAA6vXSyIU
YULIED.PENARANDA    (2023-09-27 16:07:09)
Máximo dos decimales</t>
        </r>
      </text>
    </comment>
    <comment ref="S8" authorId="0" shapeId="0" xr:uid="{00000000-0006-0000-0200-000019000000}">
      <text>
        <r>
          <rPr>
            <sz val="11"/>
            <color theme="1"/>
            <rFont val="Calibri"/>
            <family val="2"/>
            <scheme val="minor"/>
          </rPr>
          <t>======
ID#AAAA6vXSyPM
YULIED.PENARANDA    (2023-09-27 16:07:09)
La programación y la ejecución de la actividad en los 12 meses, no puede ser superior a 100%.</t>
        </r>
      </text>
    </comment>
    <comment ref="T8" authorId="0" shapeId="0" xr:uid="{00000000-0006-0000-0200-00001A000000}">
      <text>
        <r>
          <rPr>
            <sz val="11"/>
            <color theme="1"/>
            <rFont val="Calibri"/>
            <family val="2"/>
            <scheme val="minor"/>
          </rPr>
          <t>======
ID#AAAA6vXSySc
YULIED.PENARANDA    (2023-09-27 16:07:09)
Peso porcentual de cada meta, en función del proyecto de inversión</t>
        </r>
      </text>
    </comment>
    <comment ref="U8" authorId="0" shapeId="0" xr:uid="{00000000-0006-0000-0200-00001B000000}">
      <text>
        <r>
          <rPr>
            <sz val="11"/>
            <color theme="1"/>
            <rFont val="Calibri"/>
            <family val="2"/>
            <scheme val="minor"/>
          </rPr>
          <t>======
ID#AAAA6vXSyME
YULIED.PENARANDA    (2023-09-27 16:07:09)
Peso porcentual de cada actividad, en función del proyecto de inversión</t>
        </r>
      </text>
    </comment>
    <comment ref="F9" authorId="0" shapeId="0" xr:uid="{00000000-0006-0000-0200-00001C000000}">
      <text>
        <r>
          <rPr>
            <sz val="11"/>
            <color theme="1"/>
            <rFont val="Calibri"/>
            <family val="2"/>
            <scheme val="minor"/>
          </rPr>
          <t>======
ID#AAAA6vXSyMg
YULIED.PENARANDA    (2022-02-07 20:51:54)
No relacionar los datos en formula, debido a que al final no nos da la suma exacta.</t>
        </r>
      </text>
    </comment>
    <comment ref="S9" authorId="0" shapeId="0" xr:uid="{00000000-0006-0000-0200-00001D000000}">
      <text>
        <r>
          <rPr>
            <sz val="11"/>
            <color theme="1"/>
            <rFont val="Calibri"/>
            <family val="2"/>
            <scheme val="minor"/>
          </rPr>
          <t>======
ID#AAAA6vXSyO8
YULIED.PENARANDA    (2022-02-07 20:51:54)
Verificar las sumas, que no sea inferior ni superior al 100%</t>
        </r>
      </text>
    </comment>
    <comment ref="F10" authorId="0" shapeId="0" xr:uid="{00000000-0006-0000-0200-00001F000000}">
      <text>
        <r>
          <rPr>
            <sz val="11"/>
            <color theme="1"/>
            <rFont val="Calibri"/>
            <family val="2"/>
            <scheme val="minor"/>
          </rPr>
          <t>======
ID#AAAA6vXSyM0
YULIED.PENARANDA    (2022-02-07 20:51:54)
No relacionar los datos en formula, debido a que al final no nos da la suma exacta.</t>
        </r>
      </text>
    </comment>
    <comment ref="S10" authorId="0" shapeId="0" xr:uid="{00000000-0006-0000-0200-000020000000}">
      <text>
        <r>
          <rPr>
            <sz val="11"/>
            <color theme="1"/>
            <rFont val="Calibri"/>
            <family val="2"/>
            <scheme val="minor"/>
          </rPr>
          <t>======
ID#AAAA6vXSyGs
YULIED.PENARANDA    (2022-02-07 20:51:54)
Verificar las sumas, que no sea inferior ni superior al 100%</t>
        </r>
      </text>
    </comment>
    <comment ref="F11" authorId="0" shapeId="0" xr:uid="{00000000-0006-0000-0200-000021000000}">
      <text>
        <r>
          <rPr>
            <sz val="11"/>
            <color theme="1"/>
            <rFont val="Calibri"/>
            <family val="2"/>
            <scheme val="minor"/>
          </rPr>
          <t>======
ID#AAAA6vXSyRw
YULIED.PENARANDA    (2022-02-07 20:51:54)
No relacionar los datos en formula, debido a que al final no nos da la suma exacta.</t>
        </r>
      </text>
    </comment>
    <comment ref="S11" authorId="0" shapeId="0" xr:uid="{00000000-0006-0000-0200-000022000000}">
      <text>
        <r>
          <rPr>
            <sz val="11"/>
            <color theme="1"/>
            <rFont val="Calibri"/>
            <family val="2"/>
            <scheme val="minor"/>
          </rPr>
          <t>======
ID#AAAA6vXSyKc
YULIED.PENARANDA    (2022-02-07 20:51:54)
Verificar las sumas, que no sea inferior ni superior al 100%</t>
        </r>
      </text>
    </comment>
    <comment ref="F12" authorId="0" shapeId="0" xr:uid="{00000000-0006-0000-0200-000023000000}">
      <text>
        <r>
          <rPr>
            <sz val="11"/>
            <color theme="1"/>
            <rFont val="Calibri"/>
            <family val="2"/>
            <scheme val="minor"/>
          </rPr>
          <t>======
ID#AAAA6vXSyQ4
YULIED.PENARANDA    (2022-02-07 20:51:54)
No relacionar los datos en formula, debido a que al final no nos da la suma exacta.</t>
        </r>
      </text>
    </comment>
    <comment ref="S12" authorId="0" shapeId="0" xr:uid="{00000000-0006-0000-0200-000024000000}">
      <text>
        <r>
          <rPr>
            <sz val="11"/>
            <color theme="1"/>
            <rFont val="Calibri"/>
            <family val="2"/>
            <scheme val="minor"/>
          </rPr>
          <t>======
ID#AAAA6vXSyMI
YULIED.PENARANDA    (2022-02-07 20:51:54)
Verificar las sumas, que no sea inferior ni superior al 100%</t>
        </r>
      </text>
    </comment>
    <comment ref="F13" authorId="0" shapeId="0" xr:uid="{00000000-0006-0000-0200-000025000000}">
      <text>
        <r>
          <rPr>
            <sz val="11"/>
            <color theme="1"/>
            <rFont val="Calibri"/>
            <family val="2"/>
            <scheme val="minor"/>
          </rPr>
          <t>======
ID#AAAA6vXSyQY
YULIED.PENARANDA    (2022-02-07 20:51:54)
No relacionar los datos en formula, debido a que al final no nos da la suma exacta.</t>
        </r>
      </text>
    </comment>
    <comment ref="S13" authorId="0" shapeId="0" xr:uid="{00000000-0006-0000-0200-000026000000}">
      <text>
        <r>
          <rPr>
            <sz val="11"/>
            <color theme="1"/>
            <rFont val="Calibri"/>
            <family val="2"/>
            <scheme val="minor"/>
          </rPr>
          <t>======
ID#AAAA6vXSyNk
YULIED.PENARANDA    (2022-02-07 20:51:54)
Verificar las sumas, que no sea inferior ni superior al 100%</t>
        </r>
      </text>
    </comment>
    <comment ref="F14" authorId="0" shapeId="0" xr:uid="{00000000-0006-0000-0200-000027000000}">
      <text>
        <r>
          <rPr>
            <sz val="11"/>
            <color theme="1"/>
            <rFont val="Calibri"/>
            <family val="2"/>
            <scheme val="minor"/>
          </rPr>
          <t>======
ID#AAAA6vXSyEk
YULIED.PENARANDA    (2022-02-07 20:51:54)
No relacionar los datos en formula, debido a que al final no nos da la suma exacta.</t>
        </r>
      </text>
    </comment>
    <comment ref="T25" authorId="0" shapeId="0" xr:uid="{00000000-0006-0000-0200-000028000000}">
      <text>
        <r>
          <rPr>
            <sz val="11"/>
            <color theme="1"/>
            <rFont val="Calibri"/>
            <family val="2"/>
            <scheme val="minor"/>
          </rPr>
          <t>======
ID#AAAA6vXSyR4
YULIED.PENARANDA    (2022-02-07 20:51:54)
Nos debe dar 100%</t>
        </r>
      </text>
    </comment>
    <comment ref="U25" authorId="0" shapeId="0" xr:uid="{00000000-0006-0000-0200-000029000000}">
      <text>
        <r>
          <rPr>
            <sz val="11"/>
            <color theme="1"/>
            <rFont val="Calibri"/>
            <family val="2"/>
            <scheme val="minor"/>
          </rPr>
          <t>======
ID#AAAA6vXSyIk
YULIED.PENARANDA    (2022-02-07 20:51:54)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theme="1"/>
            <rFont val="Calibri"/>
            <family val="2"/>
            <scheme val="minor"/>
          </rPr>
          <t>======
ID#AAAA6vXSyPY
YULIED.PENARANDA    (2020-12-19 18:10:49)
Describir el nombre completo de la oficina, dirección o subdirección que gerencia el proyecto de inversión.</t>
        </r>
      </text>
    </comment>
    <comment ref="A5" authorId="0" shapeId="0" xr:uid="{00000000-0006-0000-0400-000002000000}">
      <text>
        <r>
          <rPr>
            <sz val="11"/>
            <color theme="1"/>
            <rFont val="Calibri"/>
            <family val="2"/>
            <scheme val="minor"/>
          </rPr>
          <t>======
ID#AAAA6vXSyEs
YULIED.PENARANDA    (2020-12-19 18:10:50)
Describir el número y nombre completo del proyecto de inversión.</t>
        </r>
      </text>
    </comment>
    <comment ref="A7" authorId="0" shapeId="0" xr:uid="{00000000-0006-0000-0400-000003000000}">
      <text>
        <r>
          <rPr>
            <sz val="11"/>
            <color theme="1"/>
            <rFont val="Calibri"/>
            <family val="2"/>
            <scheme val="minor"/>
          </rPr>
          <t>======
ID#AAAA6vXSyGo
YULIED.PENARANDA    (2020-12-19 18:10:49)
Corresponde a la información en firme de cada vigencia fiscal.</t>
        </r>
      </text>
    </comment>
    <comment ref="A8" authorId="0" shapeId="0" xr:uid="{00000000-0006-0000-0400-000004000000}">
      <text>
        <r>
          <rPr>
            <sz val="11"/>
            <color theme="1"/>
            <rFont val="Calibri"/>
            <family val="2"/>
            <scheme val="minor"/>
          </rPr>
          <t>======
ID#AAAA6vXSyD8
YULIED.PENARANDA    (2020-12-19 18:10:50)
Vigencia a reportar</t>
        </r>
      </text>
    </comment>
    <comment ref="C8" authorId="0" shapeId="0" xr:uid="{00000000-0006-0000-0400-000005000000}">
      <text>
        <r>
          <rPr>
            <sz val="11"/>
            <color theme="1"/>
            <rFont val="Calibri"/>
            <family val="2"/>
            <scheme val="minor"/>
          </rPr>
          <t>======
ID#AAAA6vXSyRA
YULIED.PENARANDA    (2020-12-19 18:10:49)
Apropiación inicial acorde con la herramienta oficial de la SDH</t>
        </r>
      </text>
    </comment>
    <comment ref="D8" authorId="0" shapeId="0" xr:uid="{00000000-0006-0000-0400-000006000000}">
      <text>
        <r>
          <rPr>
            <sz val="11"/>
            <color theme="1"/>
            <rFont val="Calibri"/>
            <family val="2"/>
            <scheme val="minor"/>
          </rPr>
          <t>======
ID#AAAA6vXSyIo
YULIED.PENARANDA    (2020-12-19 18:10:50)
Apropiación inicial + 0 - movimientos positivos y/o negativos, con este valor se proyecta los compromisos</t>
        </r>
      </text>
    </comment>
    <comment ref="E8" authorId="0" shapeId="0" xr:uid="{00000000-0006-0000-0400-000007000000}">
      <text>
        <r>
          <rPr>
            <sz val="11"/>
            <color theme="1"/>
            <rFont val="Calibri"/>
            <family val="2"/>
            <scheme val="minor"/>
          </rPr>
          <t>======
ID#AAAA6vXSyEc
YULIED.PENARANDA    (2020-12-19 18:10:49)
Valores contenidos en los Registros Presupuestales de Compromisos</t>
        </r>
      </text>
    </comment>
    <comment ref="F8" authorId="0" shapeId="0" xr:uid="{00000000-0006-0000-0400-000008000000}">
      <text>
        <r>
          <rPr>
            <sz val="11"/>
            <color theme="1"/>
            <rFont val="Calibri"/>
            <family val="2"/>
            <scheme val="minor"/>
          </rPr>
          <t>======
ID#AAAA6vXSyDE
YULIED.PENARANDA    (2020-12-19 18:10:49)
Corresponde al pago</t>
        </r>
      </text>
    </comment>
    <comment ref="G8" authorId="0" shapeId="0" xr:uid="{00000000-0006-0000-0400-000009000000}">
      <text>
        <r>
          <rPr>
            <sz val="11"/>
            <color theme="1"/>
            <rFont val="Calibri"/>
            <family val="2"/>
            <scheme val="minor"/>
          </rPr>
          <t>======
ID#AAAA6vXSyPE
YULIED.PENARANDA    (2020-12-19 18:10:49)
Extinción de la obligación a cargo de la SDA.</t>
        </r>
      </text>
    </comment>
    <comment ref="A16" authorId="0" shapeId="0" xr:uid="{00000000-0006-0000-0400-00000A000000}">
      <text>
        <r>
          <rPr>
            <sz val="11"/>
            <color theme="1"/>
            <rFont val="Calibri"/>
            <family val="2"/>
            <scheme val="minor"/>
          </rPr>
          <t>======
ID#AAAA6vXSyR8
YULIED.PENARANDA    (2020-12-19 18:10:49)
Corresponde a la información en firme de cada vigencia fiscal.</t>
        </r>
      </text>
    </comment>
    <comment ref="A17" authorId="0" shapeId="0" xr:uid="{00000000-0006-0000-0400-00000B000000}">
      <text>
        <r>
          <rPr>
            <sz val="11"/>
            <color theme="1"/>
            <rFont val="Calibri"/>
            <family val="2"/>
            <scheme val="minor"/>
          </rPr>
          <t>======
ID#AAAA6vXSyM4
YULIED.PENARANDA    (2020-12-19 18:10:49)
Vigencia a reportar</t>
        </r>
      </text>
    </comment>
    <comment ref="C17" authorId="0" shapeId="0" xr:uid="{00000000-0006-0000-0400-00000C000000}">
      <text>
        <r>
          <rPr>
            <sz val="11"/>
            <color theme="1"/>
            <rFont val="Calibri"/>
            <family val="2"/>
            <scheme val="minor"/>
          </rPr>
          <t>======
ID#AAAA6vXSySM
YULIED.PENARANDA    (2020-12-19 18:10:49)
Apropiación inicial acorde con la herramienta oficial de la SDH</t>
        </r>
      </text>
    </comment>
    <comment ref="D17" authorId="0" shapeId="0" xr:uid="{00000000-0006-0000-0400-00000D000000}">
      <text>
        <r>
          <rPr>
            <sz val="11"/>
            <color theme="1"/>
            <rFont val="Calibri"/>
            <family val="2"/>
            <scheme val="minor"/>
          </rPr>
          <t>======
ID#AAAA6vXSyCw
YULIED.PENARANDA    (2020-12-19 18:10:50)
Apropiación inicial + 0 - movimientos positivos y/o negativos, con este valor se proyecta los compromisos</t>
        </r>
      </text>
    </comment>
    <comment ref="E17" authorId="0" shapeId="0" xr:uid="{00000000-0006-0000-0400-00000E000000}">
      <text>
        <r>
          <rPr>
            <sz val="11"/>
            <color theme="1"/>
            <rFont val="Calibri"/>
            <family val="2"/>
            <scheme val="minor"/>
          </rPr>
          <t>======
ID#AAAA6vXSyMk
YULIED.PENARANDA    (2020-12-19 18:10:49)
Valores contenidos en los Registros Presupuestales de Compromisos</t>
        </r>
      </text>
    </comment>
    <comment ref="F17" authorId="0" shapeId="0" xr:uid="{00000000-0006-0000-0400-00000F000000}">
      <text>
        <r>
          <rPr>
            <sz val="11"/>
            <color theme="1"/>
            <rFont val="Calibri"/>
            <family val="2"/>
            <scheme val="minor"/>
          </rPr>
          <t>======
ID#AAAA6vXSyN0
YULIED.PENARANDA    (2020-12-19 18:10:49)
Corresponde al pago</t>
        </r>
      </text>
    </comment>
    <comment ref="G17" authorId="0" shapeId="0" xr:uid="{00000000-0006-0000-0400-000010000000}">
      <text>
        <r>
          <rPr>
            <sz val="11"/>
            <color theme="1"/>
            <rFont val="Calibri"/>
            <family val="2"/>
            <scheme val="minor"/>
          </rPr>
          <t>======
ID#AAAA6vXSyRI
YULIED.PENARANDA    (2020-12-19 18:10:50)
Extinción de la obligación a cargo de la SDA.</t>
        </r>
      </text>
    </comment>
    <comment ref="A31" authorId="0" shapeId="0" xr:uid="{00000000-0006-0000-0400-000011000000}">
      <text>
        <r>
          <rPr>
            <sz val="11"/>
            <color theme="1"/>
            <rFont val="Calibri"/>
            <family val="2"/>
            <scheme val="minor"/>
          </rPr>
          <t>======
ID#AAAA6vXSyGE
YULIED.PENARANDA    (2020-12-19 18:10:49)
Corresponde a la información en firme de cada vigencia fiscal.</t>
        </r>
      </text>
    </comment>
    <comment ref="A32" authorId="0" shapeId="0" xr:uid="{00000000-0006-0000-0400-000012000000}">
      <text>
        <r>
          <rPr>
            <sz val="11"/>
            <color theme="1"/>
            <rFont val="Calibri"/>
            <family val="2"/>
            <scheme val="minor"/>
          </rPr>
          <t>======
ID#AAAA6vXSyDI
YULIED.PENARANDA    (2020-12-19 18:10:49)
Vigencia a reportar</t>
        </r>
      </text>
    </comment>
    <comment ref="C32" authorId="0" shapeId="0" xr:uid="{00000000-0006-0000-0400-000013000000}">
      <text>
        <r>
          <rPr>
            <sz val="11"/>
            <color theme="1"/>
            <rFont val="Calibri"/>
            <family val="2"/>
            <scheme val="minor"/>
          </rPr>
          <t>======
ID#AAAA6vXSyLI
YULIED.PENARANDA    (2020-12-19 18:10:49)
Apropiación inicial acorde con la herramienta oficial de la SDH</t>
        </r>
      </text>
    </comment>
    <comment ref="D32" authorId="0" shapeId="0" xr:uid="{00000000-0006-0000-0400-000014000000}">
      <text>
        <r>
          <rPr>
            <sz val="11"/>
            <color theme="1"/>
            <rFont val="Calibri"/>
            <family val="2"/>
            <scheme val="minor"/>
          </rPr>
          <t>======
ID#AAAA6vXSyMs
YULIED.PENARANDA    (2020-12-19 18:10:49)
Apropiación inicial + 0 - movimientos positivos y/o negativos, con este valor se proyecta los compromisos</t>
        </r>
      </text>
    </comment>
    <comment ref="E32" authorId="0" shapeId="0" xr:uid="{00000000-0006-0000-0400-000015000000}">
      <text>
        <r>
          <rPr>
            <sz val="11"/>
            <color theme="1"/>
            <rFont val="Calibri"/>
            <family val="2"/>
            <scheme val="minor"/>
          </rPr>
          <t>======
ID#AAAA6vXSyNU
YULIED.PENARANDA    (2020-12-19 18:10:49)
Valores contenidos en los Registros Presupuestales de Compromisos</t>
        </r>
      </text>
    </comment>
    <comment ref="F32" authorId="0" shapeId="0" xr:uid="{00000000-0006-0000-0400-000016000000}">
      <text>
        <r>
          <rPr>
            <sz val="11"/>
            <color theme="1"/>
            <rFont val="Calibri"/>
            <family val="2"/>
            <scheme val="minor"/>
          </rPr>
          <t>======
ID#AAAA6vXSyRs
YULIED.PENARANDA    (2020-12-19 18:10:49)
Corresponde al pago</t>
        </r>
      </text>
    </comment>
    <comment ref="G32" authorId="0" shapeId="0" xr:uid="{00000000-0006-0000-0400-000017000000}">
      <text>
        <r>
          <rPr>
            <sz val="11"/>
            <color theme="1"/>
            <rFont val="Calibri"/>
            <family val="2"/>
            <scheme val="minor"/>
          </rPr>
          <t>======
ID#AAAA6vXSyGQ
YULIED.PENARANDA    (2020-12-19 18:10:49)
Extinción de la obligación a cargo de la SDA.</t>
        </r>
      </text>
    </comment>
    <comment ref="A46" authorId="0" shapeId="0" xr:uid="{00000000-0006-0000-0400-000018000000}">
      <text>
        <r>
          <rPr>
            <sz val="11"/>
            <color theme="1"/>
            <rFont val="Calibri"/>
            <family val="2"/>
            <scheme val="minor"/>
          </rPr>
          <t>======
ID#AAAA6vXSyC0
YULIED.PENARANDA    (2020-12-19 18:10:49)
Corresponde a la información en firme de cada vigencia fiscal.</t>
        </r>
      </text>
    </comment>
    <comment ref="A47" authorId="0" shapeId="0" xr:uid="{00000000-0006-0000-0400-000019000000}">
      <text>
        <r>
          <rPr>
            <sz val="11"/>
            <color theme="1"/>
            <rFont val="Calibri"/>
            <family val="2"/>
            <scheme val="minor"/>
          </rPr>
          <t>======
ID#AAAA6vXSySg
YULIED.PENARANDA    (2020-12-19 18:10:49)
Vigencia a reportar</t>
        </r>
      </text>
    </comment>
    <comment ref="C47" authorId="0" shapeId="0" xr:uid="{00000000-0006-0000-0400-00001A000000}">
      <text>
        <r>
          <rPr>
            <sz val="11"/>
            <color theme="1"/>
            <rFont val="Calibri"/>
            <family val="2"/>
            <scheme val="minor"/>
          </rPr>
          <t>======
ID#AAAA6vXSyQk
YULIED.PENARANDA    (2020-12-19 18:10:49)
Apropiación inicial acorde con la herramienta oficial de la SDH</t>
        </r>
      </text>
    </comment>
    <comment ref="D47" authorId="0" shapeId="0" xr:uid="{00000000-0006-0000-0400-00001B000000}">
      <text>
        <r>
          <rPr>
            <sz val="11"/>
            <color theme="1"/>
            <rFont val="Calibri"/>
            <family val="2"/>
            <scheme val="minor"/>
          </rPr>
          <t>======
ID#AAAA6vXSyTA
YULIED.PENARANDA    (2020-12-19 18:10:49)
Apropiación inicial + 0 - movimientos positivos y/o negativos, con este valor se proyecta los compromisos</t>
        </r>
      </text>
    </comment>
    <comment ref="E47" authorId="0" shapeId="0" xr:uid="{00000000-0006-0000-0400-00001C000000}">
      <text>
        <r>
          <rPr>
            <sz val="11"/>
            <color theme="1"/>
            <rFont val="Calibri"/>
            <family val="2"/>
            <scheme val="minor"/>
          </rPr>
          <t>======
ID#AAAA6vXSyH8
YULIED.PENARANDA    (2020-12-19 18:10:49)
Valores contenidos en los Registros Presupuestales de Compromisos</t>
        </r>
      </text>
    </comment>
    <comment ref="F47" authorId="0" shapeId="0" xr:uid="{00000000-0006-0000-0400-00001D000000}">
      <text>
        <r>
          <rPr>
            <sz val="11"/>
            <color theme="1"/>
            <rFont val="Calibri"/>
            <family val="2"/>
            <scheme val="minor"/>
          </rPr>
          <t>======
ID#AAAA6vXSyIc
YULIED.PENARANDA    (2020-12-19 18:10:49)
Corresponde al pago</t>
        </r>
      </text>
    </comment>
    <comment ref="G47" authorId="0" shapeId="0" xr:uid="{00000000-0006-0000-0400-00001E000000}">
      <text>
        <r>
          <rPr>
            <sz val="11"/>
            <color theme="1"/>
            <rFont val="Calibri"/>
            <family val="2"/>
            <scheme val="minor"/>
          </rPr>
          <t>======
ID#AAAA6vXSyQo
YULIED.PENARANDA    (2020-12-19 18:10:49)
Extinción de la obligación a cargo de la SDA.</t>
        </r>
      </text>
    </comment>
    <comment ref="A61" authorId="0" shapeId="0" xr:uid="{00000000-0006-0000-0400-00001F000000}">
      <text>
        <r>
          <rPr>
            <sz val="11"/>
            <color theme="1"/>
            <rFont val="Calibri"/>
            <family val="2"/>
            <scheme val="minor"/>
          </rPr>
          <t>======
ID#AAAA6vXSyMM
YULIED.PENARANDA    (2020-12-19 18:10:49)
Corresponde a la información en firme de cada vigencia fiscal.</t>
        </r>
      </text>
    </comment>
    <comment ref="A62" authorId="0" shapeId="0" xr:uid="{00000000-0006-0000-0400-000020000000}">
      <text>
        <r>
          <rPr>
            <sz val="11"/>
            <color theme="1"/>
            <rFont val="Calibri"/>
            <family val="2"/>
            <scheme val="minor"/>
          </rPr>
          <t>======
ID#AAAA6vXSyMo
YULIED.PENARANDA    (2020-12-19 18:10:49)
Vigencia a reportar</t>
        </r>
      </text>
    </comment>
    <comment ref="C62" authorId="0" shapeId="0" xr:uid="{00000000-0006-0000-0400-000021000000}">
      <text>
        <r>
          <rPr>
            <sz val="11"/>
            <color theme="1"/>
            <rFont val="Calibri"/>
            <family val="2"/>
            <scheme val="minor"/>
          </rPr>
          <t>======
ID#AAAA6vXSyEY
YULIED.PENARANDA    (2020-12-19 18:10:49)
Apropiación inicial acorde con la herramienta oficial de la SDH</t>
        </r>
      </text>
    </comment>
    <comment ref="D62" authorId="0" shapeId="0" xr:uid="{00000000-0006-0000-0400-000022000000}">
      <text>
        <r>
          <rPr>
            <sz val="11"/>
            <color theme="1"/>
            <rFont val="Calibri"/>
            <family val="2"/>
            <scheme val="minor"/>
          </rPr>
          <t>======
ID#AAAA6vXSyDs
YULIED.PENARANDA    (2020-12-19 18:10:49)
Apropiación inicial + 0 - movimientos positivos y/o negativos, con este valor se proyecta los compromisos</t>
        </r>
      </text>
    </comment>
    <comment ref="E62" authorId="0" shapeId="0" xr:uid="{00000000-0006-0000-0400-000023000000}">
      <text>
        <r>
          <rPr>
            <sz val="11"/>
            <color theme="1"/>
            <rFont val="Calibri"/>
            <family val="2"/>
            <scheme val="minor"/>
          </rPr>
          <t>======
ID#AAAA6vXSyDg
YULIED.PENARANDA    (2020-12-19 18:10:49)
Valores contenidos en los Registros Presupuestales de Compromisos</t>
        </r>
      </text>
    </comment>
    <comment ref="F62" authorId="0" shapeId="0" xr:uid="{00000000-0006-0000-0400-000024000000}">
      <text>
        <r>
          <rPr>
            <sz val="11"/>
            <color theme="1"/>
            <rFont val="Calibri"/>
            <family val="2"/>
            <scheme val="minor"/>
          </rPr>
          <t>======
ID#AAAA6vXSyNw
YULIED.PENARANDA    (2020-12-19 18:10:49)
Corresponde al pago</t>
        </r>
      </text>
    </comment>
    <comment ref="G62" authorId="0" shapeId="0" xr:uid="{00000000-0006-0000-0400-000025000000}">
      <text>
        <r>
          <rPr>
            <sz val="11"/>
            <color theme="1"/>
            <rFont val="Calibri"/>
            <family val="2"/>
            <scheme val="minor"/>
          </rPr>
          <t>======
ID#AAAA6vXSyJU
YULIED.PENARANDA    (2020-12-19 18:10:49)
Extinción de la obligación a cargo de la SDA.</t>
        </r>
      </text>
    </comment>
    <comment ref="A76" authorId="0" shapeId="0" xr:uid="{00000000-0006-0000-0400-000026000000}">
      <text>
        <r>
          <rPr>
            <sz val="11"/>
            <color theme="1"/>
            <rFont val="Calibri"/>
            <family val="2"/>
            <scheme val="minor"/>
          </rPr>
          <t>======
ID#AAAA6vXSyRY
YULIED.PENARANDA    (2020-12-19 18:10:49)
Avance productos e indicadores de productos (según cadena de valor)
NOTA: Desagregar cuadro cuantas veces tenga productos y/o indicadores asociados</t>
        </r>
      </text>
    </comment>
    <comment ref="A77" authorId="0" shapeId="0" xr:uid="{00000000-0006-0000-0400-000027000000}">
      <text>
        <r>
          <rPr>
            <sz val="11"/>
            <color theme="1"/>
            <rFont val="Calibri"/>
            <family val="2"/>
            <scheme val="minor"/>
          </rPr>
          <t>======
ID#AAAA6vXSyKs
YULIED.PENARANDA    (2020-12-19 18:10:49)
Vigencia a reportar</t>
        </r>
      </text>
    </comment>
    <comment ref="B77" authorId="0" shapeId="0" xr:uid="{00000000-0006-0000-0400-000028000000}">
      <text>
        <r>
          <rPr>
            <sz val="11"/>
            <color theme="1"/>
            <rFont val="Calibri"/>
            <family val="2"/>
            <scheme val="minor"/>
          </rPr>
          <t>======
ID#AAAA6vXSySs
YULIED.PENARANDA    (2020-12-19 18:10:49)
Describir los objetivo específico del proyecto, como se definió en la formulación del proyecto</t>
        </r>
      </text>
    </comment>
    <comment ref="C77" authorId="0" shapeId="0" xr:uid="{00000000-0006-0000-0400-000029000000}">
      <text>
        <r>
          <rPr>
            <sz val="11"/>
            <color theme="1"/>
            <rFont val="Calibri"/>
            <family val="2"/>
            <scheme val="minor"/>
          </rPr>
          <t>======
ID#AAAA6vXSySA
YULIED.PENARANDA    (2020-12-19 18:10:49)
Describir los productos del proyecto, como se definió en la formulación del proyecto y de acuerdo con el catálogo de productos DNP</t>
        </r>
      </text>
    </comment>
    <comment ref="D77" authorId="0" shapeId="0" xr:uid="{00000000-0006-0000-0400-00002A000000}">
      <text>
        <r>
          <rPr>
            <sz val="11"/>
            <color theme="1"/>
            <rFont val="Calibri"/>
            <family val="2"/>
            <scheme val="minor"/>
          </rPr>
          <t>======
ID#AAAA6vXSyQM
YULIED.PENARANDA    (2020-12-19 18:10:49)
Nombre completo del indicador. Expresión verbal, precisa y concreta del patrón de evaluación.</t>
        </r>
      </text>
    </comment>
    <comment ref="E77" authorId="0" shapeId="0" xr:uid="{00000000-0006-0000-0400-00002B000000}">
      <text>
        <r>
          <rPr>
            <sz val="11"/>
            <color theme="1"/>
            <rFont val="Calibri"/>
            <family val="2"/>
            <scheme val="minor"/>
          </rPr>
          <t>======
ID#AAAA6vXSyEI
YULIED.PENARANDA    (2020-12-19 18:10:49)
Unidad cualitativa del indicador, define las características de la magnitud a realizar seguimiento. Eje: Hectáreas, estrategias, modelos, etc.</t>
        </r>
      </text>
    </comment>
    <comment ref="F77" authorId="0" shapeId="0" xr:uid="{00000000-0006-0000-0400-00002C000000}">
      <text>
        <r>
          <rPr>
            <sz val="11"/>
            <color theme="1"/>
            <rFont val="Calibri"/>
            <family val="2"/>
            <scheme val="minor"/>
          </rPr>
          <t>======
ID#AAAA6vXSyIs
YULIED.PENARANDA    (2020-12-19 18:10:49)
Ponderación del indicador se realiza de acuerdo al peso que cada producto tiene en el caso total del proyecto.</t>
        </r>
      </text>
    </comment>
    <comment ref="G77" authorId="0" shapeId="0" xr:uid="{00000000-0006-0000-0400-00002D000000}">
      <text>
        <r>
          <rPr>
            <sz val="11"/>
            <color theme="1"/>
            <rFont val="Calibri"/>
            <family val="2"/>
            <scheme val="minor"/>
          </rPr>
          <t>======
ID#AAAA6vXSyKo
YULIED.PENARANDA    (2020-12-19 18:10:49)
Nombre completo de la Meta  del Plan de Desarrollo, como se relaciona en el de gestión</t>
        </r>
      </text>
    </comment>
    <comment ref="N77" authorId="0" shapeId="0" xr:uid="{00000000-0006-0000-0400-00002E000000}">
      <text>
        <r>
          <rPr>
            <sz val="11"/>
            <color theme="1"/>
            <rFont val="Calibri"/>
            <family val="2"/>
            <scheme val="minor"/>
          </rPr>
          <t>======
ID#AAAA6vXSyCo
YULIED.PENARANDA    (2020-12-19 18:10:49)
Descripción concreta del avance, máximo de caracteres 200</t>
        </r>
      </text>
    </comment>
    <comment ref="A110" authorId="0" shapeId="0" xr:uid="{00000000-0006-0000-0400-00002F000000}">
      <text>
        <r>
          <rPr>
            <sz val="11"/>
            <color theme="1"/>
            <rFont val="Calibri"/>
            <family val="2"/>
            <scheme val="minor"/>
          </rPr>
          <t>======
ID#AAAA6vXSyHc
YULIED.PENARANDA    (2020-12-19 18:10:49)
Avance productos e indicadores de productos (según cadena de valor)
NOTA: Desagregar cuadro cuantas veces tenga productos y/o indicadores asociados</t>
        </r>
      </text>
    </comment>
    <comment ref="A111" authorId="0" shapeId="0" xr:uid="{00000000-0006-0000-0400-000030000000}">
      <text>
        <r>
          <rPr>
            <sz val="11"/>
            <color theme="1"/>
            <rFont val="Calibri"/>
            <family val="2"/>
            <scheme val="minor"/>
          </rPr>
          <t>======
ID#AAAA6vXSyFY
YULIED.PENARANDA    (2020-12-19 18:10:49)
Vigencia a reportar</t>
        </r>
      </text>
    </comment>
    <comment ref="B111" authorId="0" shapeId="0" xr:uid="{00000000-0006-0000-0400-000031000000}">
      <text>
        <r>
          <rPr>
            <sz val="11"/>
            <color theme="1"/>
            <rFont val="Calibri"/>
            <family val="2"/>
            <scheme val="minor"/>
          </rPr>
          <t>======
ID#AAAA6vXSyDA
YULIED.PENARANDA    (2020-12-19 18:10:49)
Describir los objetivo específico del proyecto, como se definió en la formulación del proyecto</t>
        </r>
      </text>
    </comment>
    <comment ref="C111" authorId="0" shapeId="0" xr:uid="{00000000-0006-0000-0400-000032000000}">
      <text>
        <r>
          <rPr>
            <sz val="11"/>
            <color theme="1"/>
            <rFont val="Calibri"/>
            <family val="2"/>
            <scheme val="minor"/>
          </rPr>
          <t>======
ID#AAAA6vXSyJ0
YULIED.PENARANDA    (2020-12-19 18:10:49)
Describir los productos del proyecto, como se definió en la formulación del proyecto y de acuerdo con el catálogo de productos DNP</t>
        </r>
      </text>
    </comment>
    <comment ref="D111" authorId="0" shapeId="0" xr:uid="{00000000-0006-0000-0400-000033000000}">
      <text>
        <r>
          <rPr>
            <sz val="11"/>
            <color theme="1"/>
            <rFont val="Calibri"/>
            <family val="2"/>
            <scheme val="minor"/>
          </rPr>
          <t>======
ID#AAAA6vXSyNI
YULIED.PENARANDA    (2020-12-19 18:10:49)
Nombre completo del indicador. Expresión verbal, precisa y concreta del patrón de evaluación.</t>
        </r>
      </text>
    </comment>
    <comment ref="E111" authorId="0" shapeId="0" xr:uid="{00000000-0006-0000-0400-000034000000}">
      <text>
        <r>
          <rPr>
            <sz val="11"/>
            <color theme="1"/>
            <rFont val="Calibri"/>
            <family val="2"/>
            <scheme val="minor"/>
          </rPr>
          <t>======
ID#AAAA6vXSyJs
YULIED.PENARANDA    (2020-12-19 18:10:49)
Unidad cualitativa del indicador, define las características de la magnitud a realizar seguimiento. Eje: Hectáreas, estrategias, modelos, etc.</t>
        </r>
      </text>
    </comment>
    <comment ref="F111" authorId="0" shapeId="0" xr:uid="{00000000-0006-0000-0400-000035000000}">
      <text>
        <r>
          <rPr>
            <sz val="11"/>
            <color theme="1"/>
            <rFont val="Calibri"/>
            <family val="2"/>
            <scheme val="minor"/>
          </rPr>
          <t>======
ID#AAAA6vXSyQE
YULIED.PENARANDA    (2020-12-19 18:10:50)
Ponderación del indicador se realiza de acuerdo al peso que cada producto tiene en el caso total del proyecto.</t>
        </r>
      </text>
    </comment>
    <comment ref="G111" authorId="0" shapeId="0" xr:uid="{00000000-0006-0000-0400-000036000000}">
      <text>
        <r>
          <rPr>
            <sz val="11"/>
            <color theme="1"/>
            <rFont val="Calibri"/>
            <family val="2"/>
            <scheme val="minor"/>
          </rPr>
          <t>======
ID#AAAA6vXSyEg
YULIED.PENARANDA    (2020-12-19 18:10:49)
Nombre completo de la Meta  del Plan de Desarrollo, como se relaciona en el de gestión</t>
        </r>
      </text>
    </comment>
    <comment ref="N111" authorId="0" shapeId="0" xr:uid="{00000000-0006-0000-0400-000037000000}">
      <text>
        <r>
          <rPr>
            <sz val="11"/>
            <color theme="1"/>
            <rFont val="Calibri"/>
            <family val="2"/>
            <scheme val="minor"/>
          </rPr>
          <t>======
ID#AAAA6vXSyEA
YULIED.PENARANDA    (2020-12-19 18:10:49)
Descripción concreta del avance, máximo de caracteres 200</t>
        </r>
      </text>
    </comment>
    <comment ref="A173" authorId="0" shapeId="0" xr:uid="{00000000-0006-0000-0400-000038000000}">
      <text>
        <r>
          <rPr>
            <sz val="11"/>
            <color theme="1"/>
            <rFont val="Calibri"/>
            <family val="2"/>
            <scheme val="minor"/>
          </rPr>
          <t>======
ID#AAAA6vXSyTQ
YULIED.PENARANDA    (2020-12-19 18:10:49)
Avance productos e indicadores de productos (según cadena de valor)
NOTA: Desagregar cuadro cuantas veces tenga productos y/o indicadores asociados</t>
        </r>
      </text>
    </comment>
    <comment ref="A174" authorId="0" shapeId="0" xr:uid="{00000000-0006-0000-0400-000039000000}">
      <text>
        <r>
          <rPr>
            <sz val="11"/>
            <color theme="1"/>
            <rFont val="Calibri"/>
            <family val="2"/>
            <scheme val="minor"/>
          </rPr>
          <t>======
ID#AAAA6vXSyGM
YULIED.PENARANDA    (2020-12-19 18:10:49)
Vigencia a reportar</t>
        </r>
      </text>
    </comment>
    <comment ref="B174" authorId="0" shapeId="0" xr:uid="{00000000-0006-0000-0400-00003A000000}">
      <text>
        <r>
          <rPr>
            <sz val="11"/>
            <color theme="1"/>
            <rFont val="Calibri"/>
            <family val="2"/>
            <scheme val="minor"/>
          </rPr>
          <t>======
ID#AAAA6vXSyHA
YULIED.PENARANDA    (2020-12-19 18:10:49)
Describir los objetivo específico del proyecto, como se definió en la formulación del proyecto</t>
        </r>
      </text>
    </comment>
    <comment ref="C174" authorId="0" shapeId="0" xr:uid="{00000000-0006-0000-0400-00003B000000}">
      <text>
        <r>
          <rPr>
            <sz val="11"/>
            <color theme="1"/>
            <rFont val="Calibri"/>
            <family val="2"/>
            <scheme val="minor"/>
          </rPr>
          <t>======
ID#AAAA6vXSyTM
YULIED.PENARANDA    (2020-12-19 18:10:49)
Describir los productos del proyecto, como se definió en la formulación del proyecto y de acuerdo con el catálogo de productos DNP</t>
        </r>
      </text>
    </comment>
    <comment ref="D174" authorId="0" shapeId="0" xr:uid="{00000000-0006-0000-0400-00003C000000}">
      <text>
        <r>
          <rPr>
            <sz val="11"/>
            <color theme="1"/>
            <rFont val="Calibri"/>
            <family val="2"/>
            <scheme val="minor"/>
          </rPr>
          <t>======
ID#AAAA6vXSyHs
YULIED.PENARANDA    (2020-12-19 18:10:49)
Nombre completo del indicador. Expresión verbal, precisa y concreta del patrón de evaluación.</t>
        </r>
      </text>
    </comment>
    <comment ref="E174" authorId="0" shapeId="0" xr:uid="{00000000-0006-0000-0400-00003D000000}">
      <text>
        <r>
          <rPr>
            <sz val="11"/>
            <color theme="1"/>
            <rFont val="Calibri"/>
            <family val="2"/>
            <scheme val="minor"/>
          </rPr>
          <t>======
ID#AAAA6vXSyCc
YULIED.PENARANDA    (2020-12-19 18:10:49)
Unidad cualitativa del indicador, define las características de la magnitud a realizar seguimiento. Eje: Hectáreas, estrategias, modelos, etc.</t>
        </r>
      </text>
    </comment>
    <comment ref="F174" authorId="0" shapeId="0" xr:uid="{00000000-0006-0000-0400-00003E000000}">
      <text>
        <r>
          <rPr>
            <sz val="11"/>
            <color theme="1"/>
            <rFont val="Calibri"/>
            <family val="2"/>
            <scheme val="minor"/>
          </rPr>
          <t>======
ID#AAAA6vXSyHo
YULIED.PENARANDA    (2020-12-19 18:10:49)
Ponderación del indicador se realiza de acuerdo al peso que cada producto tiene en el caso total del proyecto.</t>
        </r>
      </text>
    </comment>
    <comment ref="G174" authorId="0" shapeId="0" xr:uid="{00000000-0006-0000-0400-00003F000000}">
      <text>
        <r>
          <rPr>
            <sz val="11"/>
            <color theme="1"/>
            <rFont val="Calibri"/>
            <family val="2"/>
            <scheme val="minor"/>
          </rPr>
          <t>======
ID#AAAA6vXSyDY
YULIED.PENARANDA    (2020-12-19 18:10:50)
Nombre completo de la Meta  del Plan de Desarrollo, como se relaciona en el de gestión</t>
        </r>
      </text>
    </comment>
    <comment ref="N174" authorId="0" shapeId="0" xr:uid="{00000000-0006-0000-0400-000040000000}">
      <text>
        <r>
          <rPr>
            <sz val="11"/>
            <color theme="1"/>
            <rFont val="Calibri"/>
            <family val="2"/>
            <scheme val="minor"/>
          </rPr>
          <t>======
ID#AAAA6vXSyKE
YULIED.PENARANDA    (2020-12-19 18:10:49)
Descripción concreta del avance, máximo de caracteres 200</t>
        </r>
      </text>
    </comment>
    <comment ref="A236" authorId="0" shapeId="0" xr:uid="{00000000-0006-0000-0400-000041000000}">
      <text>
        <r>
          <rPr>
            <sz val="11"/>
            <color theme="1"/>
            <rFont val="Calibri"/>
            <family val="2"/>
            <scheme val="minor"/>
          </rPr>
          <t>======
ID#AAAA6vXSyQQ
YULIED.PENARANDA    (2020-12-19 18:10:49)
Avance productos e indicadores de productos (según cadena de valor)
NOTA: Desagregar cuadro cuantas veces tenga productos y/o indicadores asociados</t>
        </r>
      </text>
    </comment>
    <comment ref="A237" authorId="0" shapeId="0" xr:uid="{00000000-0006-0000-0400-000042000000}">
      <text>
        <r>
          <rPr>
            <sz val="11"/>
            <color theme="1"/>
            <rFont val="Calibri"/>
            <family val="2"/>
            <scheme val="minor"/>
          </rPr>
          <t>======
ID#AAAA6vXSyHE
YULIED.PENARANDA    (2020-12-19 18:10:49)
Vigencia a reportar</t>
        </r>
      </text>
    </comment>
    <comment ref="B237" authorId="0" shapeId="0" xr:uid="{00000000-0006-0000-0400-000043000000}">
      <text>
        <r>
          <rPr>
            <sz val="11"/>
            <color theme="1"/>
            <rFont val="Calibri"/>
            <family val="2"/>
            <scheme val="minor"/>
          </rPr>
          <t>======
ID#AAAA6vXSyLA
YULIED.PENARANDA    (2020-12-19 18:10:49)
Describir los objetivo específico del proyecto, como se definió en la formulación del proyecto</t>
        </r>
      </text>
    </comment>
    <comment ref="C237" authorId="0" shapeId="0" xr:uid="{00000000-0006-0000-0400-000044000000}">
      <text>
        <r>
          <rPr>
            <sz val="11"/>
            <color theme="1"/>
            <rFont val="Calibri"/>
            <family val="2"/>
            <scheme val="minor"/>
          </rPr>
          <t>======
ID#AAAA6vXSyFc
YULIED.PENARANDA    (2020-12-19 18:10:49)
Describir los productos del proyecto, como se definió en la formulación del proyecto y de acuerdo con el catálogo de productos DNP</t>
        </r>
      </text>
    </comment>
    <comment ref="D237" authorId="0" shapeId="0" xr:uid="{00000000-0006-0000-0400-000045000000}">
      <text>
        <r>
          <rPr>
            <sz val="11"/>
            <color theme="1"/>
            <rFont val="Calibri"/>
            <family val="2"/>
            <scheme val="minor"/>
          </rPr>
          <t>======
ID#AAAA6vXSyHU
YULIED.PENARANDA    (2020-12-19 18:10:50)
Nombre completo del indicador. Expresión verbal, precisa y concreta del patrón de evaluación.</t>
        </r>
      </text>
    </comment>
    <comment ref="E237" authorId="0" shapeId="0" xr:uid="{00000000-0006-0000-0400-000046000000}">
      <text>
        <r>
          <rPr>
            <sz val="11"/>
            <color theme="1"/>
            <rFont val="Calibri"/>
            <family val="2"/>
            <scheme val="minor"/>
          </rPr>
          <t>======
ID#AAAA6vXSyQU
YULIED.PENARANDA    (2020-12-19 18:10:49)
Unidad cualitativa del indicador, define las características de la magnitud a realizar seguimiento. Eje: Hectáreas, estrategias, modelos, etc.</t>
        </r>
      </text>
    </comment>
    <comment ref="F237" authorId="0" shapeId="0" xr:uid="{00000000-0006-0000-0400-000047000000}">
      <text>
        <r>
          <rPr>
            <sz val="11"/>
            <color theme="1"/>
            <rFont val="Calibri"/>
            <family val="2"/>
            <scheme val="minor"/>
          </rPr>
          <t>======
ID#AAAA6vXSyQ8
YULIED.PENARANDA    (2020-12-19 18:10:49)
Ponderación del indicador se realiza de acuerdo al peso que cada producto tiene en el caso total del proyecto.</t>
        </r>
      </text>
    </comment>
    <comment ref="G237" authorId="0" shapeId="0" xr:uid="{00000000-0006-0000-0400-000048000000}">
      <text>
        <r>
          <rPr>
            <sz val="11"/>
            <color theme="1"/>
            <rFont val="Calibri"/>
            <family val="2"/>
            <scheme val="minor"/>
          </rPr>
          <t>======
ID#AAAA6vXSyPk
YULIED.PENARANDA    (2020-12-19 18:10:49)
Nombre completo de la Meta  del Plan de Desarrollo, como se relaciona en el de gestión</t>
        </r>
      </text>
    </comment>
    <comment ref="N237" authorId="0" shapeId="0" xr:uid="{00000000-0006-0000-0400-000049000000}">
      <text>
        <r>
          <rPr>
            <sz val="11"/>
            <color theme="1"/>
            <rFont val="Calibri"/>
            <family val="2"/>
            <scheme val="minor"/>
          </rPr>
          <t>======
ID#AAAA6vXSyGw
YULIED.PENARANDA    (2020-12-19 18:10:49)
Descripción concreta del avance, máximo de caracteres 200</t>
        </r>
      </text>
    </comment>
    <comment ref="A300" authorId="0" shapeId="0" xr:uid="{00000000-0006-0000-0400-00004A000000}">
      <text>
        <r>
          <rPr>
            <sz val="11"/>
            <color theme="1"/>
            <rFont val="Calibri"/>
            <family val="2"/>
            <scheme val="minor"/>
          </rPr>
          <t>======
ID#AAAA6vXSyNE
YULIED.PENARANDA    (2020-12-19 18:10:49)
Avance productos e indicadores de productos (según cadena de valor)
NOTA: Desagregar cuadro cuantas veces tenga productos y/o indicadores asociados</t>
        </r>
      </text>
    </comment>
    <comment ref="A301" authorId="0" shapeId="0" xr:uid="{00000000-0006-0000-0400-00004B000000}">
      <text>
        <r>
          <rPr>
            <sz val="11"/>
            <color theme="1"/>
            <rFont val="Calibri"/>
            <family val="2"/>
            <scheme val="minor"/>
          </rPr>
          <t>======
ID#AAAA6vXSyHk
YULIED.PENARANDA    (2020-12-19 18:10:49)
Vigencia a reportar</t>
        </r>
      </text>
    </comment>
    <comment ref="B301" authorId="0" shapeId="0" xr:uid="{00000000-0006-0000-0400-00004C000000}">
      <text>
        <r>
          <rPr>
            <sz val="11"/>
            <color theme="1"/>
            <rFont val="Calibri"/>
            <family val="2"/>
            <scheme val="minor"/>
          </rPr>
          <t>======
ID#AAAA6vXSyP8
YULIED.PENARANDA    (2020-12-19 18:10:49)
Describir los objetivo específico del proyecto, como se definió en la formulación del proyecto</t>
        </r>
      </text>
    </comment>
    <comment ref="C301" authorId="0" shapeId="0" xr:uid="{00000000-0006-0000-0400-00004D000000}">
      <text>
        <r>
          <rPr>
            <sz val="11"/>
            <color theme="1"/>
            <rFont val="Calibri"/>
            <family val="2"/>
            <scheme val="minor"/>
          </rPr>
          <t>======
ID#AAAA6vXSyS4
YULIED.PENARANDA    (2020-12-19 18:10:50)
Describir los productos del proyecto, como se definió en la formulación del proyecto y de acuerdo con el catálogo de productos DNP</t>
        </r>
      </text>
    </comment>
    <comment ref="D301" authorId="0" shapeId="0" xr:uid="{00000000-0006-0000-0400-00004E000000}">
      <text>
        <r>
          <rPr>
            <sz val="11"/>
            <color theme="1"/>
            <rFont val="Calibri"/>
            <family val="2"/>
            <scheme val="minor"/>
          </rPr>
          <t>======
ID#AAAA6vXSyEQ
YULIED.PENARANDA    (2020-12-19 18:10:50)
Nombre completo del indicador. Expresión verbal, precisa y concreta del patrón de evaluación.</t>
        </r>
      </text>
    </comment>
    <comment ref="E301" authorId="0" shapeId="0" xr:uid="{00000000-0006-0000-0400-00004F000000}">
      <text>
        <r>
          <rPr>
            <sz val="11"/>
            <color theme="1"/>
            <rFont val="Calibri"/>
            <family val="2"/>
            <scheme val="minor"/>
          </rPr>
          <t>======
ID#AAAA6vXSyKQ
YULIED.PENARANDA    (2020-12-19 18:10:49)
Unidad cualitativa del indicador, define las características de la magnitud a realizar seguimiento. Eje: Hectáreas, estrategias, modelos, etc.</t>
        </r>
      </text>
    </comment>
    <comment ref="F301" authorId="0" shapeId="0" xr:uid="{00000000-0006-0000-0400-000050000000}">
      <text>
        <r>
          <rPr>
            <sz val="11"/>
            <color theme="1"/>
            <rFont val="Calibri"/>
            <family val="2"/>
            <scheme val="minor"/>
          </rPr>
          <t>======
ID#AAAA6vXSyJE
YULIED.PENARANDA    (2020-12-19 18:10:50)
Ponderación del indicador se realiza de acuerdo al peso que cada producto tiene en el caso total del proyecto.</t>
        </r>
      </text>
    </comment>
    <comment ref="G301" authorId="0" shapeId="0" xr:uid="{00000000-0006-0000-0400-000051000000}">
      <text>
        <r>
          <rPr>
            <sz val="11"/>
            <color theme="1"/>
            <rFont val="Calibri"/>
            <family val="2"/>
            <scheme val="minor"/>
          </rPr>
          <t>======
ID#AAAA6vXSyGk
YULIED.PENARANDA    (2020-12-19 18:10:49)
Nombre completo de la Meta  del Plan de Desarrollo, como se relaciona en el de gestión</t>
        </r>
      </text>
    </comment>
    <comment ref="N301" authorId="0" shapeId="0" xr:uid="{00000000-0006-0000-0400-000052000000}">
      <text>
        <r>
          <rPr>
            <sz val="11"/>
            <color theme="1"/>
            <rFont val="Calibri"/>
            <family val="2"/>
            <scheme val="minor"/>
          </rPr>
          <t>======
ID#AAAA6vXSyIM
YULIED.PENARANDA    (2020-12-19 18:10:49)
Descripción concreta del avance, máximo de caracteres 200</t>
        </r>
      </text>
    </comment>
    <comment ref="A338" authorId="0" shapeId="0" xr:uid="{00000000-0006-0000-0400-000053000000}">
      <text>
        <r>
          <rPr>
            <sz val="11"/>
            <color theme="1"/>
            <rFont val="Calibri"/>
            <family val="2"/>
            <scheme val="minor"/>
          </rPr>
          <t>======
ID#AAAA6vXSyDc
YULIED.PENARANDA    (2020-12-19 18:10:49)
YULIED.PENARANDA
Distribuir las obligaciones del proyecto entre las diferentes actividades que hacen parte de un producto y un objetivo específico.
NOTA: Desagregar cuadro cuantas veces tenga productos asociados</t>
        </r>
      </text>
    </comment>
    <comment ref="A339" authorId="0" shapeId="0" xr:uid="{00000000-0006-0000-0400-000054000000}">
      <text>
        <r>
          <rPr>
            <sz val="11"/>
            <color theme="1"/>
            <rFont val="Calibri"/>
            <family val="2"/>
            <scheme val="minor"/>
          </rPr>
          <t>======
ID#AAAA6vXSyMA
YULIED.PENARANDA    (2020-12-19 18:10:49)
Vigencia a reportar</t>
        </r>
      </text>
    </comment>
    <comment ref="B339" authorId="0" shapeId="0" xr:uid="{00000000-0006-0000-0400-000055000000}">
      <text>
        <r>
          <rPr>
            <sz val="11"/>
            <color theme="1"/>
            <rFont val="Calibri"/>
            <family val="2"/>
            <scheme val="minor"/>
          </rPr>
          <t>======
ID#AAAA6vXSyG4
YULIED.PENARANDA    (2020-12-19 18:10:50)
Describir los objetivo específico del proyecto, como se definió en la formulación del proyecto</t>
        </r>
      </text>
    </comment>
    <comment ref="C339" authorId="0" shapeId="0" xr:uid="{00000000-0006-0000-0400-000056000000}">
      <text>
        <r>
          <rPr>
            <sz val="11"/>
            <color theme="1"/>
            <rFont val="Calibri"/>
            <family val="2"/>
            <scheme val="minor"/>
          </rPr>
          <t>======
ID#AAAA6vXSyIY
YULIED.PENARANDA    (2020-12-19 18:10:50)
Describir los productos del proyecto, como se definió en la formulación del proyecto y de acuerdo con el catálogo de productos del DNP.</t>
        </r>
      </text>
    </comment>
    <comment ref="D339" authorId="0" shapeId="0" xr:uid="{00000000-0006-0000-0400-000057000000}">
      <text>
        <r>
          <rPr>
            <sz val="11"/>
            <color theme="1"/>
            <rFont val="Calibri"/>
            <family val="2"/>
            <scheme val="minor"/>
          </rPr>
          <t>======
ID#AAAA6vXSyK0
YULIED.PENARANDA    (2020-12-19 18:10:49)
Nombre completo del indicador. Expresión verbal, precisa y concreta del patrón de evaluación.</t>
        </r>
      </text>
    </comment>
    <comment ref="G339" authorId="0" shapeId="0" xr:uid="{00000000-0006-0000-0400-000058000000}">
      <text>
        <r>
          <rPr>
            <sz val="11"/>
            <color theme="1"/>
            <rFont val="Calibri"/>
            <family val="2"/>
            <scheme val="minor"/>
          </rPr>
          <t>======
ID#AAAA6vXSyIA
YULIED.PENARANDA    (2020-12-19 18:10:49)
Descripción concreta del avance, máximo de caracteres 200</t>
        </r>
      </text>
    </comment>
    <comment ref="A401" authorId="0" shapeId="0" xr:uid="{00000000-0006-0000-0400-000059000000}">
      <text>
        <r>
          <rPr>
            <sz val="11"/>
            <color theme="1"/>
            <rFont val="Calibri"/>
            <family val="2"/>
            <scheme val="minor"/>
          </rPr>
          <t>======
ID#AAAA6vXSyFg
YULIED.PENARANDA    (2020-12-19 18:10:50)
YULIED.PENARANDA
Distribuir las obligaciones del proyecto entre las diferentes actividades que hacen parte de un producto y un objetivo específico.
NOTA: Desagregar cuadro cuantas veces tenga productos asociados</t>
        </r>
      </text>
    </comment>
    <comment ref="A402" authorId="0" shapeId="0" xr:uid="{00000000-0006-0000-0400-00005A000000}">
      <text>
        <r>
          <rPr>
            <sz val="11"/>
            <color theme="1"/>
            <rFont val="Calibri"/>
            <family val="2"/>
            <scheme val="minor"/>
          </rPr>
          <t>======
ID#AAAA6vXSyOk
YULIED.PENARANDA    (2020-12-19 18:10:49)
Vigencia a reportar</t>
        </r>
      </text>
    </comment>
    <comment ref="B402" authorId="0" shapeId="0" xr:uid="{00000000-0006-0000-0400-00005B000000}">
      <text>
        <r>
          <rPr>
            <sz val="11"/>
            <color theme="1"/>
            <rFont val="Calibri"/>
            <family val="2"/>
            <scheme val="minor"/>
          </rPr>
          <t>======
ID#AAAA6vXSyHI
YULIED.PENARANDA    (2020-12-19 18:10:49)
Describir los objetivo específico del proyecto, como se definió en la formulación del proyecto</t>
        </r>
      </text>
    </comment>
    <comment ref="C402" authorId="0" shapeId="0" xr:uid="{00000000-0006-0000-0400-00005C000000}">
      <text>
        <r>
          <rPr>
            <sz val="11"/>
            <color theme="1"/>
            <rFont val="Calibri"/>
            <family val="2"/>
            <scheme val="minor"/>
          </rPr>
          <t>======
ID#AAAA6vXSyFM
YULIED.PENARANDA    (2020-12-19 18:10:49)
Describir los productos del proyecto, como se definió en la formulación del proyecto y de acuerdo con el catálogo de productos del DNP.</t>
        </r>
      </text>
    </comment>
    <comment ref="D402" authorId="0" shapeId="0" xr:uid="{00000000-0006-0000-0400-00005D000000}">
      <text>
        <r>
          <rPr>
            <sz val="11"/>
            <color theme="1"/>
            <rFont val="Calibri"/>
            <family val="2"/>
            <scheme val="minor"/>
          </rPr>
          <t>======
ID#AAAA6vXSySY
YULIED.PENARANDA    (2020-12-19 18:10:49)
Nombre completo del indicador. Expresión verbal, precisa y concreta del patrón de evaluación.</t>
        </r>
      </text>
    </comment>
    <comment ref="G402" authorId="0" shapeId="0" xr:uid="{00000000-0006-0000-0400-00005E000000}">
      <text>
        <r>
          <rPr>
            <sz val="11"/>
            <color theme="1"/>
            <rFont val="Calibri"/>
            <family val="2"/>
            <scheme val="minor"/>
          </rPr>
          <t>======
ID#AAAA6vXSyCk
YULIED.PENARANDA    (2020-12-19 18:10:49)
Descripción concreta del avance, máximo de caracteres 200</t>
        </r>
      </text>
    </comment>
    <comment ref="A464" authorId="0" shapeId="0" xr:uid="{00000000-0006-0000-0400-00005F000000}">
      <text>
        <r>
          <rPr>
            <sz val="11"/>
            <color theme="1"/>
            <rFont val="Calibri"/>
            <family val="2"/>
            <scheme val="minor"/>
          </rPr>
          <t>======
ID#AAAA6vXSyLM
YULIED.PENARANDA    (2020-12-19 18:10:49)
YULIED.PENARANDA
Distribuir las obligaciones del proyecto entre las diferentes actividades que hacen parte de un producto y un objetivo específico.
NOTA: Desagregar cuadro cuantas veces tenga productos asociados</t>
        </r>
      </text>
    </comment>
    <comment ref="A465" authorId="0" shapeId="0" xr:uid="{00000000-0006-0000-0400-000060000000}">
      <text>
        <r>
          <rPr>
            <sz val="11"/>
            <color theme="1"/>
            <rFont val="Calibri"/>
            <family val="2"/>
            <scheme val="minor"/>
          </rPr>
          <t>======
ID#AAAA6vXSyCs
YULIED.PENARANDA    (2020-12-19 18:10:49)
Vigencia a reportar</t>
        </r>
      </text>
    </comment>
    <comment ref="B465" authorId="0" shapeId="0" xr:uid="{00000000-0006-0000-0400-000061000000}">
      <text>
        <r>
          <rPr>
            <sz val="11"/>
            <color theme="1"/>
            <rFont val="Calibri"/>
            <family val="2"/>
            <scheme val="minor"/>
          </rPr>
          <t>======
ID#AAAA6vXSyQc
YULIED.PENARANDA    (2020-12-19 18:10:50)
Describir los objetivo específico del proyecto, como se definió en la formulación del proyecto</t>
        </r>
      </text>
    </comment>
    <comment ref="C465" authorId="0" shapeId="0" xr:uid="{00000000-0006-0000-0400-000062000000}">
      <text>
        <r>
          <rPr>
            <sz val="11"/>
            <color theme="1"/>
            <rFont val="Calibri"/>
            <family val="2"/>
            <scheme val="minor"/>
          </rPr>
          <t>======
ID#AAAA6vXSyL4
YULIED.PENARANDA    (2020-12-19 18:10:49)
Describir los productos del proyecto, como se definió en la formulación del proyecto y de acuerdo con el catálogo de productos del DNP.</t>
        </r>
      </text>
    </comment>
    <comment ref="D465" authorId="0" shapeId="0" xr:uid="{00000000-0006-0000-0400-000063000000}">
      <text>
        <r>
          <rPr>
            <sz val="11"/>
            <color theme="1"/>
            <rFont val="Calibri"/>
            <family val="2"/>
            <scheme val="minor"/>
          </rPr>
          <t>======
ID#AAAA6vXSyF4
YULIED.PENARANDA    (2020-12-19 18:10:49)
Nombre completo del indicador. Expresión verbal, precisa y concreta del patrón de evaluación.</t>
        </r>
      </text>
    </comment>
    <comment ref="G465" authorId="0" shapeId="0" xr:uid="{00000000-0006-0000-0400-000064000000}">
      <text>
        <r>
          <rPr>
            <sz val="11"/>
            <color theme="1"/>
            <rFont val="Calibri"/>
            <family val="2"/>
            <scheme val="minor"/>
          </rPr>
          <t>======
ID#AAAA6vXSySI
YULIED.PENARANDA    (2020-12-19 18:10:50)
Descripción concreta del avance, máximo de caracteres 200</t>
        </r>
      </text>
    </comment>
    <comment ref="A527" authorId="0" shapeId="0" xr:uid="{00000000-0006-0000-0400-000065000000}">
      <text>
        <r>
          <rPr>
            <sz val="11"/>
            <color theme="1"/>
            <rFont val="Calibri"/>
            <family val="2"/>
            <scheme val="minor"/>
          </rPr>
          <t>======
ID#AAAA6vXSyPI
YULIED.PENARANDA    (2020-12-19 18:10:49)
YULIED.PENARANDA
Distribuir las obligaciones del proyecto entre las diferentes actividades que hacen parte de un producto y un objetivo específico.
NOTA: Desagregar cuadro cuantas veces tenga productos asociados</t>
        </r>
      </text>
    </comment>
    <comment ref="A528" authorId="0" shapeId="0" xr:uid="{00000000-0006-0000-0400-000066000000}">
      <text>
        <r>
          <rPr>
            <sz val="11"/>
            <color theme="1"/>
            <rFont val="Calibri"/>
            <family val="2"/>
            <scheme val="minor"/>
          </rPr>
          <t>======
ID#AAAA6vXSyL8
YULIED.PENARANDA    (2020-12-19 18:10:49)
Vigencia a reportar</t>
        </r>
      </text>
    </comment>
    <comment ref="B528" authorId="0" shapeId="0" xr:uid="{00000000-0006-0000-0400-000067000000}">
      <text>
        <r>
          <rPr>
            <sz val="11"/>
            <color theme="1"/>
            <rFont val="Calibri"/>
            <family val="2"/>
            <scheme val="minor"/>
          </rPr>
          <t>======
ID#AAAA6vXSyOE
YULIED.PENARANDA    (2020-12-19 18:10:49)
Describir los objetivo específico del proyecto, como se definió en la formulación del proyecto</t>
        </r>
      </text>
    </comment>
    <comment ref="C528" authorId="0" shapeId="0" xr:uid="{00000000-0006-0000-0400-000068000000}">
      <text>
        <r>
          <rPr>
            <sz val="11"/>
            <color theme="1"/>
            <rFont val="Calibri"/>
            <family val="2"/>
            <scheme val="minor"/>
          </rPr>
          <t>======
ID#AAAA6vXSyJg
YULIED.PENARANDA    (2020-12-19 18:10:49)
Describir los productos del proyecto, como se definió en la formulación del proyecto y de acuerdo con el catálogo de productos del DNP.</t>
        </r>
      </text>
    </comment>
    <comment ref="D528" authorId="0" shapeId="0" xr:uid="{00000000-0006-0000-0400-000069000000}">
      <text>
        <r>
          <rPr>
            <sz val="11"/>
            <color theme="1"/>
            <rFont val="Calibri"/>
            <family val="2"/>
            <scheme val="minor"/>
          </rPr>
          <t>======
ID#AAAA6vXSyOo
YULIED.PENARANDA    (2020-12-19 18:10:49)
Nombre completo del indicador. Expresión verbal, precisa y concreta del patrón de evaluación.</t>
        </r>
      </text>
    </comment>
    <comment ref="G528" authorId="0" shapeId="0" xr:uid="{00000000-0006-0000-0400-00006A000000}">
      <text>
        <r>
          <rPr>
            <sz val="11"/>
            <color theme="1"/>
            <rFont val="Calibri"/>
            <family val="2"/>
            <scheme val="minor"/>
          </rPr>
          <t>======
ID#AAAA6vXSyFs
YULIED.PENARANDA    (2020-12-19 18:10:50)
Descripción concreta del avance, máximo de caracteres 200</t>
        </r>
      </text>
    </comment>
    <comment ref="A561" authorId="0" shapeId="0" xr:uid="{00000000-0006-0000-0400-00006B000000}">
      <text>
        <r>
          <rPr>
            <sz val="11"/>
            <color theme="1"/>
            <rFont val="Calibri"/>
            <family val="2"/>
            <scheme val="minor"/>
          </rPr>
          <t>======
ID#AAAA6vXSyRc
YULIED.PENARANDA    (2020-12-19 18:10:49)
Avance indicadores de gestión
NOTA: Desagregar cuadro cuantas veces tenga indicadores asociados</t>
        </r>
      </text>
    </comment>
    <comment ref="A562" authorId="0" shapeId="0" xr:uid="{00000000-0006-0000-0400-00006C000000}">
      <text>
        <r>
          <rPr>
            <sz val="11"/>
            <color theme="1"/>
            <rFont val="Calibri"/>
            <family val="2"/>
            <scheme val="minor"/>
          </rPr>
          <t>======
ID#AAAA6vXSyMQ
YULIED.PENARANDA    (2020-12-19 18:10:49)
Vigencia a reportar</t>
        </r>
      </text>
    </comment>
    <comment ref="B562" authorId="0" shapeId="0" xr:uid="{00000000-0006-0000-0400-00006D000000}">
      <text>
        <r>
          <rPr>
            <sz val="11"/>
            <color theme="1"/>
            <rFont val="Calibri"/>
            <family val="2"/>
            <scheme val="minor"/>
          </rPr>
          <t>======
ID#AAAA6vXSyFw
YULIED.PENARANDA    (2020-12-19 18:10:49)
Nombre completo del indicador. Expresión verbal, precisa y concreta del patrón de evaluación.</t>
        </r>
      </text>
    </comment>
    <comment ref="C562" authorId="0" shapeId="0" xr:uid="{00000000-0006-0000-0400-00006E000000}">
      <text>
        <r>
          <rPr>
            <sz val="11"/>
            <color theme="1"/>
            <rFont val="Calibri"/>
            <family val="2"/>
            <scheme val="minor"/>
          </rPr>
          <t>======
ID#AAAA6vXSyPs
YULIED.PENARANDA    (2020-12-19 18:10:50)
Unidad del indicador, define las características de la magnitud a realizar seguimiento. Eje: Hectáreas, estrategias, modelos, número etc.</t>
        </r>
      </text>
    </comment>
    <comment ref="D562" authorId="0" shapeId="0" xr:uid="{00000000-0006-0000-0400-00006F000000}">
      <text>
        <r>
          <rPr>
            <sz val="11"/>
            <color theme="1"/>
            <rFont val="Calibri"/>
            <family val="2"/>
            <scheme val="minor"/>
          </rPr>
          <t>======
ID#AAAA6vXSyLo
YULIED.PENARANDA    (2020-12-19 18:10:49)
Peso porcentual de acuerdo con la distribución de los indicadores de gestión.</t>
        </r>
      </text>
    </comment>
    <comment ref="H562" authorId="0" shapeId="0" xr:uid="{00000000-0006-0000-0400-000070000000}">
      <text>
        <r>
          <rPr>
            <sz val="11"/>
            <color theme="1"/>
            <rFont val="Calibri"/>
            <family val="2"/>
            <scheme val="minor"/>
          </rPr>
          <t>======
ID#AAAA6vXSyPg
YULIED.PENARANDA    (2020-12-19 18:10:49)
Descripción concreta del avance, máximo de caracteres 200</t>
        </r>
      </text>
    </comment>
    <comment ref="A595" authorId="0" shapeId="0" xr:uid="{00000000-0006-0000-0400-000071000000}">
      <text>
        <r>
          <rPr>
            <sz val="11"/>
            <color theme="1"/>
            <rFont val="Calibri"/>
            <family val="2"/>
            <scheme val="minor"/>
          </rPr>
          <t>======
ID#AAAA6vXSyDw
YULIED.PENARANDA    (2020-12-19 18:10:49)
Avance indicadores de gestión
NOTA: Desagregar cuadro cuantas veces tenga indicadores asociados</t>
        </r>
      </text>
    </comment>
    <comment ref="A596" authorId="0" shapeId="0" xr:uid="{00000000-0006-0000-0400-000072000000}">
      <text>
        <r>
          <rPr>
            <sz val="11"/>
            <color theme="1"/>
            <rFont val="Calibri"/>
            <family val="2"/>
            <scheme val="minor"/>
          </rPr>
          <t>======
ID#AAAA6vXSyNg
YULIED.PENARANDA    (2020-12-19 18:10:49)
Vigencia a reportar</t>
        </r>
      </text>
    </comment>
    <comment ref="B596" authorId="0" shapeId="0" xr:uid="{00000000-0006-0000-0400-000073000000}">
      <text>
        <r>
          <rPr>
            <sz val="11"/>
            <color theme="1"/>
            <rFont val="Calibri"/>
            <family val="2"/>
            <scheme val="minor"/>
          </rPr>
          <t>======
ID#AAAA6vXSyF0
YULIED.PENARANDA    (2020-12-19 18:10:49)
Nombre completo del indicador. Expresión verbal, precisa y concreta del patrón de evaluación.</t>
        </r>
      </text>
    </comment>
    <comment ref="C596" authorId="0" shapeId="0" xr:uid="{00000000-0006-0000-0400-000074000000}">
      <text>
        <r>
          <rPr>
            <sz val="11"/>
            <color theme="1"/>
            <rFont val="Calibri"/>
            <family val="2"/>
            <scheme val="minor"/>
          </rPr>
          <t>======
ID#AAAA6vXSyO0
YULIED.PENARANDA    (2020-12-19 18:10:49)
Unidad del indicador, define las características de la magnitud a realizar seguimiento. Eje: Hectáreas, estrategias, modelos, número etc.</t>
        </r>
      </text>
    </comment>
    <comment ref="D596" authorId="0" shapeId="0" xr:uid="{00000000-0006-0000-0400-000075000000}">
      <text>
        <r>
          <rPr>
            <sz val="11"/>
            <color theme="1"/>
            <rFont val="Calibri"/>
            <family val="2"/>
            <scheme val="minor"/>
          </rPr>
          <t>======
ID#AAAA6vXSyLc
YULIED.PENARANDA    (2020-12-19 18:10:49)
Peso porcentual de acuerdo con la distribución de los indicadores de gestión.</t>
        </r>
      </text>
    </comment>
    <comment ref="H596" authorId="0" shapeId="0" xr:uid="{00000000-0006-0000-0400-000076000000}">
      <text>
        <r>
          <rPr>
            <sz val="11"/>
            <color theme="1"/>
            <rFont val="Calibri"/>
            <family val="2"/>
            <scheme val="minor"/>
          </rPr>
          <t>======
ID#AAAA6vXSyQw
YULIED.PENARANDA    (2020-12-19 18:10:49)
Descripción concreta del avance, máximo de caracteres 200</t>
        </r>
      </text>
    </comment>
    <comment ref="A658" authorId="0" shapeId="0" xr:uid="{00000000-0006-0000-0400-000077000000}">
      <text>
        <r>
          <rPr>
            <sz val="11"/>
            <color theme="1"/>
            <rFont val="Calibri"/>
            <family val="2"/>
            <scheme val="minor"/>
          </rPr>
          <t>======
ID#AAAA6vXSyKI
YULIED.PENARANDA    (2020-12-19 18:10:49)
Avance indicadores de gestión.
NOTA: Desagregar cuadro cuantas veces tenga indicadores asociados</t>
        </r>
      </text>
    </comment>
    <comment ref="A659" authorId="0" shapeId="0" xr:uid="{00000000-0006-0000-0400-000078000000}">
      <text>
        <r>
          <rPr>
            <sz val="11"/>
            <color theme="1"/>
            <rFont val="Calibri"/>
            <family val="2"/>
            <scheme val="minor"/>
          </rPr>
          <t>======
ID#AAAA6vXSyC4
YULIED.PENARANDA    (2020-12-19 18:10:49)
Vigencia a reportar</t>
        </r>
      </text>
    </comment>
    <comment ref="B659" authorId="0" shapeId="0" xr:uid="{00000000-0006-0000-0400-000079000000}">
      <text>
        <r>
          <rPr>
            <sz val="11"/>
            <color theme="1"/>
            <rFont val="Calibri"/>
            <family val="2"/>
            <scheme val="minor"/>
          </rPr>
          <t>======
ID#AAAA6vXSyRU
YULIED.PENARANDA    (2020-12-19 18:10:49)
Nombre completo del indicador. Expresión verbal, precisa y concreta del patrón de evaluación.</t>
        </r>
      </text>
    </comment>
    <comment ref="C659" authorId="0" shapeId="0" xr:uid="{00000000-0006-0000-0400-00007A000000}">
      <text>
        <r>
          <rPr>
            <sz val="11"/>
            <color theme="1"/>
            <rFont val="Calibri"/>
            <family val="2"/>
            <scheme val="minor"/>
          </rPr>
          <t>======
ID#AAAA6vXSyKw
YULIED.PENARANDA    (2020-12-19 18:10:49)
Unidad del indicador, define las características de la magnitud a realizar seguimiento. Eje: Hectáreas, estrategias, modelos, número etc.</t>
        </r>
      </text>
    </comment>
    <comment ref="D659" authorId="0" shapeId="0" xr:uid="{00000000-0006-0000-0400-00007B000000}">
      <text>
        <r>
          <rPr>
            <sz val="11"/>
            <color theme="1"/>
            <rFont val="Calibri"/>
            <family val="2"/>
            <scheme val="minor"/>
          </rPr>
          <t>======
ID#AAAA6vXSyK8
YULIED.PENARANDA    (2020-12-19 18:10:49)
Peso porcentual de acuerdo con la distribución de los indicadores de gestión.</t>
        </r>
      </text>
    </comment>
    <comment ref="H659" authorId="0" shapeId="0" xr:uid="{00000000-0006-0000-0400-00007C000000}">
      <text>
        <r>
          <rPr>
            <sz val="11"/>
            <color theme="1"/>
            <rFont val="Calibri"/>
            <family val="2"/>
            <scheme val="minor"/>
          </rPr>
          <t>======
ID#AAAA6vXSyG8
YULIED.PENARANDA    (2020-12-19 18:10:49)
Descripción concreta del avance, máximo de caracteres 200</t>
        </r>
      </text>
    </comment>
    <comment ref="A721" authorId="0" shapeId="0" xr:uid="{00000000-0006-0000-0400-00007D000000}">
      <text>
        <r>
          <rPr>
            <sz val="11"/>
            <color theme="1"/>
            <rFont val="Calibri"/>
            <family val="2"/>
            <scheme val="minor"/>
          </rPr>
          <t>======
ID#AAAA6vXSyJM
YULIED.PENARANDA    (2020-12-19 18:10:50)
Avance indicadores de gestión.
NOTA: Desagregar cuadro cuantas veces tenga indicadores asociados</t>
        </r>
      </text>
    </comment>
    <comment ref="A722" authorId="0" shapeId="0" xr:uid="{00000000-0006-0000-0400-00007E000000}">
      <text>
        <r>
          <rPr>
            <sz val="11"/>
            <color theme="1"/>
            <rFont val="Calibri"/>
            <family val="2"/>
            <scheme val="minor"/>
          </rPr>
          <t>======
ID#AAAA6vXSyHM
YULIED.PENARANDA    (2020-12-19 18:10:49)
Vigencia a reportar</t>
        </r>
      </text>
    </comment>
    <comment ref="B722" authorId="0" shapeId="0" xr:uid="{00000000-0006-0000-0400-00007F000000}">
      <text>
        <r>
          <rPr>
            <sz val="11"/>
            <color theme="1"/>
            <rFont val="Calibri"/>
            <family val="2"/>
            <scheme val="minor"/>
          </rPr>
          <t>======
ID#AAAA6vXSyDM
YULIED.PENARANDA    (2020-12-19 18:10:49)
Nombre completo del indicador. Expresión verbal, precisa y concreta del patrón de evaluación.</t>
        </r>
      </text>
    </comment>
    <comment ref="C722" authorId="0" shapeId="0" xr:uid="{00000000-0006-0000-0400-000080000000}">
      <text>
        <r>
          <rPr>
            <sz val="11"/>
            <color theme="1"/>
            <rFont val="Calibri"/>
            <family val="2"/>
            <scheme val="minor"/>
          </rPr>
          <t>======
ID#AAAA6vXSyOM
YULIED.PENARANDA    (2020-12-19 18:10:49)
Unidad del indicador, define las características de la magnitud a realizar seguimiento. Eje: Hectáreas, estrategias, modelos, número etc.</t>
        </r>
      </text>
    </comment>
    <comment ref="D722" authorId="0" shapeId="0" xr:uid="{00000000-0006-0000-0400-000081000000}">
      <text>
        <r>
          <rPr>
            <sz val="11"/>
            <color theme="1"/>
            <rFont val="Calibri"/>
            <family val="2"/>
            <scheme val="minor"/>
          </rPr>
          <t>======
ID#AAAA6vXSyJY
YULIED.PENARANDA    (2020-12-19 18:10:50)
Peso porcentual de acuerdo con la distribución de los indicadores de gestión.</t>
        </r>
      </text>
    </comment>
    <comment ref="H722" authorId="0" shapeId="0" xr:uid="{00000000-0006-0000-0400-000082000000}">
      <text>
        <r>
          <rPr>
            <sz val="11"/>
            <color theme="1"/>
            <rFont val="Calibri"/>
            <family val="2"/>
            <scheme val="minor"/>
          </rPr>
          <t>======
ID#AAAA6vXSyPU
YULIED.PENARANDA    (2020-12-19 18:10:49)
Descripción concreta del avance, máximo de caracteres 200</t>
        </r>
      </text>
    </comment>
    <comment ref="A784" authorId="0" shapeId="0" xr:uid="{00000000-0006-0000-0400-000083000000}">
      <text>
        <r>
          <rPr>
            <sz val="11"/>
            <color theme="1"/>
            <rFont val="Calibri"/>
            <family val="2"/>
            <scheme val="minor"/>
          </rPr>
          <t>======
ID#AAAA6vXSyFk
YULIED.PENARANDA    (2020-12-19 18:10:49)
Avance indicadores de gestión.
NOTA: Desagregar cuadro cuantas veces tenga indicadores asociados</t>
        </r>
      </text>
    </comment>
    <comment ref="A785" authorId="0" shapeId="0" xr:uid="{00000000-0006-0000-0400-000084000000}">
      <text>
        <r>
          <rPr>
            <sz val="11"/>
            <color theme="1"/>
            <rFont val="Calibri"/>
            <family val="2"/>
            <scheme val="minor"/>
          </rPr>
          <t>======
ID#AAAA6vXSyEE
YULIED.PENARANDA    (2020-12-19 18:10:49)
Vigencia a reportar</t>
        </r>
      </text>
    </comment>
    <comment ref="B785" authorId="0" shapeId="0" xr:uid="{00000000-0006-0000-0400-000085000000}">
      <text>
        <r>
          <rPr>
            <sz val="11"/>
            <color theme="1"/>
            <rFont val="Calibri"/>
            <family val="2"/>
            <scheme val="minor"/>
          </rPr>
          <t>======
ID#AAAA6vXSyRo
YULIED.PENARANDA    (2020-12-19 18:10:49)
Nombre completo del indicador. Expresión verbal, precisa y concreta del patrón de evaluación.</t>
        </r>
      </text>
    </comment>
    <comment ref="C785" authorId="0" shapeId="0" xr:uid="{00000000-0006-0000-0400-000086000000}">
      <text>
        <r>
          <rPr>
            <sz val="11"/>
            <color theme="1"/>
            <rFont val="Calibri"/>
            <family val="2"/>
            <scheme val="minor"/>
          </rPr>
          <t>======
ID#AAAA6vXSyCg
YULIED.PENARANDA    (2020-12-19 18:10:49)
Unidad del indicador, define las características de la magnitud a realizar seguimiento. Eje: Hectáreas, estrategias, modelos, número etc.</t>
        </r>
      </text>
    </comment>
    <comment ref="D785" authorId="0" shapeId="0" xr:uid="{00000000-0006-0000-0400-000087000000}">
      <text>
        <r>
          <rPr>
            <sz val="11"/>
            <color theme="1"/>
            <rFont val="Calibri"/>
            <family val="2"/>
            <scheme val="minor"/>
          </rPr>
          <t>======
ID#AAAA6vXSyOA
YULIED.PENARANDA    (2020-12-19 18:10:49)
Peso porcentual de acuerdo con la distribución de los indicadores de gestión.</t>
        </r>
      </text>
    </comment>
    <comment ref="H785" authorId="0" shapeId="0" xr:uid="{00000000-0006-0000-0400-000088000000}">
      <text>
        <r>
          <rPr>
            <sz val="11"/>
            <color theme="1"/>
            <rFont val="Calibri"/>
            <family val="2"/>
            <scheme val="minor"/>
          </rPr>
          <t>======
ID#AAAA6vXSyNQ
YULIED.PENARANDA    (2020-12-19 18:10:49)
Descripción concreta del avance, máximo de caracteres 200</t>
        </r>
      </text>
    </comment>
  </commentList>
</comments>
</file>

<file path=xl/sharedStrings.xml><?xml version="1.0" encoding="utf-8"?>
<sst xmlns="http://schemas.openxmlformats.org/spreadsheetml/2006/main" count="3908" uniqueCount="926">
  <si>
    <t>DIRECCIONAMIENTO ESTRATÉGICO</t>
  </si>
  <si>
    <t>Formato: Programación, Actualización y Seguimiento del Plan de Acción -  Componente de gestión</t>
  </si>
  <si>
    <t>Código: PE01-PR02-F2</t>
  </si>
  <si>
    <t>Versión: 14</t>
  </si>
  <si>
    <t>DEPENDENCIA:</t>
  </si>
  <si>
    <t>DIRECCIÓN DE PLANEACIÓN Y SISTEMAS DE INFORMACIÓN AMBIENTAL</t>
  </si>
  <si>
    <t>CÓDIGO Y NOMBRE PROYECTO:</t>
  </si>
  <si>
    <t>7804 - FORTALECIMIENTO DE LA GESTIÓN DE INFORMACIÓN AMBIENTAL PRIORIZADA DE LA SDA. BOGOTÁ</t>
  </si>
  <si>
    <t>Propósito Plan de Desarrollo</t>
  </si>
  <si>
    <t>5 - CONSTRUIR BOGOTÁ-REGIÓN CON GOBIERNO ABIERTO, TRANSPARENTE Y CIUDADANÍA CONSCIENTE</t>
  </si>
  <si>
    <t>Programa Plan de Desarrollo</t>
  </si>
  <si>
    <t>53 - INFORMACIÓN PARA LA TOMA DE DECISIONES</t>
  </si>
  <si>
    <t>1. ESTRUCTURA DEL PLAN DE DESARROLLO</t>
  </si>
  <si>
    <t>2. PROGRAMACIÓN Y EJECUCIÓN</t>
  </si>
  <si>
    <t>3, % CUMPLIMIENTO 
(En el periodo)</t>
  </si>
  <si>
    <t>4, % CUMPLIMIENTO ACUMULADO (al periodo)</t>
  </si>
  <si>
    <t>5, % CUMPLIMIENTO ACUMULADO (Vigencia) SEGPLAN</t>
  </si>
  <si>
    <r>
      <rPr>
        <b/>
        <sz val="14"/>
        <color theme="1"/>
        <rFont val="Arial"/>
        <family val="2"/>
      </rPr>
      <t xml:space="preserve">6, % CUMPLIMIENTO ACUMULADO (al periodo) </t>
    </r>
    <r>
      <rPr>
        <b/>
        <sz val="16"/>
        <color theme="1"/>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</si>
  <si>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</si>
  <si>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</si>
  <si>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</si>
  <si>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</si>
  <si>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</si>
  <si>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</si>
  <si>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</si>
  <si>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</si>
  <si>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</si>
  <si>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</si>
  <si>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</si>
  <si>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</si>
  <si>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</si>
  <si>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</si>
  <si>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</si>
  <si>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</si>
  <si>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</si>
  <si>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</si>
  <si>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</si>
  <si>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</si>
  <si>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</si>
  <si>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</si>
  <si>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</si>
  <si>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</si>
  <si>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</si>
  <si>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</si>
  <si>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</si>
  <si>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</si>
  <si>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</si>
  <si>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</si>
  <si>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</si>
  <si>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</si>
  <si>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</si>
  <si>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</si>
  <si>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</si>
  <si>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</si>
  <si>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</si>
  <si>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</si>
  <si>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</si>
  <si>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</si>
  <si>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</si>
  <si>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</si>
  <si>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</si>
  <si>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</si>
  <si>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</si>
  <si>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</si>
  <si>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</si>
  <si>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</si>
  <si>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</si>
  <si>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</si>
  <si>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</si>
  <si>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</si>
  <si>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</si>
  <si>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</si>
  <si>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</si>
  <si>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</si>
  <si>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</si>
  <si>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</si>
  <si>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</si>
  <si>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</si>
  <si>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</si>
  <si>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</si>
  <si>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</si>
  <si>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</si>
  <si>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</si>
  <si>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</si>
  <si>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2021</t>
  </si>
  <si>
    <t>EJECUTADO ACUMUALDO AL PERIODO
 AÑO 2021</t>
  </si>
  <si>
    <t>PROGRAMADO ACUMULADO SEGPLAN
AÑO 2021</t>
  </si>
  <si>
    <t>EJECUTADO ACUMUALDO  SEGPLAN
 AÑO 2021</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</si>
  <si>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</si>
  <si>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</si>
  <si>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</si>
  <si>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</si>
  <si>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</si>
  <si>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</si>
  <si>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</si>
  <si>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</si>
  <si>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</si>
  <si>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</si>
  <si>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</si>
  <si>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</si>
  <si>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</si>
  <si>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</si>
  <si>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</si>
  <si>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</si>
  <si>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</si>
  <si>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</si>
  <si>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</si>
  <si>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</si>
  <si>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</si>
  <si>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</si>
  <si>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</si>
  <si>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</si>
  <si>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</si>
  <si>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2022</t>
  </si>
  <si>
    <t>EJECUTADO ACUMUALDO AL PERIODO
 AÑO 2022</t>
  </si>
  <si>
    <t>PROGRAMADO ACUMULADO SEGPLAN
AÑO 2022</t>
  </si>
  <si>
    <t>EJECUTADO ACUMUALDO  SEGPLAN
 AÑO 2022</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</si>
  <si>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</si>
  <si>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</si>
  <si>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</si>
  <si>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</si>
  <si>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</si>
  <si>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</si>
  <si>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</si>
  <si>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</si>
  <si>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</si>
  <si>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</si>
  <si>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</si>
  <si>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</si>
  <si>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</si>
  <si>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</si>
  <si>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</si>
  <si>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</si>
  <si>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</si>
  <si>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</si>
  <si>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</si>
  <si>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</si>
  <si>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</si>
  <si>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</si>
  <si>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</si>
  <si>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</si>
  <si>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</si>
  <si>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2023</t>
  </si>
  <si>
    <t>EJECUTADO ACUMUALDO AL PERIODO
 AÑO 2023</t>
  </si>
  <si>
    <t>PROGRAMADO ACUMULADO SEGPLAN
AÑO 2023</t>
  </si>
  <si>
    <t>EJECUTADO ACUMUALDO  SEGPLAN
 AÑO 2023</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</si>
  <si>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</si>
  <si>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</si>
  <si>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</si>
  <si>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</si>
  <si>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</si>
  <si>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</si>
  <si>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</si>
  <si>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</si>
  <si>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</si>
  <si>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</si>
  <si>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</si>
  <si>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</si>
  <si>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</si>
  <si>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</si>
  <si>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</si>
  <si>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</si>
  <si>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</si>
  <si>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</si>
  <si>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</si>
  <si>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</si>
  <si>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</si>
  <si>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</si>
  <si>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</si>
  <si>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</si>
  <si>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</si>
  <si>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2024</t>
  </si>
  <si>
    <t>EJECUTADO ACUMUALDO AL PERIODO
 AÑO 2024</t>
  </si>
  <si>
    <t>PROGRAMADO ACUMULADO SEGPLAN
AÑO 2024</t>
  </si>
  <si>
    <t>EJECUTADO ACUMUALDO  SEGPLAN
 AÑO 2024</t>
  </si>
  <si>
    <t xml:space="preserve">Fortalecer el 100% la gestión de la información ambiental priorizada de Bogotá. </t>
  </si>
  <si>
    <t>Porcentaje de avance en el fortalecimiento de gestión de la información ambiental de Bogotá priorizada</t>
  </si>
  <si>
    <t>Porcentaje</t>
  </si>
  <si>
    <t>Suma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</si>
  <si>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</si>
  <si>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</si>
  <si>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</si>
  <si>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</si>
  <si>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</si>
  <si>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</si>
  <si>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</si>
  <si>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</si>
  <si>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</si>
  <si>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</si>
  <si>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7804 -Fortalecimiento de la gestión de información ambiental priorizada de la SDA. Bogotá</t>
  </si>
  <si>
    <t>1,  INFORMACIÓN META DE PROYECTO</t>
  </si>
  <si>
    <t>2, PROGRAMACIÓN Y EJECUCIÓN</t>
  </si>
  <si>
    <t>6, % CUMPLIMIENTO ACUMULADO (al periodo)DEL CUATRIENIO</t>
  </si>
  <si>
    <t xml:space="preserve">9. RETRASOS 
</t>
  </si>
  <si>
    <t xml:space="preserve">10. SOLUCIONES PLANTEADAS </t>
  </si>
  <si>
    <t>11.  BENEFICIOS</t>
  </si>
  <si>
    <t>12.  FUENTE DE EVIDENCIAS</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</si>
  <si>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</si>
  <si>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</si>
  <si>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</si>
  <si>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</si>
  <si>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</si>
  <si>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</si>
  <si>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</si>
  <si>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</si>
  <si>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</si>
  <si>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</si>
  <si>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</si>
  <si>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</si>
  <si>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</si>
  <si>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</si>
  <si>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</si>
  <si>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</si>
  <si>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</si>
  <si>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</si>
  <si>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</si>
  <si>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</si>
  <si>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</si>
  <si>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</si>
  <si>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</si>
  <si>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</si>
  <si>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</si>
  <si>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</si>
  <si>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</si>
  <si>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</si>
  <si>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</si>
  <si>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</si>
  <si>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</si>
  <si>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</si>
  <si>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</si>
  <si>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</si>
  <si>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</si>
  <si>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</si>
  <si>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</si>
  <si>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</si>
  <si>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</si>
  <si>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</si>
  <si>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</si>
  <si>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</si>
  <si>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</si>
  <si>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</si>
  <si>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</si>
  <si>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</si>
  <si>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</si>
  <si>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</si>
  <si>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</si>
  <si>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</si>
  <si>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</si>
  <si>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</si>
  <si>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</si>
  <si>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</si>
  <si>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</si>
  <si>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</si>
  <si>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PROGRAMADO</t>
    </r>
    <r>
      <rPr>
        <b/>
        <sz val="14"/>
        <color theme="1"/>
        <rFont val="Arial"/>
        <family val="2"/>
      </rPr>
      <t xml:space="preserve"> 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</si>
  <si>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</si>
  <si>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</si>
  <si>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</si>
  <si>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</si>
  <si>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</si>
  <si>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</si>
  <si>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</si>
  <si>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</si>
  <si>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</si>
  <si>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</si>
  <si>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</si>
  <si>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</si>
  <si>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</si>
  <si>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</si>
  <si>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</si>
  <si>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</si>
  <si>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</si>
  <si>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</si>
  <si>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</si>
  <si>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</si>
  <si>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</si>
  <si>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</si>
  <si>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</si>
  <si>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</si>
  <si>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 xml:space="preserve">PROGRAMADO </t>
    </r>
    <r>
      <rPr>
        <b/>
        <sz val="14"/>
        <color theme="1"/>
        <rFont val="Arial"/>
        <family val="2"/>
      </rPr>
      <t>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</si>
  <si>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</si>
  <si>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</si>
  <si>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</si>
  <si>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</si>
  <si>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</si>
  <si>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</si>
  <si>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</si>
  <si>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</si>
  <si>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</si>
  <si>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</si>
  <si>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</si>
  <si>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</si>
  <si>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</si>
  <si>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</si>
  <si>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</si>
  <si>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</si>
  <si>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</si>
  <si>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</si>
  <si>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</si>
  <si>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</si>
  <si>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</si>
  <si>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</si>
  <si>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</si>
  <si>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</si>
  <si>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</si>
  <si>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</si>
  <si>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</si>
  <si>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</si>
  <si>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</si>
  <si>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</si>
  <si>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</si>
  <si>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</si>
  <si>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</si>
  <si>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</si>
  <si>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</si>
  <si>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</si>
  <si>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</si>
  <si>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</si>
  <si>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</si>
  <si>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</si>
  <si>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</si>
  <si>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Gestión de Sistemas de Información</t>
  </si>
  <si>
    <t>Actualizar 24 servicios de información que permitan la implementación de un modelo para la gestión de sistemas de información</t>
  </si>
  <si>
    <t>MAGNITUD  FÍSICA</t>
  </si>
  <si>
    <t>PRESUPUESTO VIGENCIA</t>
  </si>
  <si>
    <t>GIRO VIGENCIA</t>
  </si>
  <si>
    <t>MAGNITUD FÍSICA RESERVAS</t>
  </si>
  <si>
    <t>RESERVA PRESUPUESTAL</t>
  </si>
  <si>
    <t>TOTAL MAGNITUD FÍSICA</t>
  </si>
  <si>
    <t>TOTAL PRESUPUESTO DE LA META</t>
  </si>
  <si>
    <t>Gestión de Información</t>
  </si>
  <si>
    <t>Implementar 15 servicios de información que permitan la implementación de un modelo para la gestión de información</t>
  </si>
  <si>
    <t>Gestión de gobierno de TI</t>
  </si>
  <si>
    <t>Elaborar 15 documentos de planeación para la implementación del gobierno de TI de la entidad</t>
  </si>
  <si>
    <t>Servicios Tecnológicos</t>
  </si>
  <si>
    <t>Mejorar 38% de servicios tecnológicos en la SDA en el marco del Mintic</t>
  </si>
  <si>
    <t>Estrategia TI</t>
  </si>
  <si>
    <t>Elaborar 13 documentos para la planeación estratégica en TI</t>
  </si>
  <si>
    <t>TOTAL PROYECTO</t>
  </si>
  <si>
    <t>TOTAL PRESUPUESTO VIGENCIA  DEL PROYECTO</t>
  </si>
  <si>
    <t>TOTAL RESERVA PRESUPUESTAL DEL PROYECTO</t>
  </si>
  <si>
    <t>TOTAL PROYECTO VIGENCIA + RESERVAS</t>
  </si>
  <si>
    <t xml:space="preserve">   </t>
  </si>
  <si>
    <t>Formato: Programación, Actualización y Seguimiento del Plan de Acción - Componente de Actividades</t>
  </si>
  <si>
    <t>Codigo:PE01-PR02-F2</t>
  </si>
  <si>
    <r>
      <rPr>
        <b/>
        <sz val="20"/>
        <color theme="1"/>
        <rFont val="Arial"/>
        <family val="2"/>
      </rPr>
      <t>Versión:</t>
    </r>
    <r>
      <rPr>
        <b/>
        <sz val="20"/>
        <color rgb="FFFF0000"/>
        <rFont val="Arial"/>
        <family val="2"/>
      </rPr>
      <t xml:space="preserve"> </t>
    </r>
    <r>
      <rPr>
        <b/>
        <sz val="20"/>
        <color theme="1"/>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</si>
  <si>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</si>
  <si>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</si>
  <si>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</si>
  <si>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</si>
  <si>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</si>
  <si>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</si>
  <si>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</si>
  <si>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</si>
  <si>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</si>
  <si>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</si>
  <si>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</si>
  <si>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</si>
  <si>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</si>
  <si>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</si>
  <si>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</si>
  <si>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</si>
  <si>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</si>
  <si>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</si>
  <si>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</si>
  <si>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</si>
  <si>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</si>
  <si>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</si>
  <si>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</si>
  <si>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X</t>
  </si>
  <si>
    <t>Programado</t>
  </si>
  <si>
    <t>Ejecutado</t>
  </si>
  <si>
    <t>2. Realizar la Planeación y gestión de los Sistemas de Información (Servicio de Información para: Arquitecturas de referencia de sistemas de información)</t>
  </si>
  <si>
    <t>3. Realizar ajustes e implementación de los componentes de información (servicio de información: responsabilidad y gestión de componentes de información y  la calidad de los componentes de información)</t>
  </si>
  <si>
    <t>6. Incrementar los servicios de TI en la implementación del modelo de gestión de servicios tecnológicos de la SDA.</t>
  </si>
  <si>
    <t>7. Actualizar la documentación de la planeación estratégica con la mejora en la gestión de operación y apoyo a los procesos de la entidad</t>
  </si>
  <si>
    <t>8. Documentar la Gestión de iniciativas y proyectos de TI en la entidad</t>
  </si>
  <si>
    <t xml:space="preserve">TOTAL </t>
  </si>
  <si>
    <t>Se agregan  en el componente de gestión y de inversión nuevas columnas para establecer más patrones de medición</t>
  </si>
  <si>
    <r>
      <rPr>
        <sz val="12"/>
        <color theme="1"/>
        <rFont val="Arial"/>
        <family val="2"/>
      </rPr>
      <t xml:space="preserve">PROGRAMACIÓN, ACTUALIZACIÓN Y SEGUIMIENTO DEL PLAN DE ACCIÓN
Actualización y seguimiento a la </t>
    </r>
    <r>
      <rPr>
        <b/>
        <sz val="12"/>
        <color theme="1"/>
        <rFont val="Arial"/>
        <family val="2"/>
      </rPr>
      <t>Territorialización</t>
    </r>
  </si>
  <si>
    <t>PERIODO:</t>
  </si>
  <si>
    <t>1 INFORMACIÓN META DE PROYECTO</t>
  </si>
  <si>
    <t xml:space="preserve">2, ACTUALIZACIÓN </t>
  </si>
  <si>
    <t>3,EJECUTADO</t>
  </si>
  <si>
    <t>4, LOCALIZACIÓN GEOGRÁFICA</t>
  </si>
  <si>
    <t>5, ORIENTACIÓN</t>
  </si>
  <si>
    <t>10. POBLACIÓN</t>
  </si>
  <si>
    <t>1,1 COD. META</t>
  </si>
  <si>
    <t>1,2, Meta Proyecto</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</si>
  <si>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</si>
  <si>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</si>
  <si>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</si>
  <si>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</si>
  <si>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</si>
  <si>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</si>
  <si>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</si>
  <si>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</si>
  <si>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</si>
  <si>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</si>
  <si>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</si>
  <si>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</si>
  <si>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</si>
  <si>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</si>
  <si>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</si>
  <si>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</si>
  <si>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</si>
  <si>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</si>
  <si>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DISTRITAL
Chapinero</t>
  </si>
  <si>
    <t>DSTRITO CAPITAL</t>
  </si>
  <si>
    <t xml:space="preserve">ENTIDAD
DESCRIPCIÓN:  Construcción de l servicios de información y  mantenimiento y evolución de las estructuras de datos de información ambiental </t>
  </si>
  <si>
    <t xml:space="preserve">ENTIDAD
DESCRIPCIÓN: construcción de  documentos para la implementación del gobierno de TI </t>
  </si>
  <si>
    <t xml:space="preserve">ENTIDAD
DESCRIPCIÓN: mejoramiento en los servicios tecnológicos en la entidad </t>
  </si>
  <si>
    <t xml:space="preserve">ENTIDAD
DESCRIPCIÓN: construcción de  documentos para la implementación de la estrategia de TI </t>
  </si>
  <si>
    <t>TOTALES - PROYECTO</t>
  </si>
  <si>
    <t>TOTALES Rec. Vigencia</t>
  </si>
  <si>
    <t>TOTALES Rec. Reservas</t>
  </si>
  <si>
    <t>TOTAL PRESUPUESTO</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</si>
  <si>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</si>
  <si>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</si>
  <si>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</si>
  <si>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</si>
  <si>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</si>
  <si>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</si>
  <si>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</si>
  <si>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</si>
  <si>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</si>
  <si>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</si>
  <si>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</si>
  <si>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</si>
  <si>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</si>
  <si>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</si>
  <si>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</si>
  <si>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</si>
  <si>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</si>
  <si>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1-100-F001 - VA-RECURSOS DISTRITO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</si>
  <si>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</si>
  <si>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</si>
  <si>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</si>
  <si>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</si>
  <si>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</si>
  <si>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</si>
  <si>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</si>
  <si>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</si>
  <si>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</si>
  <si>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</si>
  <si>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</si>
  <si>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</si>
  <si>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</si>
  <si>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</si>
  <si>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</si>
  <si>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</si>
  <si>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</si>
  <si>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</si>
  <si>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</si>
  <si>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</si>
  <si>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</si>
  <si>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(300 Caracteres)</t>
  </si>
  <si>
    <t>1. Mejorar la gestión de los sistemas de información de la entidad</t>
  </si>
  <si>
    <t>Servicios de información actualizados (SI)</t>
  </si>
  <si>
    <t xml:space="preserve">Documentos de planeación  realizados </t>
  </si>
  <si>
    <t>Número de sistemas</t>
  </si>
  <si>
    <t>A 30 de julio del 2020 se llegó a un 0,10  de acuerdo a lo programado en la getión de los sistemas de información</t>
  </si>
  <si>
    <t>2. Aumentar el aprovechamiento de los datos generados por la entidad para la toma de decisiones con un modelo de gestión</t>
  </si>
  <si>
    <t>Servicios de información implementados (INF)</t>
  </si>
  <si>
    <t xml:space="preserve">Sistemas de información implementados </t>
  </si>
  <si>
    <t>A 30 de julio del 2020 se llegó a un 0,10 de acuerdo a lo programado en el aprovechamiento de los datos generados por la entidad en sistemas de información implementados</t>
  </si>
  <si>
    <t xml:space="preserve">3. Aumentar el nivel de adopción de aspectos de gobierno y control de las TI en la entidad  </t>
  </si>
  <si>
    <t>Documentos de planeación:</t>
  </si>
  <si>
    <t>Documentos de planeación realizados</t>
  </si>
  <si>
    <t>Número de documentos</t>
  </si>
  <si>
    <t>A 30 de julio del 2020 se llegó a un 0,12 de acuerdo a lo programado en los documentosde planeación de gobierno de TI</t>
  </si>
  <si>
    <t>4. Mejorar la articulación de las tecnologías de la información y la comunicación en la SDA</t>
  </si>
  <si>
    <t>Servicios tecnológicos</t>
  </si>
  <si>
    <t xml:space="preserve"> Índice de capacidad en la prestación de servicios de tecnología</t>
  </si>
  <si>
    <t>Porcentaje de Capacidad</t>
  </si>
  <si>
    <t>A 30 de julio del 2020 se llegó a un 0,18%  de acuerdo a lo programado en la articulación de las tecnologías de la información</t>
  </si>
  <si>
    <t>5. Aumentar el aporte de las TIC a la estrategia de la entidad con un modelo de gestión estratégica de TI</t>
  </si>
  <si>
    <t>Documentos para la planeación estratégica en TI</t>
  </si>
  <si>
    <t xml:space="preserve"> Documentos para la planeación estratégica en TI</t>
  </si>
  <si>
    <t>A 30 de julio del 2020 se llegó a un 0,5  de acuerdo a lo programado en la realización de los  documentos para la planeación estratégica en TI</t>
  </si>
  <si>
    <t xml:space="preserve">Se construyeron las primeras versiones de las guías y plantillas para la actualización del directorio de sistemas de información. </t>
  </si>
  <si>
    <t>Se dio inicio al documento análisis, diseño y documentación de los requerimientos funcionales para la construcción de la Plataforma de Gestión y Seguimiento de Arquitectura de TI en la Entidad</t>
  </si>
  <si>
    <t>A 30 de agosto se llegó a un 0,43. Se da inicio a la documentación para el Modelo de Gobierno de TI, describiendo la situación actual de la estructura organizacional para la toma de decisiones de TI</t>
  </si>
  <si>
    <t xml:space="preserve">A 30 de agosto del 2020 se llegó a un 0,90%. Se mantuvo la continuidad y disponibilidad de los Servicios tecnológicos según Lineamiento I.ST.05 </t>
  </si>
  <si>
    <t>A 30 de agosto se llegó a un 0,5. Se adaptaron 9 artefactos para la realización de ejercicios de AE a nivel sectorial. Se estableció la hoja de ruta y estructura para la construcción del PETI 2020-2024</t>
  </si>
  <si>
    <t>Durante el periodo de observación se obtuvo un avance acumulado de 1,90 ASI: entre otras, Cambio de versión de FOREST, ajustes SIPSE y SICAPITAL, desarrollo de catálogo de sistemas de información</t>
  </si>
  <si>
    <t>Se obtuvo un avance acumulado del 50%  en el total de la meta así: Actualización y monitoreo datos abiertos, diseño del modelo de datos de la arquitectura de la plataforma. Ver anexo</t>
  </si>
  <si>
    <t>Avance acumulado del 1,03 así: desarrollo del documento de adopción de lineamientos LI.ES.01 "Entendimiento estratégico" revisión de la compilación de iniciativas y proyectos con componente de TI</t>
  </si>
  <si>
    <t>Se avanzó en un 1,04% así: entre otros se adelantó documento – catálogo de la base de datos de la gestión de configuración de los servicios con los que cuenta la Secretaría Distrital de Ambiente.</t>
  </si>
  <si>
    <t>Se mantiene el cumplimiento del 0,5 del documento para este mes. En el desarrollo del documento de adopción de lineamientos LI.ES.01 "Entendimiento estratégico"  en la formulación del PETI</t>
  </si>
  <si>
    <t>Se obtuvo un avance acumulado de 2,65. Se finalizaron los documentos para gestionar los dominios de Sistemas de Información. Se elaboró el catálogo de interoperabilidad y guía de interoperabilidad</t>
  </si>
  <si>
    <t>Avance acumulado del 1,30. Se diseñó el modelo de datos y servicios de la arquitectura de la plataforma. Se realizan equivalencias de los lineamientos y ámbitos de los dominios de información y SI</t>
  </si>
  <si>
    <t xml:space="preserve">Se avanzó en  1,59. Se avanzó en la documentación del estado actual del modelo de gobierno de TI en la entidad según la estructura organizacional del área de TI para la toma de decisiones </t>
  </si>
  <si>
    <t>Se avanzó en un 1,19%.  Se mantiene la operación de la infraestructura tecnológica de calidad con excelentes niveles de continuidad y disponibilidad de los servicios</t>
  </si>
  <si>
    <t>Se avanza en la identificación y documentación de iniciativas de TI proveniente de las áreas misionales para incluirlas en el PETI articuladas con el marco de transformación digital</t>
  </si>
  <si>
    <t xml:space="preserve">Se obtuvo un avance acumulado de 3,60. Se desarrolla la 1a versión de software de Gestión y Seguimiento a la Arquitectura Empresarial con énfasis en los dominios  y sistemas de información </t>
  </si>
  <si>
    <t>Avance acumulado del 1,90. se llevan a cabo las entrevistas, logrando un enfoque de situación actual y un nivel de madurez en temas de transformación digital</t>
  </si>
  <si>
    <t xml:space="preserve">Se avanzó en 2,26. Se continuó con la documentación del estado actual, adicionando los riesgos  para el proceso de Gestión de Tecnológica, se inició con la documentación del estado objetivo de TI. </t>
  </si>
  <si>
    <t>Se avanzó en un 1,54%. Se generó el reporte de la disponibilidad de los servicios de TI, de red y de la plataforma de virtualización, obteniendo un 99,998% de la disponibilidad total de los servicios.</t>
  </si>
  <si>
    <t xml:space="preserve">Se realizaron las actividades conducentes a realizar el levantamiento de información para identificar la situación actual (AS IS) y el nivel de madurez en transformación digital a procesos </t>
  </si>
  <si>
    <t>Se avanzó en la actualización de 4 servicios de información - SI: 1- Definición estratégica de SI, 2-Directorio de SI, 3-Arquitecturas de referencia de SI y 4-Arquitecturas de solución para SI</t>
  </si>
  <si>
    <t>Se avanzó en 2 servicios de información implementados: 
1- Para el lineamiento responsabilidad y gestión de componentes de información
2 - Para el lineamiento: Plan de calidad de los componentes de información</t>
  </si>
  <si>
    <t xml:space="preserve">Se avanzó en 2,81 documentos: 1. Gestión integral de proyectos de TI en la entidad, se encuentra en proceso catálogo de iniciativas y proyectos TI, hoja de ruta de iniciativas 2. Modelo de gobierno de TI de la SDA </t>
  </si>
  <si>
    <t>Se avanzó en un 3,07% con un acumulado del 61,40% en la vigencia. Se mantuvo la continuidad y disponibilidad de los servicios tecnológicos según lineamiento ST.05. Se adjudicaron procesos en el mes de diciembre cuya ejecución y entrega de productos se hará en el 2021</t>
  </si>
  <si>
    <t>Se avanzó en 1,95 documentos con un cumplimiento del 97,5%: 
1. Aspectos del entendimiento estratégico de la entidad como insumo de la estrategia TI. 
2. Definición del procedimiento de la Arquitectura Empresarial - AE de la SDA. Se encuentra en revisión la formalización del proceso de AE</t>
  </si>
  <si>
    <t>II PRODUCTO (FÍSICO) VIGENCIA 2021</t>
  </si>
  <si>
    <t>% PESO 2021</t>
  </si>
  <si>
    <t>META VIGENCIA  2021</t>
  </si>
  <si>
    <t>AVANCE VIGENCIA 2021</t>
  </si>
  <si>
    <t>% AVANCE VIGENCIA 2021</t>
  </si>
  <si>
    <t>Se avanzó en 0,13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</si>
  <si>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realizaron ajustes y actualización sobre los componentes de información que fueron requeridos. Se realizó monitoreo de 46 datos abiertos existentes y la identificación y gestión de un nuevo conjunto de datasets llamado cuencas administrativas</t>
  </si>
  <si>
    <t>Se continua con la revisión de los procedimientos del proceso para la Gestión de TI. Se realizó diagnostico para la identificación del nivel de madurez al Modelo de Gestión de Proyectos de TI que indica MinTIC</t>
  </si>
  <si>
    <t>Se mantuvo la continuidad y disponibilidad de 99,998% de los Servicios tecnológicos. Se administra la gestión de la herramienta de mesa de servicios, con los casos de incidentes y requerimientos. se trabajó en la configuración de los servicios de la IMPLEMENTACION DEL PROTOCOLO IPV6 EN LA SDA</t>
  </si>
  <si>
    <t>Se obtiene la aprobación del Plan Estratégico de Tecnologías de la Información (PETI) para el periodo 2020 – 2024. Quedó publicado en la página Web de la Entidad</t>
  </si>
  <si>
    <t xml:space="preserve">Se ejecutó la estrategia de soporte, mantenimiento y evolución de los sistemas de información en la Entidad para mantener su disponibilidad y continuidad; se realizaron los mantenimientos y actualizaciones para cada uno de los sistemas de información acorde con el respectivo catálogo.
</t>
  </si>
  <si>
    <t xml:space="preserve">Se ejecutó la estrategia de soporte, mantenimiento y evolución de los componentes de información en la Entidad para mantener su disponibilidad y continuidad.
Se realizó monitoreo de 47 datos abiertos existentes y la publicación del conjunto de datasets cuencas administrativas
</t>
  </si>
  <si>
    <t>Se formalizó ante el SIG, la actualización de la caracterización del proceso de Gestión Tecnológica:  objetivo, alcance, normativa, ciclo PHVA incluyendo las actividades y productos que se obtienen en el proceso, nueva codificación. De acuerdo con la nueva plataforma estratégica, Plan de Desarrollo Distrital, proyecto de inversión 7804, política de gobierno digital, estrategia de gobierno abierto y la formulación del PETI 2020-2024.
Se reportaron los indicadores con corte enero 30 de 2021, para el seguimiento del avance en las metas propuestas en el proyecto de inversión 7804, así como el reporte de los indicadores de gestión para el Proceso de Gestión Tecnológica de la entidad.
Fue aprobado por el comité de Desempeño y Gestión institucional el PETI 2020-2024, y publicado en la página WEB de la SDA, donde se encuentra incluida la hoja de ruta con los proyectos con componente TI, para esta vigencia.</t>
  </si>
  <si>
    <t>Se generan tanto el plan de comunicaciones de la estrategia y gestión de TI como el catálogo de servicios de TI en la Entidad TI</t>
  </si>
  <si>
    <t>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t>
  </si>
  <si>
    <t xml:space="preserve">Se actualizó: el plan de calidad, el procedimiento de calidad y el directorio de los componentes de información en la SDA. 
Se publicó el directorio de componentes de información en la herramienta para el seguimiento y gestión de la AE en la SDA </t>
  </si>
  <si>
    <t xml:space="preserve"> Se consolida información relacionada con los enlaces de los diferentes proyectos con componente TI para la realización de las respectivas mesas de trabajo, para seguimiento. Se ajustan los riesgos del proceso de Gestión Tecnológica de TI, así como los controles que se establecieron para la gestión de los mismos.</t>
  </si>
  <si>
    <t>Se mantuvo la continuidad y disponibilidad de 99,984% de los Servicios tecnológicos. Se administra la gestión de la herramienta de mesa de servicios, con los casos de incidentes y requerimientos. se trabajó en la configuración de los servicios de la IMPLEMENTACION DEL PROTOCOLO IPV6 EN LA SDA</t>
  </si>
  <si>
    <t>Se genera el tablero de indicadores para el seguimiento a la gestión de la estrategia de TI establecida en el PETI 2020-2024. Se establece la línea base para el seguimiento de los proyectos del PETI a través de un tablero de indicadores para cada uno de ellos</t>
  </si>
  <si>
    <t>Se realizaron ajustes y actualización a los sistemas de información: Forest, Sipse, SI_Capital, Visor geográfico, SIG, Argis Server y STORM. Se construyó el instrumento de medición del grado de digitalización de los procesos de la Entidad para fortalecer la definición estratégica de los sistemas de información</t>
  </si>
  <si>
    <t>Se mantuvo la continuidad y disponibilidad de 98,945% de los Servicios tecnológicos. Se administra la gestión de la herramienta de mesa de servicios, con los casos de incidentes y requerimientos. Se continúa con el monitoreo a través de la herramienta Elastic.</t>
  </si>
  <si>
    <t>Se simplifican, establecen y formalizan los indicadores de gestión para la estrategia de TI en la Entidad establecida en el PETI 2020-2024 por medio de los cuales se hará seguimiento a los proyectos con componente de TI en la Entidad que mejorarán la prestación de trámites, servicios y procesos</t>
  </si>
  <si>
    <t>Se ejecutó la estrategia de soporte, mantenimiento y evolución de los sistemas de información-SI en la Entidad para mantener su disponibilidad y continuidad. Se realizaron los mantenimientos y actualizaciones para cada uno de los SI que son administrados por DPSIA acorde con el respectivo catálogo</t>
  </si>
  <si>
    <t xml:space="preserve">Se realizaron los ajustes y actualización sobre los componentes de información que fueron requeridos. Se actualizó el directorio de los componentes de información en la SDA. Se publicó el directorio de componentes de información en la herramienta para el seguimiento y gestión de la AE en la SDA. </t>
  </si>
  <si>
    <t>Se inicia con la revisión y ajuste a la propuesta para el : Ciclo de vida de los sistemas información, y sus anexos así como su articulación con el procedimiento PA03-PR02</t>
  </si>
  <si>
    <t>Se mantuvo la continuidad y disponibilidad de 99,132% de los Servicios tecnológicos. Se administra la gestión de la herramienta de mesa de servicios, con los casos de incidentes y requerimientos. Se continúa con el monitoreo a través de la herramienta Elastic.</t>
  </si>
  <si>
    <t>Se obtuvo un 4.933% de avance en la ejecución de los proyectos del PETI sobre un 5% comprometido, lo cual muestra un cumplimiento alto dentro de los rangos de tolerancia establecidos</t>
  </si>
  <si>
    <t xml:space="preserve">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t>
  </si>
  <si>
    <t xml:space="preserve">Se ejecutó la estrategia de soporte, mantenimiento y evolución de los componentes de información en la Entidad para mantener su disponibilidad y continuidad.
Se actualizó el catálogo de entidades de negocio vs procesos de la Entidad y  procedimiento que establece el ciclo de vida de calidad del dato </t>
  </si>
  <si>
    <t>Revisión y ajustes a la propuesta para el procedimiento Ciclo de vida de los sistemas información y su articulación con el procedimiento PA03-PR02: Administración y Mantenimiento de Aplicativos, del proceso de Gestión Tecnológica</t>
  </si>
  <si>
    <t>Se gestionaron reportes de los servicios de Tecnología ocon una disponibilidad global de 99,9% Se mantiene el monitoreo de los canales de internet y de datos a través de las herramientas de CACTI. Se realiza la administración y acciones de requerimientos e incidentes a través de la mesa de servicio</t>
  </si>
  <si>
    <t xml:space="preserve">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t>
  </si>
  <si>
    <t>Se realizaron ajustes y actualización a los sistemas de información: Forest, Sipse, SI_Capital, Visor geográfico, SIG, Argis Server, Sia Móvil y STORM.</t>
  </si>
  <si>
    <t>Se ejecutó la estrategia de soporte, mantenimiento y evolución de los componentes de información en la Entidad para mantener su disponibilidad y continuidad. Se actualizó tecnológicamente la herramienta de seguimiento y gestión de la arquitectura empresarial en la Entidad.</t>
  </si>
  <si>
    <t>Realización de ajustes para la generación del procedimiento Ciclo de vida de los sistemas información, a través de la inclusión de metodologías agiles como Scrum, y su articulación con los anexos ya definidos en procedimiento PA03-PR02: Administración y Mantenimiento de Aplicativos, del proceso de Gestión Tecnológica</t>
  </si>
  <si>
    <t>Se mantiene el monitoreo de los canales de internet y de datos a través de las herramientas de CACTI tanto en la sede principal de la SDA, la sede de secundaria el CAV y en la ETB Santa Bárbara, con el fin de poder controlar que los servicios se encuentren operando de manera adecuada para el presente periodo</t>
  </si>
  <si>
    <t xml:space="preserve">Se actualizó la primera versión del plan de transformación digital de la Entidad mostrando las líneas estratégicas identificadas. Se realizaron los mantenimientos y actualizaciones para cada uno de los componentes de información que son administrados por DPSIA acorde con el respectivo catálogo.
</t>
  </si>
  <si>
    <t>Se ejecutó la estrategia de soporte, mantenimiento y evolución de los sistemas de información en la Entidad</t>
  </si>
  <si>
    <t>Se realizó la publicación y monitoreo de un nuevo conjunto de data set llamado Objeto Geográfico Mobiliario Urbano – Bogotá Distrito Capital en la plataforma distrital de datos abiertos</t>
  </si>
  <si>
    <t>Se realiza actualización al diagnóstico de los lineamientos para la gestión de proyectos de componentes TI según lo establecido en el MGPTI.</t>
  </si>
  <si>
    <t xml:space="preserve"> Se da inicio al proyecto de desarrollo de software interno para construir un aplicativo que soporte la gestión de predios en la Entidad.</t>
  </si>
  <si>
    <t>Se ejecutó la estrategia de soporte, mantenimiento y evolución de los sistemas de información en la Entidad.
Se realizaron ajustes y actualización a los sistemas de información: Forest, Sipse, SI_Capital, Visor geográfico, SIG, Argis Server, Sia Móvil y STORM</t>
  </si>
  <si>
    <t>Se ejecutó la estrategia de soporte, mantenimiento y evolución de los componentes de información contenidos en las bases de datos estructuradas de la SDA 
Se realizaron los ajustes y actualización sobre los componentes de información que fueron requeridos.
Se publicaron 11 conjuntos de datos abiertos</t>
  </si>
  <si>
    <t>Se realiza consolidación de información de los proyectos establecidos en PETI 2021-2024, para reporte de avance de ejecución de cada uno. Se realiza socialización sobre metodología Scrum para ser aplicada en los proyectos de desarrollo</t>
  </si>
  <si>
    <t>Se construyó informe de seguimiento a la política de gobierno digital y al plan estratégico de tecnologías de la información (PETI) teniendo en cuenta la medición de los indicadores asociados a proyectos, actividades y presupuesto, con corte a agosto 31 de 2021</t>
  </si>
  <si>
    <t>Se han venido realizando  acciones de los 3 servicios priorizados, teniendo como base los lineamientos y guias dados por MINTIC para el dominio de sistemas de información en el marco de referencia de arquitectura empresarial. Ver anexo Hoja de Vida información Ambiental</t>
  </si>
  <si>
    <t>Se han realizado acciones en el marco de la implementación de los 2 servicios de información para la vigencia, teniendo como base los lineamientos y guías dados por MINTIC para el dominio de información en el marco de referencia arquitectura empresarial. Ver anexo Hoja de Vida - Información Ambiental</t>
  </si>
  <si>
    <t xml:space="preserve">Se han venido realizando actividades necesarias para la construcción de 4 documentos que reflejen la adopción de los lineamientos priorizados del dominio de Gobierno de TI del MRAE. Ver anexo Hoja de Vida - Información Ambiental </t>
  </si>
  <si>
    <t>Se avanzó en un 7,85% en la vigencia, que corresponde al 87,91% en avance del dominio de servicios tecnológicos, teniendo en cuentas las guías y lineamientos dados por MinTIC para este dominio del marco de referencia de arquitectura empresarial. Ver anexo Hoja de Vida - Información Ambiental</t>
  </si>
  <si>
    <t xml:space="preserve">Se han venido realizando actividades necesarias para la construcción de 3 documentos que reflejen la adopción de lineamientos priorizados del dominio de estrategia de TI del MRAE. Ver anexo Hoja de Vida - Información Ambiental </t>
  </si>
  <si>
    <t>Noviembre</t>
  </si>
  <si>
    <t>Se han realizado acciones en el marco de la implementación de 2 servicios de información para la vigencia, teniendo como base los lineamientos y guías dados por MINTIC para el dominio de información en el marco de referencia arquitectura empresarial. Ver anexo Hoja de Vida - Información Ambiental</t>
  </si>
  <si>
    <t>Se avanzó en un 8,48% en la vigencia, que corresponde al 94,10% en avance del dominio de servicios tecnológicos, teniendo en cuentas las guías y lineamientos dados por MinTIC para este dominio del marco de referencia de arquitectura empresarial. Ver anexo Hoja de Vida - Información Ambiental</t>
  </si>
  <si>
    <t>Diciembre</t>
  </si>
  <si>
    <t>Se avanzó en un 8,51% en la vigencia, que corresponde al 95,30% en avance del dominio de servicios tecnológicos, teniendo en cuentas las guías y lineamientos dados por MinTIC para este dominio del marco de referencia de arquitectura empresarial. Ver anexo Hoja de Vida - Información Ambiental</t>
  </si>
  <si>
    <t>II PRODUCTO (FÍSICO) VIGENCIA 2022</t>
  </si>
  <si>
    <t>% PESO 2022</t>
  </si>
  <si>
    <t>META VIGENCIA  2022</t>
  </si>
  <si>
    <t>AVANCE VIGENCIA 2022</t>
  </si>
  <si>
    <t>% AVANCE VIGENCIA 2022</t>
  </si>
  <si>
    <t>OBSERVACIÓN MENSUAL (200 Caracteres)</t>
  </si>
  <si>
    <t>Se avanzó en 0,10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</si>
  <si>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han realizado las siguientes acciones en el marco de la implementación de los 2 servicios de información para la vigencia, teniendo como base los lineamientos y guías dados por MINTIC para el dominio de información en el marco de referencia arquitectura empresarial</t>
  </si>
  <si>
    <t xml:space="preserve">
Se realizó Plan de Acción para el PETI (2021-2024) para la vigencia 2022, y se presentó para aprobación ante el CIGD. Se realizó reporte de indicadores corte 31 de diciembre de 2021 PETI 2021-2024 vigencia 2021 y se generó informe PETI (2021-2024) vigencia 2021, y se presentó a la Dirección de Planeación de Sistemas de Información Ambiental. </t>
  </si>
  <si>
    <t>Se mantuvo la continuidad y disponibilidad de 99,9995% de los Servicios tecnológicos. Se administra la gestión de la herramienta de mesa de servicios, con los casos de incidentes y requerimientos. se trabajó en la configuración de los servicios de la IMPLEMENTACION DEL PROTOCOLO IPV6 EN LA SDA</t>
  </si>
  <si>
    <t xml:space="preserve">Se han venido realizando actividades necesarias para la construcción de 3 documentos que reflejen la adopción de lineamientos: 1. Mapa de ruta de la Arquitectura Empresarial -,2. Proceso para evaluar y mantener la Arquitectura Empresarial y 3. Catálogo de servicios de TI </t>
  </si>
  <si>
    <t>Se avanzó en 0,34 servicios actualizados, para lo cual se desarrollaron acciones frente estrategia de soporte, mantenimiento y evolución de los SI las acciones se reflejan en el archivo adjunto:</t>
  </si>
  <si>
    <t>Se avanzo en un 0.20 en el despliegue en el marco de la implementación de los 4 servicios de información para la vigencia, las acciones se reflejan en el archivo adjunto:</t>
  </si>
  <si>
    <t>Se avanzo en la vigencia en un 0.19 frente a la elaboración de 3 documentos para la implementación del gobierno de TI de la entidad, las acciones se reflejan en el archivo adjunto:</t>
  </si>
  <si>
    <t>Se avanzo en un 2,06%    en los servicios tecnológicos en la SDA en el marco del Mintic, Se mantuvo la continuidad y disponibilidad de 99,834%, las acciones se reflejan en el archivo adjunto:</t>
  </si>
  <si>
    <t>Se avanzo en un 0.18 en la elaboración de 3 documentos Se han venido realizando actividades necesarias para la construcción de 3 documentos que reflejen la adopción de lineamientos; las acciones se reflejan en el archivo adjunto:</t>
  </si>
  <si>
    <t>Se avanzó en 0,72 servicios actualizados, para lo cual se desarrollaron acciones frente estrategia de soporte, mantenimiento y evolución de los SI las acciones se reflejan en el archivo adjunto:</t>
  </si>
  <si>
    <t>Se avanzo en un 0.44 en el despliegue en el marco de la implementación de los 4 servicios de información para la vigencia, las acciones se reflejan en el archivo adjunto:</t>
  </si>
  <si>
    <t>Se avanzo en la vigencia en un 0,39 frente a la elaboración de 3 documentos para la implementación del gobierno de TI de la entidad, las acciones se reflejan en el archivo adjunto:</t>
  </si>
  <si>
    <t>Se avanzo en un 3,09%    en los servicios tecnológicos en la SDA en el marco del Mintic, Se mantuvo la continuidad y disponibilidad de 99,834%, las acciones se reflejan en el archivo adjunto:</t>
  </si>
  <si>
    <t>Se avanzo en un 0.36 en la elaboración de 3 documentos Se han venido realizando actividades necesarias para la construcción de 3 documentos que reflejen la adopción de lineamientos; las acciones se reflejan en el archivo adjunto:</t>
  </si>
  <si>
    <t>Se avanzó en 1,28 servicios actualizados, para lo cual se desarrollaron acciones frente estrategia de soporte, mantenimiento y evolución de los SI las acciones se reflejan en el archivo adjunto:</t>
  </si>
  <si>
    <t>Se avanzo en un 0.80 en el despliegue en el marco de la implementación de los 4 servicios de información para la vigencia, las acciones se reflejan en el archivo adjunto:</t>
  </si>
  <si>
    <t>Se avanzo en la vigencia en un 0,61 frente a la elaboración de 3 documentos para la implementación del gobierno de TI de la entidad, las acciones se reflejan en el archivo adjunto:</t>
  </si>
  <si>
    <t>Se avanzo en un 4,32%    en los servicios tecnológicos en la SDA en el marco del Mintic, Se mantuvo la continuidad y disponibilidad de 96,667%, las acciones se reflejan en el archivo adjunto:</t>
  </si>
  <si>
    <t>Se avanzo en un 0.60 en la elaboración de 3 documentos Se han venido realizando actividades necesarias para la construcción de 3 documentos que reflejen la adopción de lineamientos; las acciones se reflejan en el archivo adjunto:</t>
  </si>
  <si>
    <t>Se avanzó en 1,98 servicios actualizados, para lo cual se desarrollaron acciones frente estrategia de soporte, mantenimiento y evolución de los SI las acciones se reflejan en el archivo adjunto:</t>
  </si>
  <si>
    <t>Se avanzo en un 1,24 en el despliegue en el marco de la implementación de los 4 servicios de información para la vigencia, las acciones se reflejan en el archivo adjunto:</t>
  </si>
  <si>
    <t>Se avanzo en la vigencia en un 0,89 frente a la elaboración de 3 documentos para la implementación del gobierno de TI de la entidad, las acciones se reflejan en el archivo adjunto:</t>
  </si>
  <si>
    <t>Se avanzo en un 4,93%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</si>
  <si>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</si>
  <si>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2,76 servicios actualizados, para lo cual se desarrollaron acciones frente estrategia de soporte, mantenimiento y evolución de los SI las acciones se reflejan en el archivo adjunto:</t>
  </si>
  <si>
    <t>Se avanzo en un 1,72 en el despliegue en el marco de la implementación de los 4 servicios de información para la vigencia, las acciones se reflejan en el archivo adjunto:</t>
  </si>
  <si>
    <t>Se avanzo en la vigencia en un 1,15 frente a la elaboración de 3 documentos para la implementación del gobierno de TI de la entidad, las acciones se reflejan en el archivo adjunto:</t>
  </si>
  <si>
    <t>Se avanzo en un 6,38%    en los servicios tecnológicos en la SDA en el marco del Mintic, Se mantuvo la continuidad y disponibilidad de 96,667%, las acciones se reflejan en el archivo adjunto:</t>
  </si>
  <si>
    <t>Se avanzo en un 1,20 en la elaboración de 3 documentos Se han venido realizando actividades necesarias para la construcción de 3 documentos que reflejen la adopción de lineamientos; las acciones se reflejan en el archivo adjunto:</t>
  </si>
  <si>
    <t>Se avanzó en 3,54 servicios actualizados, para lo cual se desarrollaron acciones frente estrategia de soporte, mantenimiento y evolución de los SI las acciones se reflejan en el archivo adjunto:</t>
  </si>
  <si>
    <t>Se avanzo en un 2,12 en el despliegue en el marco de la implementación de los 4 servicios de información para la vigencia, las acciones se reflejan en el archivo adjunto:</t>
  </si>
  <si>
    <t>Se avanzo en la vigencia en un 1,41 frente a la elaboración de 3 documentos para la implementación del gobierno de TI de la entidad, las acciones se reflejan en el archivo adjunto:</t>
  </si>
  <si>
    <t>Se avanzo en un 6,99%    en los servicios tecnológicos en la SDA en el marco del Mintic, Se mantuvo la continuidad y disponibilidad de 96,667%, las acciones se reflejan en el archivo adjunto:</t>
  </si>
  <si>
    <t>Se avanzo en un 1,50 en la elaboración de 3 documentos Se han venido realizando actividades necesarias para la construcción de 3 documentos que reflejen la adopción de lineamientos; las acciones se reflejan en el archivo adjunto:</t>
  </si>
  <si>
    <t>Se avanzó en 4,28 servicios actualizados, para lo cual se desarrollaron acciones frente estrategia de soporte, mantenimiento y evolución de los SI las acciones se reflejan en el archivo adjunto:</t>
  </si>
  <si>
    <t>Se avanzo en un 2,52 en el despliegue en el marco de la implementación de los 4 servicios de información para la vigencia, las acciones se reflejan en el archivo adjunto:</t>
  </si>
  <si>
    <t>Se avanzo en la vigencia en un 1,75  frente a la elaboración de 3 documentos para la implementación del gobierno de TI de la entidad, las acciones se reflejan en el archivo adjunto:</t>
  </si>
  <si>
    <t>Se avanzo en un 8,02%    en los servicios tecnológicos en la SDA en el marco del Mintic, Se mantuvo la continuidad y disponibilidad de 96,667%, las acciones se reflejan en el archivo adjunto:</t>
  </si>
  <si>
    <t>Se avanzo en un 1,80 en la elaboración de 3 documentos Se han venido realizando actividades necesarias para la construcción de 3 documentos que reflejen la adopción de lineamientos; las acciones se reflejan en el archivo adjunto:</t>
  </si>
  <si>
    <t>Se avanzó en 4,98 servicios actualizados, para lo cual se desarrollaron acciones frente estrategia de soporte, mantenimiento y evolución de los SI las acciones se reflejan en el archivo adjunto:</t>
  </si>
  <si>
    <t>Se avanzo en un 2,92 en el despliegue en el marco de la implementación de los 4 servicios de información para la vigencia, las acciones se reflejan en el archivo adjunto:</t>
  </si>
  <si>
    <t>Se avanzo en la vigencia en un 2,15  frente a la elaboración de 3 documentos para la implementación del gobierno de TI de la entidad, las acciones se reflejan en el archivo adjunto:</t>
  </si>
  <si>
    <t>Se avanzo en un 9,05%    en los servicios tecnológicos en la SDA en el marco del Mintic, Se mantuvo la continuidad y disponibilidad de 96,667%, las acciones se reflejan en el archivo adjunto:</t>
  </si>
  <si>
    <t>Se avanzo en un 2,10 en la elaboración de 3 documentos Se han venido realizando actividades necesarias para la construcción de 3 documentos que reflejen la adopción de lineamientos; las acciones se reflejan en el archivo adjunto:</t>
  </si>
  <si>
    <t>Se avanzó en 5,68 servicios actualizados, para lo cual se desarrollaron acciones frente estrategia de soporte, mantenimiento y evolución de los SI las acciones se reflejan en el archivo adjunto:</t>
  </si>
  <si>
    <t>Se avanzo en un 3,32 en el despliegue en el marco de la implementación de los 4 servicios de información para la vigencia, las acciones se reflejan en el archivo adjunto:</t>
  </si>
  <si>
    <t>Se avanzo en la vigencia en un 2,44  frente a la elaboración de 3 documentos para la implementación del gobierno de TI de la entidad, las acciones se reflejan en el archivo adjunto:</t>
  </si>
  <si>
    <t>Se avanzo en un 10,08%    en los servicios tecnológicos en la SDA en el marco del Mintic, Se mantuvo la continuidad y disponibilidad de 96,667%, las acciones se reflejan en el archivo adjunto:</t>
  </si>
  <si>
    <t>Se avanzo en un 2,40 en la elaboración de 3 documentos Se han venido realizando actividades necesarias para la construcción de 3 documentos que reflejen la adopción de lineamientos; las acciones se reflejan en el archivo adjunto:</t>
  </si>
  <si>
    <t>Se avanzó en 6,34 servicios actualizados, para lo cual se desarrollaron acciones frente estrategia de soporte, mantenimiento y evolución de los SI las acciones se reflejan en el archivo adjunto:</t>
  </si>
  <si>
    <t>Se avanzo en un 3,68 en el despliegue en el marco de la implementación de los 4 servicios de información para la vigencia, las acciones se reflejan en el archivo adjunto:</t>
  </si>
  <si>
    <t>Se avanzo en la vigencia en un 2,70  frente a la elaboración de 3 documentos para la implementación del gobierno de TI de la entidad, las acciones se reflejan en el archivo adjunto:</t>
  </si>
  <si>
    <t>Se avanzo en un  11,11%    en los servicios tecnológicos en la SDA en el marco del Mintic, Se mantuvo la continuidad y disponibilidad de 96,667%, las acciones se reflejan en el archivo adjunto:</t>
  </si>
  <si>
    <t>Se avanzo en un 2,70 en la elaboración de 3 documentos Se han venido realizando actividades necesarias para la construcción de 3 documentos que reflejen la adopción de lineamientos; las acciones se reflejan en el archivo adjunto:</t>
  </si>
  <si>
    <t>Se avanzó en 7 servicios actualizados, para lo cual se desarrollaron acciones frente estrategia de soporte, mantenimiento y evolución de los SI las acciones se reflejan en el archivo adjunto:</t>
  </si>
  <si>
    <t>Se avanzo en un 4 en el despliegue en el marco de la implementación de los 4 servicios de información para la vigencia, las acciones se reflejan en el archivo adjunto:</t>
  </si>
  <si>
    <t>Se avanzo en la vigencia en un 3  frente a la elaboración de 3 documentos para la implementación del gobierno de TI de la entidad, las acciones se reflejan en el archivo adjunto:</t>
  </si>
  <si>
    <t>Se avanzo en un 11,98%    en los servicios tecnológicos en la SDA en el marco del Mintic, Se mantuvo la continuidad y disponibilidad de 96,667%, las acciones se reflejan en el archivo adjunto:</t>
  </si>
  <si>
    <t>Se avanzo en un 3 en la elaboración de 3 documentos Se han venido realizando actividades necesarias para la construcción de 3 documentos que reflejen la adopción de lineamientos; las acciones se reflejan en el archivo adjunto:</t>
  </si>
  <si>
    <t>II PRODUCTO (FÍSICO) VIGENCIA 2023</t>
  </si>
  <si>
    <t>% PESO 2023</t>
  </si>
  <si>
    <t>META VIGENCIA  2023</t>
  </si>
  <si>
    <t>AVANCE VIGENCIA 2023</t>
  </si>
  <si>
    <t>% AVANCE VIGENCIA 2023</t>
  </si>
  <si>
    <t>Se avanzó en 0,12 servicios actualizados, para lo cual se desarrollaron acciones frente estrategia de soporte, mantenimiento y evolución de los SI las acciones se reflejan en el archivo adjunto:</t>
  </si>
  <si>
    <t>Se avanzo en un 0,15 en el despliegue en el marco de la implementación de los 4 servicios de información para la vigencia, las acciones se reflejan en el archivo adjunto:</t>
  </si>
  <si>
    <t>Se avanzo en la vigencia en un 0,09  frente a la elaboración de 3 documentos para la implementación del gobierno de TI de la entidad, las acciones se reflejan en el archivo adjunto:</t>
  </si>
  <si>
    <t>Se avanzo en un 0,24%    en los servicios tecnológicos en la SDA en el marco del Mintic, Se mantuvo la continuidad y disponibilidad de 96,667%, las acciones se reflejan en el archivo adjunto:</t>
  </si>
  <si>
    <t>Se avanzo en un 0,06 en la elaboración de 3 documentos Se han venido realizando actividades necesarias para la construcción de 3 documentos que reflejen la adopción de lineamientos; las acciones se reflejan en el archivo adjunto:</t>
  </si>
  <si>
    <t>Se avanzó en 0,24 servicios actualizados, para lo cual se desarrollaron acciones frente estrategia de soporte, mantenimiento y evolución de los SI las acciones se reflejan en el archivo adjunto:</t>
  </si>
  <si>
    <t>Se avanzo en un 0,35 en el despliegue en el marco de la implementación de los 4 servicios de información para la vigencia, las acciones se reflejan en el archivo adjunto:</t>
  </si>
  <si>
    <t>Se avanzo en la vigencia en un 0,21  frente a la elaboración de 3 documentos para la implementación del gobierno de TI de la entidad, las acciones se reflejan en el archivo adjunto:</t>
  </si>
  <si>
    <t>Se avanzo en un 0,77%    en los servicios tecnológicos en la SDA en el marco del Mintic, Se mantuvo la continuidad y disponibilidad de 96,667%, las acciones se reflejan en el archivo adjunto:</t>
  </si>
  <si>
    <t>Se avanzo en un 0,15 en la elaboración de 3 documentos Se han venido realizando actividades necesarias para la construcción de 3 documentos que reflejen la adopción de lineamientos; las acciones se reflejan en el archivo adjunto:</t>
  </si>
  <si>
    <t>Se avanzó en 0,54 servicios actualizados, para lo cual se desarrollaron acciones frente estrategia de soporte, mantenimiento y evolución de los SI las acciones se reflejan en el archivo adjunto:</t>
  </si>
  <si>
    <t>Se avanzo en un 0,65 en el despliegue en el marco de la implementación de los 4 servicios de información para la vigencia, las acciones se reflejan en el archivo adjunto:</t>
  </si>
  <si>
    <t>Se avanzo en un 1,54%    en los servicios tecnológicos en la SDA en el marco del Mintic, Se mantuvo la continuidad y disponibilidad de 96,667%, las acciones se reflejan en el archivo adjunto:</t>
  </si>
  <si>
    <t>Se avanzo en un 0,30 en la elaboración de 3 documentos Se han venido realizando actividades necesarias para la construcción de 3 documentos que reflejen la adopción de lineamientos; las acciones se reflejan en el archivo adjunto:</t>
  </si>
  <si>
    <t>Se avanzó en 1,14 servicios actualizados, para lo cual se desarrollaron acciones frente estrategia de soporte, mantenimiento y evolución de los SI las acciones se reflejan en el archivo adjunto:</t>
  </si>
  <si>
    <t>Se avanzo en un 1 en el despliegue en el marco de la implementación de los 4 servicios de información para la vigencia, las acciones se reflejan en el archivo adjunto:</t>
  </si>
  <si>
    <t>Se avanzo en la vigencia en un 0,59 frente a la elaboración de 3 documentos para la implementación del gobierno de TI de la entidad, las acciones se reflejan en el archivo adjunto:</t>
  </si>
  <si>
    <t>Se avanzo en un 2,31%    en los servicios tecnológicos en la SDA en el marco del Mintic, Se mantuvo la continuidad y disponibilidad de 96,667%, las acciones se reflejan en el archivo adjunto:</t>
  </si>
  <si>
    <t>Se avanzo en un 0,54 en la elaboración de 3 documentos Se han venido realizando actividades necesarias para la construcción de 3 documentos que reflejen la adopción de lineamientos; las acciones se reflejan en el archivo adjunto:</t>
  </si>
  <si>
    <t>Se avanzó en 2,24 servicios actualizados, para lo cual se desarrollaron acciones frente estrategia de soporte, mantenimiento y evolución de los SI las acciones se reflejan en el archivo adjunto:</t>
  </si>
  <si>
    <t>Se avanzo en un 1,55 en el despliegue en el marco de la implementación de los 4 servicios de información para la vigencia, las acciones se reflejan en el archivo adjunto:</t>
  </si>
  <si>
    <t>Se avanzo en la vigencia en un 0,83 frente a la elaboración de 3 documentos para la implementación del gobierno de TI de la entidad, las acciones se reflejan en el archivo adjunto:</t>
  </si>
  <si>
    <t>Se avanzo en un 3,08%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</si>
  <si>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</si>
  <si>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2,94 servicios actualizados, para lo cual se desarrollaron acciones frente estrategia de soporte, mantenimiento y evolución de los SI las acciones se reflejan en el archivo adjunto:</t>
  </si>
  <si>
    <t>Se avanzo en un 2,35 en el despliegue en el marco de la implementación de los 4 servicios de información para la vigencia, las acciones se reflejan en el archivo adjunto:</t>
  </si>
  <si>
    <t>Se avanzo en la vigencia en un 1,12  frente a la elaboración de 3 documentos para la implementación del gobierno de TI de la entidad, las acciones se reflejan en el archivo adjunto:</t>
  </si>
  <si>
    <t>Se avanzo en un 3,89%    en los servicios tecnológicos en la SDA en el marco del Mintic, Se mantuvo la continuidad y disponibilidad de 96,667%, las acciones se reflejan en el archivo adjunto:</t>
  </si>
  <si>
    <t>Se avanzo en un  1,41 en la elaboración de 3 documentos Se han venido realizando actividades necesarias para la construcción de 3 documentos que reflejen la adopción de lineamientos; las acciones se reflejan en el archivo adjunto:</t>
  </si>
  <si>
    <t>Se avanzó en 3,84 servicios actualizados, para lo cual se desarrollaron acciones frente estrategia de soporte, mantenimiento y evolución de los SI las acciones se reflejan en el archivo adjunto:</t>
  </si>
  <si>
    <t>Se avanzo en un 3,20 en el despliegue en el marco de la implementación de los 4 servicios de información para la vigencia, las acciones se reflejan en el archivo adjunto:</t>
  </si>
  <si>
    <t>Se avanzo en la vigencia en un 1,42  frente a la elaboración de 3 documentos para la implementación del gobierno de TI de la entidad, las acciones se reflejan en el archivo adjunto:</t>
  </si>
  <si>
    <t>Se avanzo en un 4,74%    en los servicios tecnológicos en la SDA en el marco del Mintic, Se mantuvo la continuidad y disponibilidad de 96,667%, las acciones se reflejan en el archivo adjunto:</t>
  </si>
  <si>
    <t>Se avanzo en un  1,95 en la elaboración de 3 documentos Se han venido realizando actividades necesarias para la construcción de 3 documentos que reflejen la adopción de lineamientos; las acciones se reflejan en el archivo adjunto:</t>
  </si>
  <si>
    <t>Se avanzó en 4,44 servicios actualizados, para lo cual se desarrollaron acciones frente estrategia de soporte, mantenimiento y evolución de los SI las acciones se reflejan en el archivo adjunto:</t>
  </si>
  <si>
    <t>Se avanzo en un 3,80 en el despliegue en el marco de la implementación de los 4 servicios de información para la vigencia, las acciones se reflejan en el archivo adjunto:</t>
  </si>
  <si>
    <t>Se avanzo en la vigencia en un 1,72  frente a la elaboración de 3 documentos para la implementación del gobierno de TI de la entidad, las acciones se reflejan en el archivo adjunto:</t>
  </si>
  <si>
    <t>Se avanzo en un 5,59%    en los servicios tecnológicos en la SDA en el marco del Mintic, Se mantuvo la continuidad y disponibilidad de 96,667%, las acciones se reflejan en el archivo adjunto:</t>
  </si>
  <si>
    <t>Se avanzo en un  2,34 en la elaboración de 3 documentos Se han venido realizando actividades necesarias para la construcción de 3 documentos que reflejen la adopción de lineamientos; las acciones se reflejan en el archivo adjunto:</t>
  </si>
  <si>
    <t>II PRODUCTO (FÍSICO) VIGENCIA 2024</t>
  </si>
  <si>
    <t>% PESO 2024</t>
  </si>
  <si>
    <t>META VIGENCIA  2024</t>
  </si>
  <si>
    <t>AVANCE VIGENCIA 2024</t>
  </si>
  <si>
    <t>% AVANCE VIGENCIA 2024</t>
  </si>
  <si>
    <t>III ACTIVIDADES SUIFT (PRESUPUESTO) VIGENCIA 2021</t>
  </si>
  <si>
    <t>ACTIVIDAD (SUIFT) META (SEGPLAN)</t>
  </si>
  <si>
    <t>PRESUPUESTO VIGENCIA SUIFP 2021</t>
  </si>
  <si>
    <t>PRESUPUESTO
OBLIGADO (GIRADO) 2021</t>
  </si>
  <si>
    <t>Observación mensual (200 Caracteres)</t>
  </si>
  <si>
    <t>No se presentaron pagos en el mes de enero</t>
  </si>
  <si>
    <t>Implementar 15 servicios de información que permitan la implementación de un modelo para la gestión de información.</t>
  </si>
  <si>
    <t>Mejorar 38% de servicios tecnológicos en la SDA en el marco del MinTIC</t>
  </si>
  <si>
    <t>Febrero</t>
  </si>
  <si>
    <t>Se hicieron dos pagos a la factura EC-197089497</t>
  </si>
  <si>
    <t>Se realizó pago a  contratos: 20210172 20210327 20210049 20210340 20210166 20210119 20210273 20210148</t>
  </si>
  <si>
    <t>Se hicieron  pagos a contratos 20210261 20210058 y facturas EC-197089497 EC-197370049</t>
  </si>
  <si>
    <t>Pagos a  14 contratos: 20210172 20210774 20210293 20210327 20210049 20210340 20210166 20210119 20210684 20210860 20210757 20210273 20210148 20210499</t>
  </si>
  <si>
    <t>Pago a 3 contratos: 20210705 20211107 20210745</t>
  </si>
  <si>
    <t>Pago a contrato 20210576</t>
  </si>
  <si>
    <t>Pago a 4 contratos: 20211123 20210261 20210058 20210706. Y  a facturas: EC-197089497 EC-197370049 EC-247719617</t>
  </si>
  <si>
    <t>Pago a 2 contratos: 20210879 20210472</t>
  </si>
  <si>
    <t>Pagos a 15 contratos: 20210172 20211344 20210293 20210327 20210049 20210340 20210166 20210119 20210684 20210863 20210860 20210757 20210273 20210148 20210499 20210774</t>
  </si>
  <si>
    <t>Pago a 6 contratos: 20210705 20211331 20211294 20211332 20211107 20210745</t>
  </si>
  <si>
    <t>Pago a 4 contratos: 20211123 20210261 20210058 20210706. Y  a facturas: EC-197089497 EC-197370049 EC-247719617 EC-247851051</t>
  </si>
  <si>
    <t xml:space="preserve">Pagos a 16 contratos: 20210172 20211344 20210293 20210327 20210049 20210340 20210166 20210119 20210684 20210863 20210860 20210757 20210273 20210148 20210499 20210774 </t>
  </si>
  <si>
    <t>Pago a 2 contratos 20210576 20211345</t>
  </si>
  <si>
    <t>Pago a 4 contratos: 20211123 20210261 20210058 20210706. Y  a facturas: EC-197089497 EC-197370049 EC-247719617 EC-247851051 EC-248013026</t>
  </si>
  <si>
    <t>Pago a 5 contratos: 20211123 20210261 20210058 20210706 20211340 Y Orden de Compra 70077 Y Facturas  EC-197089497 EC-197370049 EC-247719617 EC-247851051 EC-248013026 EC-248143185</t>
  </si>
  <si>
    <t xml:space="preserve">Pago a 6 contratos: 20211123 20210261 20210058 20210706 20211340 20211352 y a las facturas: EC-197089497 EC-197370049 EC-247719617 EC-247851051 EC-248013026. Ordenes de pago 70077, 70197  </t>
  </si>
  <si>
    <t xml:space="preserve">Pagos a 18 contratos: 20210172 20211344 20210293 20210327 20210049 20210340 20210166 20210119 20210684 20210863 20210860 20210757 20210273 20210148 20210499 20211428 20211423 20210774 </t>
  </si>
  <si>
    <t xml:space="preserve">Pagos realizados a los contratos 20211352 20211407 20211340 20211134 20211455; a facturas: EC-197089497 EC-197370049 EC-247719617 EC-247851051 EC-248013026 EC248420482 Y ordenes de compra - 70118, 70077, 70197  </t>
  </si>
  <si>
    <t xml:space="preserve">Pagos realizados a los contratos 20211352 20211407, OC 70118 y a las facturas: EC-197089497 EC-197370049 EC-247719617 EC-247851051 EC-248013026 EC248420482 Y   ordenes de pago 70077, 70197 y contratos 20211340 20211134 20211455 </t>
  </si>
  <si>
    <t xml:space="preserve">Pagos realizados a los contratos 20211352 20211407, OC 70118 y a las facturas: EC-197089497 EC-197370049 EC-247719617 EC-247851051 EC-248013026 EC248420482  EC-248143185 EC-248143185 EC-248738354 Y   ordenes de pago 70077, 70197 y contratos 20211340 20211134 20211455 </t>
  </si>
  <si>
    <t>III ACTIVIDADES SUIFT (PRESUPUESTO) VIGENCIA 2022</t>
  </si>
  <si>
    <t>PRESUPUESTO VIGENCIA SUIFP 2022</t>
  </si>
  <si>
    <t>PRESUPUESTO
OBLIGADO (GIRADO) 2022</t>
  </si>
  <si>
    <t>Pago a 2 contratos: 20220632 20221000</t>
  </si>
  <si>
    <t>Pago a 1 contrato: 20220667</t>
  </si>
  <si>
    <t>Pago a 1 contrato:: 20220965</t>
  </si>
  <si>
    <t>Pago a 1 contrato: 20220153</t>
  </si>
  <si>
    <t>Pago de 16 contratos: 20220954 20220986 20220632 20220775 20221033 20221034 20221034 20221225 20220894 20221161 20220746 20221035 20220856 20221000 20220902 202206628</t>
  </si>
  <si>
    <t>Pago a 6 contratos: 20220667 20221209 20221200 20221419 20220791 20220873</t>
  </si>
  <si>
    <t>Pago a 2 contratos:: 20220965 20220519</t>
  </si>
  <si>
    <t>Pago a 5 contratos: 20221537 20221387 20220153 20220793 20221541 yPago a contato 84493</t>
  </si>
  <si>
    <t>Pago a 1 contrato: 20220738</t>
  </si>
  <si>
    <t>Pago a 1 contrato: 202206628, Pago de 17 contratos: 20220954 20221376 20221330 20220986 20220632 20220775 20221033 20221034 20221034 20221225 20220894 20221161 20220746 20221035 20220856 20221000 20220902</t>
  </si>
  <si>
    <t>Pago a 5 contratos: 20221537 20221387 20220153 20220793 20221541,  Pago a 2 contatos: 84493 84780 y Pago a FACTURA:EC249409443</t>
  </si>
  <si>
    <t>Pago a 2 contrato: 20220738 20221229</t>
  </si>
  <si>
    <t>Pago a 1 contrato: 202206628 Y Pago de 17 contratos: 20220954 20221376 20221330 20220986 20220632 20220775 20221033 20221034 20221034 20221225 20220894 20221161 20220746 20221035 20220856 20221000 20220902</t>
  </si>
  <si>
    <t>Pago a 5 contratos: 20221537 20221387 20220153 20220793 20221541, Pago a 2 contatos: 84493 84780, Pago a FACTURAs: EC249409443 43515225</t>
  </si>
  <si>
    <t>Pago a 1 contrato: 202206628,Pago de 17 contratos: 20220954 20221376 20221330 20220986 20220632 20220775 20221033 20221034 20221034 20221225 20220894 20221161 20220746 20221035 20220856 20221000 20220902</t>
  </si>
  <si>
    <t>Pago a FACTURAs:EC249409443 EC43515225 EC249661317; Pago a 2 contatos: 84493 84780; Pago a 5 contratos: 20221537 20221387 20220153 20220793 20221541</t>
  </si>
  <si>
    <t>Pago a FACTURAs:EC249409443 EC43515225 EC24966131 7EC43515225</t>
  </si>
  <si>
    <t xml:space="preserve">Pago a 5 contratos: 20221537 20221387 20220153 20220793 20221541, Pago a 2 contatos: 84493 84780, Pago del pasivo con SOC, Pago a FACTURAs:EC249409443 EC43515225 EC249661317 </t>
  </si>
  <si>
    <t>III ACTIVIDADES SUIFT (PRESUPUESTO) VIGENCIA 2023</t>
  </si>
  <si>
    <t>PRESUPUESTO VIGENCIA SUIFP 2023</t>
  </si>
  <si>
    <t>PRESUPUESTO
OBLIGADO (GIRADO) 2023</t>
  </si>
  <si>
    <t>pago contrato: 43515225</t>
  </si>
  <si>
    <t>Pagoscontratos:20230485,20230446,20230524,20230678,20230525,20231064,20230486,20230457,20230566,20230621,20231281,20230880,20230498,20231098,20231268,20230887,20230874,20230523,20231418,20231212</t>
  </si>
  <si>
    <t>Pagos contratos:20230527,20230730,20231406,20230879,20231341</t>
  </si>
  <si>
    <t>Pago contrato:20230496,20231182</t>
  </si>
  <si>
    <t>pago contrato: 43515225, 20231198,20230492, 20230286,20230493</t>
  </si>
  <si>
    <t>pago contrato: 20230706</t>
  </si>
  <si>
    <t>pago contrato: 43515225, 20231198,20230492, 20230286,20230493,108119</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</si>
  <si>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</si>
  <si>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</si>
  <si>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</si>
  <si>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</si>
  <si>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</si>
  <si>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</si>
  <si>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</si>
  <si>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</si>
  <si>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Sistemas De Información Actualizados</t>
  </si>
  <si>
    <t>Número</t>
  </si>
  <si>
    <t>El avance presentado en mes corresponde al 16,67% representado en la elaboración de un informe con avance en la "gestión de los sistemas de información de la Entidad, mediante informes mensuales de avance.</t>
  </si>
  <si>
    <t>Sistemas De Información Diseñados, Actualizados O En Funcionamiento</t>
  </si>
  <si>
    <t>El avance presentado en mes corresponde al 16,67% representado en la elaboración de un  informe con avance en "la gestión  de información de la Entidad, mediante informes mensuales de avance</t>
  </si>
  <si>
    <t>Informes presentados</t>
  </si>
  <si>
    <t>El avance presentado en mes corresponde al 16,67%. Elaboración de un informe en el cual se reportan las actividades realizadas para la adopción e implementación de los lineamientos para el dominio de gobierno de TI en la entidad</t>
  </si>
  <si>
    <t>Disponibilidad de los sistemas de información</t>
  </si>
  <si>
    <t xml:space="preserve">Se generó el reporte de la disponibilidad de los servicios de TI que se encuentran en producción en la SDA alcanzando un porcentaje de cumplimiento del 97,60%  en la disponibilidad estos servicios, </t>
  </si>
  <si>
    <t>Informes de seguimiento realizados</t>
  </si>
  <si>
    <t>Se elabora informe de reporte de actividades realizadas para la adopción e implementación de lineamientos respecto del dominio "Estrategia TI" del Marco de Referencia de Arquitectura Empresarial</t>
  </si>
  <si>
    <t>El avance esta representado en la elaboración de un segundo informe con avance en la "gestión de los sistemas de información de la Entidad, mediante informes mensuales de avance.</t>
  </si>
  <si>
    <t>El avance esta representado  en la elaboración de un segundo  informe con avance en "la gestión  de información de la Entidad, mediante informes mensuales de avance</t>
  </si>
  <si>
    <t xml:space="preserve">Se elabora informe  sobre el avance en la adopción de lineamientos de implementación de Gobierno TI en la Secretaría Distrital de Ambiente </t>
  </si>
  <si>
    <t xml:space="preserve">Durante el periodo se alcanzó el 98.68% de disponibilidad en los servicios de TI que se encuentran en producción en la SDA </t>
  </si>
  <si>
    <t>El avance esta representado en la elaboración del segundo  informe  sobre el seguimiento al avance en la adopción de lineamientos para la planeación estratégica de TI en la Secretaría Distrital de Ambiente</t>
  </si>
  <si>
    <t>El avance presentado en el mes corresponde a un tercer informe  con avance en la "gestión de los sistemas de información de la Entidad, mediante informes mensuales de avance</t>
  </si>
  <si>
    <t>El avance presentado en mes corresponde a un tercer informe con avance en "la gestión  de información de la Entidad, mediante informes mensuales de avance</t>
  </si>
  <si>
    <t xml:space="preserve">El avance esta representado en la elaboración del tercer informe  sobre el avance en la adopción de lineamientos de implementación de Gobierno TI en la Secretaría Distrital de Ambiente </t>
  </si>
  <si>
    <t xml:space="preserve">Se generó el reporte de la disponibilidad de los servicios de TI que se encuentran en producción en la SDA, todos los servicios operaron de manera óptima sin interrupción </t>
  </si>
  <si>
    <t>El avance esta presentado en la elaboración del tercer informe sobre el seguimiento al avance en la adopción de lineamientos para la planeación estratégica de TI en la Secretaría Distrital de Ambiente</t>
  </si>
  <si>
    <t>Se complementó el documento “Análisis, diseño y documentación de los requerimientos funcionales para la construcción de la plataforma de gestión y seguimiento de arquitectura empresarial</t>
  </si>
  <si>
    <t>Se finalizaron los documentos para gestionar los dominios de Sistemas de Información. Se entregaron documentos de arquitecturas de referencia para interoperabilidad y arquitectura de datos maestros</t>
  </si>
  <si>
    <t xml:space="preserve">El avance esta representado en la elaboración del cuarto  informe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</si>
  <si>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100%</t>
  </si>
  <si>
    <t xml:space="preserve">El avance presentado en el mes corresponde a un quinto informe  con avance en la "gestión de los sistemas de información de la Entidad, mediante informes mensuales de avance."
</t>
  </si>
  <si>
    <t xml:space="preserve">El avance presentado en el mes corresponde a un quinto informe con avance en "la gestión  de información de la Entidad, mediante informes mensuales de avance
</t>
  </si>
  <si>
    <t xml:space="preserve">El avance presentado en mes corresponde al 83.33% acumulado, representado en la elaboración del quinto informe  sobre el avance en la adopción de lineamientos de implementación de Gobierno TI en la Secretaría Distrital de Ambiente   </t>
  </si>
  <si>
    <t>El avance corresponde a la elaboración del Quinto informe  sobre el seguimiento al avance en la adopción de lineamientos para la planeación estratégica de TI en la Secretaría Distrital de Ambiente</t>
  </si>
  <si>
    <t>El avance presentado  corresponde a seis informes  con avance en la "gestión de los sistemas de información de la Entidad, mediante informes mensuales de avance."</t>
  </si>
  <si>
    <t xml:space="preserve">El avance presentado corresponde a seis informes con avance en "la gestión  de información de la Entidad, mediante informes mensuales de avance. </t>
  </si>
  <si>
    <t xml:space="preserve">El avance presentado corresponde a la elaboración del seis informes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</si>
  <si>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99,998%</t>
  </si>
  <si>
    <t>El avance corresponde a la elaboración de seis informes  sobre el seguimiento al avance en la adopción de lineamientos para la planeación estratégica de TI en la Secretaría Distrital de Ambiente</t>
  </si>
  <si>
    <t>IV GESTIÓN  (FÍSICO) VIGENCIA 2021</t>
  </si>
  <si>
    <t>META VIGENCIA 2021</t>
  </si>
  <si>
    <t>AVANCE META VIGENCIA 2021</t>
  </si>
  <si>
    <t>% AVANCE META VIGENCIA 2021</t>
  </si>
  <si>
    <t xml:space="preserve">El informe de gestión contiene: ejecución de la estrategia de soporte, mantenimiento y evolución de los SI, identificación de brechas de seguridad y privacidad de la información para los SI y ajustes y actualizaciones a los SI </t>
  </si>
  <si>
    <t>Informe que contiene: ejecución de la estrategia de soporte, mantenimiento y evolución de los componentes de información contenidos en las bases de datos de la Entidad, monitoreo de 46 datos abiertos existentes e identificación y gestión de un conjunto de datasets - cuencas administrativas</t>
  </si>
  <si>
    <t>El avance está representado en la elaboración de un informe en el cual se reportan las actividades realizadas para la adopción e implementación de los lineamientos para el dominio de gobierno de TI  en la entidad</t>
  </si>
  <si>
    <t>Se generó el reporte de la disponibilidad de los servicios de TI que se encuentran en la SDA: ODA, CIMAB, RED DE CALIDAD DEL AIRE; Los servicios de equipos de conectividad y de red tuvieron disponibilidad 99,998%.</t>
  </si>
  <si>
    <t>El avance presentado este mes corresponde a un informe que contiene: Aprobación del Plan Estratégico de Tecnologías de la Información (PETI) para el periodo 2020 - 2024 y su publicación en la página Web de la Entidad</t>
  </si>
  <si>
    <t xml:space="preserve">El avance presentado este mes corresponde a un informe que contiene:
*Ejecución de la estrategia de soporte, mantenimiento y evolución de los sistemas de información </t>
  </si>
  <si>
    <t>El avance presentado este mes corresponde a un informe que contiene:
*Ejecución de la estrategia de soporte, mantenimiento y evolución de los componentes de información contenidos en las bases de datos estructuradas de la Entidad (Bases de datos Oracle).</t>
  </si>
  <si>
    <t>El avance esta representado en la elaboración del informe numero 2 en el cual se reportan las actividades realizadas para la adopción e implementación de los lineamientos para el dominio de gobierno de TI en la entidad</t>
  </si>
  <si>
    <t>Se generó el reporte de la disponibilidad de los servicios de TI que se encuentran en producción en la SDA tales como: FOREST, ODA, OAB,CIMAB, RED DE CALIDAD DEL AIRE estuvieron operando de manera óptima alcanzando su nivel de disponibilidad al 100%, en general los servicios de las aplicaciones no sufrieron ninguna afectación en la prestación de la disponibilidad del servicio como tal.
En cuanto a los servicios de equipos de conectividad y de red ( Seguridad Perimetral, Wifi, Directorio Activo y Switches) se contó con una disponibilidad del 100%, no se afectó ningún servicio operando de manera óptima para alcanzar su maximo nivel de disponibilidad.</t>
  </si>
  <si>
    <t xml:space="preserve">El avance presentado este mes corresponde a un informe que contiene:
El informe de gestión del mes de febrero de 2021 </t>
  </si>
  <si>
    <t>El avance presentado este mes corresponde a un informe que contiene:
*Actualización del procedimiento de desarrollo, mantenimiento y evolución de los sistemas de información. Entre otros temas</t>
  </si>
  <si>
    <t>El avance presentado este mes corresponde a un informe que contiene:
* Actualización del plan de calidad de los componentes de información. Entre otros temas.</t>
  </si>
  <si>
    <t>El avance está representado en la elaboración del informe número 3  con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</si>
  <si>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99,97%.</t>
  </si>
  <si>
    <t>Informe que contiene Indicadores para el seguimiento y gestión de la estrategia de TI en la Entidad y Línea base de tablero de indicadores para los proyectos del PETI</t>
  </si>
  <si>
    <t>El avance presentado este mes corresponde a un informe que contiene: Actualización del procedimiento de desarrollo, mantenimiento y evolución de los sistemas de información. Entre otros temas</t>
  </si>
  <si>
    <t>El avance presentado este mes corresponde a un informe que contiene: Actualización y documentación del procedimiento de desarrollo y mantenimiento de sistemas de información generando la versión 0.4.</t>
  </si>
  <si>
    <t>El avance está representado en la elaboración del informe que contiene  reporte de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</si>
  <si>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98,45%.</t>
  </si>
  <si>
    <t>Formalización de los indicadores de gestión para la estrategia de TI en la Entidad establecida en el PETI 2020-2024 Establecimiento del tablero de seguimiento a la gestión de los proyectos del PETI.</t>
  </si>
  <si>
    <t>El avance presentado este mes corresponde a un informe que contiene: las actividades realizadas para la adopción e implementación de los lineamientos para el dominio de sistemas de información en la entidad</t>
  </si>
  <si>
    <t>El avance presentado este mes corresponde a un informe que contiene  las actividades realizadas para la adopción e implementación de los lineamientos para el dominio de información en la entidad,</t>
  </si>
  <si>
    <t>El avance está representado en la elaboración del informe que contiene las actividades realizadas para la adopción e implementación de los lineamientos para el dominio de gobierno de TI en la entidad</t>
  </si>
  <si>
    <t>Se continúa monitoreando la disponibilidad de los Servicios tecnológicos según Lineamiento ST.05. Se gestionaron los respectivos reportes de la Disponibilidad de los servicios de TI, de los servicios de red, y el reporte de disponibilidad de los servicios de la plataforma de virtualización</t>
  </si>
  <si>
    <t>Informe que contiene las actividades realizadas para la adopción e implementación de los lineamientos para el dominio de estrategia de TI en la entidad,</t>
  </si>
  <si>
    <t xml:space="preserve">Informe en el cual se reportan las actividades realizadas para la adopción e implementación de los lineamientos para el dominio de estrategia de TI en la entidad, </t>
  </si>
  <si>
    <t>El avance presentado este mes corresponde a un informe que contiene: as actividades realizadas para la adopción e implementación de los lineamientos para el dominio de sistemas de información en la entidad</t>
  </si>
  <si>
    <t>Informe en el cual se reportan las actividades realizadas para la adopción e implementación de los lineamientos para el dominio de estrategia de TI en la entidad.</t>
  </si>
  <si>
    <t>El avance presentado este mes corresponde a un informe que contiene las actividades realizadas para la adopción e implementación de los lineamientos para el dominio de sistemas de información en la entidad</t>
  </si>
  <si>
    <t>IV GESTIÓN  (FÍSICO) VIGENCIA 2022</t>
  </si>
  <si>
    <t>META VIGENCIA 2022</t>
  </si>
  <si>
    <t>AVANCE META VIGENCIA 2022</t>
  </si>
  <si>
    <t>% AVANCE META VIGENCIA 2022</t>
  </si>
  <si>
    <t xml:space="preserve">El avance está representado en la elaboración del Informe en el cual se reportan las actividades realizadas para la adopción e implementación de los lineamientos para el dominio de estrategia de TI en la entidad, </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</si>
  <si>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</si>
  <si>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</si>
  <si>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</si>
  <si>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</si>
  <si>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</si>
  <si>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</si>
  <si>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</si>
  <si>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</si>
  <si>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avanzó en 5,04 servicios actualizados, para lo cual se desarrollaron acciones frente estrategia de soporte, mantenimiento y evolución de los SI las acciones se reflejan en el archivo adjunto:</t>
  </si>
  <si>
    <t>Se avanzo en un 4,20 en el despliegue en el marco de la implementación de los 4 servicios de información para la vigencia, las acciones se reflejan en el archivo adjunto:</t>
  </si>
  <si>
    <t>Se avanzo en la vigencia en un 2  frente a la elaboración de 3 documentos para la implementación del gobierno de TI de la entidad, las acciones se reflejan en el archivo adjunto:</t>
  </si>
  <si>
    <t>Se avanzo en un 6,44%    en los servicios tecnológicos en la SDA en el marco del Mintic, Se mantuvo la continuidad y disponibilidad de 96,667%, las acciones se reflejan en el archivo adjunto:</t>
  </si>
  <si>
    <t>Se avanzo en un  2,61 en la elaboración de 3 documentos Se han venido realizando actividades necesarias para la construcción de 3 documentos que reflejen la adopción de lineamientos; las acciones se reflejan en el archivo adjunto:</t>
  </si>
  <si>
    <t>Se avanzó en 5,40 servicios actualizados, para lo cual se desarrollaron acciones frente estrategia de soporte, mantenimiento y evolución de los SI las acciones se reflejan en el archivo adjunto:</t>
  </si>
  <si>
    <t>Se avanzo en un 4,55 en el despliegue en el marco de la implementación de los 4 servicios de información para la vigencia, las acciones se reflejan en el archivo adjunto:</t>
  </si>
  <si>
    <t>Se avanzo en la vigencia en un 2,31  frente a la elaboración de 3 documentos para la implementación del gobierno de TI de la entidad, las acciones se reflejan en el archivo adjunto:</t>
  </si>
  <si>
    <t>Se avanzo en un 7,65%    en los servicios tecnológicos en la SDA en el marco del Mintic, Se mantuvo la continuidad y disponibilidad de 96,667%, las acciones se reflejan en el archivo adjunto:</t>
  </si>
  <si>
    <t>Se avanzo en un  2,79 en la elaboración de 3 documentos Se han venido realizando actividades necesarias para la construcción de 3 documentos que reflejen la adopción de lineamientos; las acciones se reflejan en el archivo adjunto:</t>
  </si>
  <si>
    <t>Se avanzó en 5,70 servicios actualizados, para lo cual se desarrollaron acciones frente estrategia de soporte, mantenimiento y evolución de los SI las acciones se reflejan en el archivo adjunto:</t>
  </si>
  <si>
    <t>Se avanzo en un 4,80 en el despliegue en el marco de la implementación de los 4 servicios de información para la vigencia, las acciones se reflejan en el archivo adjunto:</t>
  </si>
  <si>
    <t>Se avanzo en la vigencia en un 2,64 frente a la elaboración de 3 documentos para la implementación del gobierno de TI de la entidad, las acciones se reflejan en el archivo adjunto:</t>
  </si>
  <si>
    <t>Se avanzo en un 8,50%    en los servicios tecnológicos en la SDA en el marco del Mintic, Se mantuvo la continuidad y disponibilidad de 96,667%, las acciones se reflejan en el archivo adjunto:</t>
  </si>
  <si>
    <t>Se avanzo en un  2,91 en la elaboración de 3 documentos Se han venido realizando actividades necesarias para la construcción de 3 documentos que reflejen la adopción de lineamientos; las acciones se reflejan en el archivo adjunto:</t>
  </si>
  <si>
    <t>Se avanzó en 6 servicios actualizados, para lo cual se desarrollaron acciones frente estrategia de soporte, mantenimiento y evolución de los SI las acciones se reflejan en el archivo adjunto:</t>
  </si>
  <si>
    <t>Se avanzo en un 5 en el despliegue en el marco de la implementación de los 4 servicios de información para la vigencia, las acciones se reflejan en el archivo adjunto:</t>
  </si>
  <si>
    <t>Se avanzo en un  3 en la elaboración de 3 documentos Se han venido realizando actividades necesarias para la construcción de 3 documentos que reflejen la adopción de lineamientos; las acciones se reflejan en el archivo adjunto:</t>
  </si>
  <si>
    <t>Se avanzo en un 8,93%    en los servicios tecnológicos en la SDA en el marco del Mintic, Se mantuvo la continuidad y disponibilidad de 96,667%, las acciones se reflejan en el archivo adjunto:</t>
  </si>
  <si>
    <t>1. Realizar la Planeación y gestión de los Sistemas de Información (Servicio de Información para: Directorio de sistemas de información</t>
  </si>
  <si>
    <t>4. Gestionar y consolidar (02) documentos priorizados para la vigencia, que reflejen la implementación de los lineamientos relacionados con gobierno TI .</t>
  </si>
  <si>
    <t>5, Actualizar los (13) documentos generados en las vigencias anteriores .</t>
  </si>
  <si>
    <t>5, PONDERACIÓN HORIZONTAL AÑO: 2024</t>
  </si>
  <si>
    <t>Se avanzó en 0,40 en servicios actualizados, para lo cual se desarrollaron acciones frente estrategia de soporte, mantenimiento y evolución de los SI las acciones se reflejan en el archivo adjunto:</t>
  </si>
  <si>
    <t>Se avanzo en un 0,20 en el despliegue en el marco de la implementación de los 2 servicios de información para la vigencia, las acciones se reflejan en el archivo adjunto:</t>
  </si>
  <si>
    <t>Se avanzo en la vigencia en un 0,17  frente a la elaboración de 2 documentos para la implementación del gobierno de TI de la entidad, las acciones se reflejan en el archivo adjunto:</t>
  </si>
  <si>
    <t>Se avanzo en un 1,08%    en los servicios tecnológicos en la SDA en el marco del Mintic, Se mantuvo la continuidad y disponibilidad de 99,964%, las acciones se reflejan en el archivo adjunto:</t>
  </si>
  <si>
    <t>Se avanzo en un  0,20 en la elaboración de 2 documentos: Se han venido realizando actividades necesarias para la construcción de 2 documentos que reflejen la adopción de lineamientos; las acciones se reflejan en el archivo adjunto:</t>
  </si>
  <si>
    <t>Contratos: 20230485,20230524,20230678,20230525,20230486,20230457, 20230566, 20230621, 20230880, 20230498, 20231546,20231268,20230887, 20230874, 20230523,20231642.20231212</t>
  </si>
  <si>
    <t>Contratos:20230527, 20230730</t>
  </si>
  <si>
    <t>Contratos:20230496,20231182</t>
  </si>
  <si>
    <t>Contratos:20231198, 20230286, 20230493,20230492</t>
  </si>
  <si>
    <t>Contratos:20230706, 20231640</t>
  </si>
  <si>
    <r>
      <t xml:space="preserve">PROGRAMADO </t>
    </r>
    <r>
      <rPr>
        <b/>
        <sz val="12"/>
        <color theme="1"/>
        <rFont val="Arial"/>
        <family val="2"/>
      </rPr>
      <t>MAY.</t>
    </r>
  </si>
  <si>
    <t>8.  DESCRIPCIÓN DE LOS AVANCES Y LOGROS ALCANZADOS A FEBRERO 29 DE 2024</t>
  </si>
  <si>
    <t>Se avanzó en 1 en servicios actualizados, para lo cual se desarrollaron acciones frente estrategia de soporte, mantenimiento y evolución de los SI las acciones se reflejan en el archivo adjunto:</t>
  </si>
  <si>
    <t>Se avanzo en un 0,50 en el despliegue en el marco de la implementación de los 2 servicios de información para la vigencia, las acciones se reflejan en el archivo adjunto:</t>
  </si>
  <si>
    <t>Se avanzo en la vigencia en un 0,47  frente a la elaboración de 2 documentos para la implementación del gobierno de TI de la entidad, las acciones se reflejan en el archivo adjunto:</t>
  </si>
  <si>
    <t>Se avanzo en un 2,16%    en los servicios tecnológicos en la SDA en el marco del Mintic, Se mantuvo la continuidad y disponibilidad de 99,964%, las acciones se reflejan en el archivo adjunto:</t>
  </si>
  <si>
    <t>Se avanzo en un  0,50 en la elaboración de 2 documentos: Se han venido realizando actividades necesarias para la construcción de 2 documentos que reflejen la adopción de lineamientos; las acciones se reflejan en el archivo adjunto:</t>
  </si>
  <si>
    <t>Se avanzó en 2 en servicios actualizados, para lo cual se desarrollaron acciones frente estrategia de soporte, mantenimiento y evolución de los SI las acciones se reflejan en el archivo adjunto:</t>
  </si>
  <si>
    <t>Se avanzo en un 1 en el despliegue en el marco de la implementación de los 2 servicios de información para la vigencia, las acciones se reflejan en el archivo adjunto:</t>
  </si>
  <si>
    <t>Se avanzo en la vigencia en un 0,92  frente a la elaboración de 2 documentos para la implementación del gobierno de TI de la entidad, las acciones se reflejan en el archivo adjunto:</t>
  </si>
  <si>
    <t>Se avanzo en un 3,25%    en los servicios tecnológicos en la SDA en el marco del Mintic, Se mantuvo la continuidad y disponibilidad de 99,964%, las acciones se reflejan en el archivo adjunto:</t>
  </si>
  <si>
    <t>Se avanzo en un  1 en la elaboración de 2 documentos: Se han venido realizando actividades necesarias para la construcción de 2 documentos que reflejen la adopción de lineamientos; las acciones se reflejan en el archivo adjunto:</t>
  </si>
  <si>
    <t>Wersión: 14</t>
  </si>
  <si>
    <t>7, LECCIONES APRENDIDAS - OBSERWACIONES</t>
  </si>
  <si>
    <t>1,3. Identificación del punto de inWesión</t>
  </si>
  <si>
    <t>1,4, Wariable</t>
  </si>
  <si>
    <t>1.6.REPROGRAMACIÓN WIGENCIA</t>
  </si>
  <si>
    <t>NoW</t>
  </si>
  <si>
    <t>ObserWaciones</t>
  </si>
  <si>
    <t>ObserWaciones y/o descripcion de acciones en el punto de inWersión</t>
  </si>
  <si>
    <t>W1 - Ejec Ws Prog</t>
  </si>
  <si>
    <t>W2 Ejec Ws Anterior</t>
  </si>
  <si>
    <t>W3 - Ejec Ws Reporte Anterior</t>
  </si>
  <si>
    <t>W4 InW Ws Terrri Ejec</t>
  </si>
  <si>
    <t>W5 - InW Ws Terri Prog</t>
  </si>
  <si>
    <t>Actualizar 24 serWicios de información que permitan la implementación de un modelo para la gestión de sistemas de información</t>
  </si>
  <si>
    <t xml:space="preserve">ENTIDAD
Descripción: Actualización del serWicios de información y  mantenimiento y eWolución de los sistemas de información ambiental </t>
  </si>
  <si>
    <t>Se avanzó en 3 en servicios actualizados, para lo cual se desarrollaron acciones frente estrategia de soporte, mantenimiento y evolución de los SI las acciones se reflejan en el archivo adjunto:</t>
  </si>
  <si>
    <t>Se avanzo en un 1 ,50 en el despliegue en el marco de la implementación de los 2 servicios de información para la vigencia, las acciones se reflejan en el archivo adjunto:</t>
  </si>
  <si>
    <t>Se avanzo en la vigencia en un 1,40  frente a la elaboración de 2 documentos para la implementación del gobierno de TI de la entidad, las acciones se reflejan en el archivo adjunto:</t>
  </si>
  <si>
    <t>Se avanzo en un 4,34%    en los servicios tecnológicos en la SDA en el marco del Mintic, Se mantuvo la continuidad y disponibilidad de 99,964%, las acciones se reflejan en el archivo adjunto:</t>
  </si>
  <si>
    <t>Se avanzo en un  1,50 en la elaboración de 2 documentos: Se han venido realizando actividades necesarias para la construcción de 2 documentos que reflejen la adopción de lineamientos; las acciones se reflejan en el archivo adjunto:</t>
  </si>
  <si>
    <t>CORTE A MAYO DE 2024</t>
  </si>
  <si>
    <t>La meta avanzó en un 15,50% en la vigencia, que corresponde al 100% de lo programado y un avance acumulado del  100% en el cuatrienio:
Las actividades ejecutadas en este periodo corresponden a los componetes de información, sistemas de información, seguridad,  servicios tecnológicios y gobierno y estrategia de TI. Además de garantizar la operación de los servicios y soluciones tecnológicas a la SDA, dichas actividades se focalizaron, por un lado en el monitoreo y continuidad de la prestación de los servicios TI y, por otro, en el monitoreo de la seguridad de la información. Así mismo, se continuó con estrategias de uso y apropiación de las aplicaciones de la DPSIA y la elaboración de nuevos lineamientos para la gestión de información y la gestión documental. En temas de gobierno y estrategia se realizaron ajustes a los procedimientos, se elaboraron reportes de seguimiento y se estructuró un nuevo proyecto de inversión, junto con un ejercicio de arquitectura empresarial.
De otra parte, se realizaron mejoras a los sistemas de información de la DPSIA, en particular FOREST, SIPSE, STORM y SIA-MÓVIL.</t>
  </si>
  <si>
    <t>Se logró mantener en operación los servicios de TI, con lo cual se garantizó el trabajo de las distintas dependencias de la SDA. Se mejoraron los sistemas de información a cargo de la DPSIA para responder a las necesidades de los usuarios. Así mismo, se dejó planteado una nueva plataforma de planeación para los próximos 4 años, en materia de tecnología para la SDA.</t>
  </si>
  <si>
    <t>Servicios Tecnológicos:
https://drive.google.com/drive/folders/1itE677-r2J9xJOCYJzNu0KWjiF4jSQdb
Sistemas de Información:
https://drive.google.com/drive/folders/1fmQVZfNH43LSc1dRgp3lH76KAe_QS-rl
Información:
https://drive.google.com/drive/folders/13y47G7_pwWqoC0jYATzF2At-OooGe1r6
Gobierno y Estrategia de TI:
https://drive.google.com/drive/folders/19Bg_k5bBM3x90S-QOCCZp1IZK_rtblWu</t>
  </si>
  <si>
    <t>La meta avanzó en un 4 en la vigencia, correspondiente al 100 % de lo programado y un acumulado avance del 100 % en el cuatrienio. Las acciones más representativas son:
Se elaboraron lineamientos para la gestión de sistemas de información, así:
Plan de capacitación y entrenamiento para los sistemas de información - LI.SIS.15: Se generó mensualmente un plan de capacitación para los sistemas de información de la DPSIA y se ejecutaron las actividades respectivas.
Criterios no funcionales y de calidad de los sistemas de información - LI.SIS.21: Se elaboró el documento de arquitectura de solución y elementos de  calidad para los sistemas de información, el cual se encuentra en proceso de aprobación por parte del Sistema Integrado de Gestión. Este será parte del procedimieto de ciclo de vida del software.
Seguridad y privacidad de los sistemas de información - LI.SIS.22: Se elaboró la lista de chequeo de seguridad y privacida de la información que deben ser tenidos en cuenta para el desarorllo y gestión de sistemas de información en la SDA. Este complementa los criterios funcionales y de calidad de los sistemas de información.
Auditoría y trazabilidad de los sistemas de información - LI.SIS.23:  En 2024 se verificaron los diferenetes logs de auditoría que tienen las aplicaciones de la DPSIA con el fin de verificar su existencia y fucnionamiento.
Igualmente, se realizaron mejoras a los sistemas de información de la DPSIA, en particular FOREST, SIPSE, STORM y SIA-MÓVIL.</t>
  </si>
  <si>
    <t>Se mantuvo la  prestación de los servicios de la SDA a sus usuarios externos, a través de los sistemas de información que soportan los diferentes procesos automatizados. Igualmente, los usuarios externos fueron capacitados en los sistemas de información de la DPSIA lo que facilita su uso y adopción.</t>
  </si>
  <si>
    <t>LIS.SIS.15. https://drive.google.com/drive/folders/1jg-7oinqLeU3p8zVe0lmjlH4H0xjLQsV?usp=drive_link
LI.SIS.21. https://drive.google.com/drive/folders/1kSZ7CnaiFJuSiOdkYsQITO-r4gbqhuP7
LIS.SIS.22. https://drive.google.com/drive/folders/1Ez8zacz0EbLHRK99ckJ82RdZMn7Qqsh9
LIS.SIS.23.
https://drive.google.com/drive/folders/1tYogDTGDl8QtgJxsA8TLkLYvSHTM_UKt?usp=drive_link</t>
  </si>
  <si>
    <t>La SDA cuenta con un inventario de activos de información, el cual es la base para mejorar la gestión de información, la seguridad y aprovechamiento de los datos.</t>
  </si>
  <si>
    <t xml:space="preserve">Actualización y aplicación de mejores prácticas para el gobierno y gestión de TI, identificación de  avance en la implementación de las Políticas de Gobierno y Seguridad Digital así como identificación de oportunidades de mejora, para fortalecer su nivel de madurez y aportar en la articulación entre las tecnologías de la información y la estrategia de la entidad.Reporte de indicadores para medir la Gestion y lo sproyectos de Ti en la entidad. </t>
  </si>
  <si>
    <t>Alineación del gobierno de TI - LI.GO.01
https://drive.google.com/drive/folders/1kMo142jGpRIBS9noC9_LJvKtOLYSyasT?usp=drive_link
Apoyo de TI a los procesos - LI.GO.02
https://drive.google.com/drive/folders/13FmkPrbBswdd_1aCSMTPdILZJ1ySztnn?usp=drive_link
Conformidad - LI.GO.03
https://drive.google.com/drive/folders/1aP-z-D43pKTQyMRx115OuxZJw57t_hx2?usp=drive_link
Proceso de gestión de TI- LI.GO.04
https://drive.google.com/drive/folders/1JUOin6E0BoTupAzpXoAjPy1FxoVBqsMt?usp=drive_link
Capacidades y recursos de TI - LI.GO.05
https://drive.google.com/drive/folders/1PADxm4q8Mvk29U_Qq6shQMnoCSJiZlIQ?usp=drive_link
Optimización de las compras de TI - LI.GO.06
https://drive.google.com/drive/folders/1Qf0p996dJf5ZJ4pOqPGmLBvIcneu1bDE?usp=drive_link
Criterios de adopción y de compra de TI - LI.GO.07
https://drive.google.com/drive/folders/1gzGPxdsT3x9ZLl2UXlA4UzHbWF5LjOJm?usp=drive_link
Retorno de la inversión de TI - LI.GO.08
https://drive.google.com/drive/folders/1IrVYcNWl0CfCedVcuGnpvhBghpQ75bA2?usp=drive_link
Liderazgo de proyectos de TI - LI.GO.09
https://drive.google.com/drive/folders/1a0dAMEzU21c4rloKoqtWr7Yh-3vuI-3c?usp=drive_link
Gestión de proyectos de TI - LI.GO.10
https://drive.google.com/drive/folders/10_jedam56g7032wV8ck8MbIdyaNCeYi_?usp=drive_link
Indicadores de gestión de los proyectos de TI - LI.GO.11
https://drive.google.com/drive/folders/1th7zAfB5vR2XnH_DZNvmiqca2GtMPawj?usp=drive_link
Evaluación del desempeño de la gestión de TI - LI.GO.12
https://drive.google.com/drive/folders/1deUGbhByLOc_czpEuzDtrL5GWCxZ4rYZ?usp=drive_link
Mejoramiento de los procesos - LI.GO.13
https://drive.google.com/drive/folders/1XiESBTJ7fQCVnYcBOrVsV83z8MAYG5wF?usp=drive_link
Gestión de proveedores de TI - LI.GO.14
https://drive.google.com/drive/folders/1GNljMwCzI84lIMdzxFyHPKbEHT0Wa2jg?usp=drive_link
Transferencia de información y conocimiento - LI.GO.15
https://drive.google.com/drive/folders/1coSfc5QpSF8YcvJZKs-dsv0M-Ghueg36?usp=drive_link</t>
  </si>
  <si>
    <t>Contar de manera continua con el servicios de servicio de correo para los colaboradores de la entidad, para poder tener la comunicacion tanto interna como externa.</t>
  </si>
  <si>
    <t>LI.ST.04
https://drive.google.com/drive/folders/1t7_F7JBPo5SxuLJJqU5eM8V67p8UOqb-
LI.ST.11
https://drive.google.com/drive/folders/17KbEPrWCMnB1MyIEBa3dmxEyvWQvQ4Fr
LI.ST.12.
https://drive.google.com/drive/folders/1bfH48rEefebek75hcCq68tZMLlaqSBjC
LI.ST.16.
https://drive.google.com/drive/folders/1vEJesAuR6ucYiMxZodcdrwRonS-1DEgm</t>
  </si>
  <si>
    <t>La meta avanzó en  2 documentos en la vigencia que corresponde al  100 % de lo programado y un acumulado avance del  100 % en el cuatrienio. Las acciones más representativas fueron:
Formulación de árboles de problemas y objetivos, cadena de valor y documento de formulación para el proyecto de inversión DPSIA-SISTEMAS, como evidencia de implementación del lineamiento Gestión de proyectos de inversión - LI.ES.10
Actividades de seguimiento del PETI para la vigencia 2024 como evidencia de implementación del lineamiento recurrente vigencias anteriores: Participación en proyectos con componentes de TI - LI.ES.08.
Identificación de nivel de madurez según el Modelo de Gestión y Gobierno de Tecnologías de la información del MRAE, como ejercicio base de A.E. para la planeación estratégica de TI en la entidad, como apoyo a la implementación del lineamiento Políticas y estándares para la gestión y gobernabilidad de TI - LI.ES.06</t>
  </si>
  <si>
    <t>Fortalecer la estrategia de TI en la Entidad para soporte y mejoramiento en procesos  trámites, servicios a través del seguimiento y actualización de los proyectos con componente TI, la formulacion del proyecto de inversion asociado a tecnologias de la informacion , realizacion de ejercicios de arquitectura empresarial.</t>
  </si>
  <si>
    <t>Gestión de proyectos de inversión - LI.ES.10
https://drive.google.com/drive/folders/10pM8W0Ros8N0xUmjLY3qgtkTFqHzJVkD?usp=drive_link
Participación en proyectos con componentes de TI - LI.ES.08.
https://drive.google.com/drive/folders/10eFDqEYMmSfzL2d0O-x0DESVzkIx-ZAh?usp=drive_link
Políticas y estándares para la gestión y gobernabilidad de TI - LI.ES.06
https://drive.google.com/drive/folders/1rMuNJdMRuvU_76_PGYlZvq9RJUfu_32F?usp=drive_link</t>
  </si>
  <si>
    <t>La meta avanzó en dos (2)  documentos  en la vigencia que corresponde al 100 % de lo programado y un acumulado avance del 100% en el cuatrienio. Las acciones más representativas fueron:
Para aportar al cumplimiento de la meta se llevaron a cabo diferentes actividades para la actualización de los 13 documentos según los lineamientos priorizados en las vigencias anteriores donde se evidencie su implementación de la siguiente manera: Alineación del gobierno de TI - LI.GO.01, Apoyo de TI a los procesos - LI.GO.02, Conformidad - LI.GO.03, Proceso de gestión de TI- LI.GO.04, Capacidades y recursos de TI - LI.GO.05, Optimización de las compras de TI LI.GO.06, Criterios de adopción y de compra de TI LI.GO.07,  Retorno de la inversión de TI (LI.GO.08), Liderazgo de proyectos de TI - LI.GO.09 , Gestión de proyectos de TI – LI.GO.10, Indicadores de gestión de los proyectos de TI - LI.GO.11, Evaluación del desempeño de la gestión de TI - LI.GO.12, Mejoramiento de los procesos - LI.GO.13. De igual manera se realizaron actividades para la generación de los documentos que evidencian la implementación de los lineamientos priorizados para el 2024 relacionados con: Gestión de proveedores de TI - LI.GO.14, Transferencia de información y conocimiento - LI.GO.15</t>
  </si>
  <si>
    <t xml:space="preserve">La meta avanzó en  un  5,43% en la  vigencia que corresponde al  100 % de lo programado y un acumulado avance del 100 % en el cuatrienio. Las acciones más representativas fueron:
Con el fin de contribuir al fortalecimiento de los servicios tecnológicos y, de acuerdo con establecido en la planeación del año 2024,  se ejecutaron las siguientes acciones:
Acceso a servicios en la Nube - LI.ST.04:  Se llevó a cabo la renovación del servicio de correo electrónico a através de la plataforma de Google, lo cual permite la continuidad de dicho servicio.
Tecnología verde - LI.ST.16:  En el año 2024 se continuó con la gestión de resíduos eléctricos y electrónicos. Siguiendo el procedimiento estabecido para tal fin, se dieron de baja y se dispusieron en los lugares correspondientes. 
Control de consumo de los recursos compartidos por Servicios tecnológicos - LI.ST.11: En 2024 se continuó con el monitoreo mensual sobre la capcidad y cosumo de los recursos compartidos, con el fin de garantizar la capacidad de desemeño de los servicios TI, a nivel de servidores físicos y virtuales.  
Gestión preventiva de los Servicios tecnológicos - LI.ST.12:  En cuanto a la seguridad perimetral, en el año 2024 se inició el proceso contractual para renovar el servicio de soporte de los equipos de seguridad perimetral y SOC.  Adicionalmente, en 2024 se continuó con el monitoreo a la infraestructura con el apoyo de dichas herramientas.
</t>
  </si>
  <si>
    <t>En lo corrido de la vigencia se realizaron las siguientes acciones:
FOREST: Mejoras procedimientos Registro de Generadores, Transportadores y Gestores de Aceite Vegetal Usado, Muestreo de contaminantes en Fuentes Fijas de emisión, cartera y Pagos para que el sistema soporte más de una cesión y más de una adición, capacitaciones del sistema forest, quejas, IAAP. WEB SERVICE: Actualización al servicio web de hacienda para la legalización de los trámites por evaluación y seguimiento de los diferentes liquidadores de la entidad, desarrollo servicio web que permite generar una URL pública para la consulta de documentos radicados con calidad del Aire, Auditiva y Visual (SCAAV), a través FOREST, para ser presentados y/o consultados posteriormente a través del sistema de información SIIPEV SIA-MÓVIL: Se realizaron ajustes al acta que se encuentra en producción del grupo de fuentes fijas como la impresión correcta del número de fuentes diligenciada, se amplió la cantidad de caracteres para las tablas de emisiones por proceso, por requerimiento del grupo de flora se está desarrollando la funcionalidad de poder adjuntar y enviar por correo un .zip, con un pdf y con el acta de visita al momento de radicar. FOREST admon: Capacitaciones: 2 generalidades, 3 correspondencia, 2 de paz y salvos, se modificaron 16 terceros en expedientes, atención de 1550 Tickets, se modifican más de 378 radicados en cuanto a tercero y anexos. SIPSE: Se cargó el presupuesto 2024, se esta ajustando requerimientos llegados por Ticket. Se sigue trabajando en seleccionar dependencias si el usuario cuenta con más de una activa. Se creó varios reportes para DGC y SC SI_CAPITAL: Desarrolló nuevo reporte de almacén solicitado. Verificación en la formulación de prima semestral. Se brindó soporte, acompañamiento y asesoría, solicitados por las nomina, terceros y almacén.  PREDIOS: Ajuste en el frontend de acuerdo con lo solicitado, ajustando los campos de información de predios, verificación del backend.</t>
  </si>
  <si>
    <t>En lo corrido de la vigencia se realizaron las siguientes acciones:
Actualización de documentos para evidenciar implementación de lineamientos priorizados vigencias anteriores:
Alineación del gobierno de TI - LI.GO.01: Generación de documentación de estructura organizacional de TI en la DPSIA, procesos procedimientos, gobierno de TI.
Apoyo de TI a los procesos - LI.GO.02: Identificación de necesidades de sistematización de procesos. Inicio generación de instrumento para levantamiento de información a nivel transversal de estado de TI en la entidad, para apoyo de formulación estratégica.
Conformidad - LI.GO.03: Reporte de nivel de madurez de políticas de Gobierno y Seguridad Digital en la entidad. Plan de acción para fortalecer la implementación de las políticas de gobierno y seguridad digital vigencia 2024.
Proceso de gestión de TI- LI.GO.04: Revisión del avance en la implementación del procedimiento PA03-PR09: Mantenimiento preventivo y correctivo de la infraestructura tecnológica de la SDA y la generación de las respectivas evidencias. Se realizo guía para la generación de las certificaciones de prestación de servicios de contratistas, y actividades relacionadas con comunicaciones para su socialización e implementación. 
Capacidades y recursos de TI - LI.GO.05: Gestión de requerimientos sobre aprovisionamiento de recursos por virtualización de acuerdo con las solicitudes registradas en la mesa de servicios de la SDA. Actualización del plan de capacidad de TI. Reporte sobre solicitud de información Servicios Tecnológicos - Conectividad para la Alta Consejería Distrital de TIC. 
Liderazgo de proyectos de TI - LI.GO.09:  Actualización y documentación de las actividades de control y seguimiento al PETI 2021-2024, para 2024.
Evaluación del desempeño de la gestión de TI - LI.GO.12: Actualización de hoja de vida de indicadores de Gestión TI del proyecto de inversión 7804. Propuesta de indicadores de Gestión para la formulación del proyecto de inversión 2024-2028</t>
  </si>
  <si>
    <t>En lo corrido de la vigencia se realizaron las siguientes acciones: 
Formulación de árboles de problemas y objetivos, cadena de valor y documento de formulación para el proyecto de inversión DPSIA-SISTEMAS</t>
  </si>
  <si>
    <t xml:space="preserve">En lo corrido de la vigencia se realizaron las siguientes acciones:
Actividades de seguimiento del PETI   y de los proyectos con componente TI para la vigencia 2024.  Identificación de nivel de madurez  de los difetentes dominios según el Modelo de Gestión y Gobierno de Tecnologías de la información del MRAE, como ejercicio base de A.E. para la planeación estratégica de TI en la entidad, </t>
  </si>
  <si>
    <t>Se ejecutaron las siguientes actividades principales:        
Plan de capacitación y entrenamiento para los sistemas de información - LI.SIS.15: Se generó mensualmente un plan de capacitación para los sistemas de información de la DPSIA y se ejecutaron las actividades respectivas.
Criterios no funcionales y de calidad de los sistemas de información - LI.SIS.21: Se elaboró el documento de arquitectura de solución y elementos de calidad para los sistemas de información, el cual se encuentra en proceso de aprobación por parte del Sistema Integrado de Gestión. Este será parte del procedimiento de ciclo de vida del software.
Seguridad y privacidad de los sistemas de información - LI.SIS.22: Se elaboró la lista de chequeo de seguridad y privacidad de la información que deben ser tenidos en cuenta para el desarrollo y gestión de sistemas de información en la SDA. Este complementa los criterios funcionales y de calidad de los sistemas de información.
Auditoría y trazabilidad de los sistemas de información - LI.SIS.23:  En 2024 se verificaron los diferentes logs de auditoría que tienen las aplicaciones de la DPSIA con el fin de verificar su existencia y funcionamiento.</t>
  </si>
  <si>
    <t>En lo corrido de la vigencia se realizaron las siguientes acciones:
Generación de documentos para evidenciar implementación de lineamientos priorizados esta vigencia:
Gestión de proveedores de TI - LI.GO.14: Seguimiento a estado de los procesos jurídicos tecnológicos de la DPSIA y de la DGC así como la identificación de riesgos asociados a los mismos, para establecer buenas prácticas. Inicio de propuesta para procedimiento de gestión de Proveedores de TI.
Transferencia de información y conocimiento - LI.GO.15 Implementación de procedimiento de Uso y apropiación de TI, Consolidación de manuales y guías en herramienta mesa de servicio de la entidad.
Inclusión de obligación específica para algunos de los contratistas de SISTEMAS - DPSIA   relacionada con: Identificar y documentar los errores conocidos y frecuentes de los S.I.  con su respectiva solución, así como las actividades que puedan ser llevadas a cabo por el desarrollador o el usuario final de manera autónoma</t>
  </si>
  <si>
    <t>Todas las sesiones de trabajo para avanzar en la actualización de los tres servicios de información y el mantenimiento y evolución de los sistemas de información ambiental se realizaron en la entidad en la localidad de Chapinero</t>
  </si>
  <si>
    <t>Se avanzó en 4 en servicios actualizados, para lo cual se desarrollaron acciones frente estrategia de soporte, mantenimiento y evolución de los SI las acciones se reflejan en el archivo adjunto:</t>
  </si>
  <si>
    <t>Se avanzo en un 2 en el despliegue en el marco de la implementación de los 2 servicios de información para la vigencia, las acciones se reflejan en el archivo adjunto:</t>
  </si>
  <si>
    <t>Se avanzo en la vigencia en un 2  frente a la elaboración de 2 documentos para la implementación del gobierno de TI de la entidad, las acciones se reflejan en el archivo adjunto:</t>
  </si>
  <si>
    <t>Se avanzo en un 5,43%    en los servicios tecnológicos en la SDA en el marco del Mintic, Se mantuvo la continuidad y disponibilidad de 99,964%, las acciones se reflejan en el archivo adjunto:</t>
  </si>
  <si>
    <t>Se avanzo en un  2 en la elaboración de 2 documentos: Se han venido realizando actividades necesarias para la construcción de 2 documentos que reflejen la adopción de lineamientos; las acciones se reflejan en el archivo adjunto:</t>
  </si>
  <si>
    <t>El avance presentado este mes corresponde a dos informes que contiene las actividades realizadas para la adopción e implementación de los lineamientos para el dominio de sistemas de información en la entidad</t>
  </si>
  <si>
    <t>El avance presentado este mes corresponde a dos informes que contiene  las actividades realizadas para la adopción e implementación de los lineamientos para el dominio de información en la entidad,</t>
  </si>
  <si>
    <t>El avance está representado en la elaboración de dos informes  que contiene las actividades realizadas para la adopción e implementación de los lineamientos para el dominio de gobierno de TI en la entidad</t>
  </si>
  <si>
    <t xml:space="preserve">El avance está representado en la elaboración de dos Informes en el cual se reportan las actividades realizadas para la adopción e implementación de los lineamientos para el dominio de estrategia de TI en la entidad, </t>
  </si>
  <si>
    <t>En lo corrido de la vigencia se realizaron las siguientes acciones:
Acceso a servicios en la Nube - LI.ST.04:  Se llevó a cabo la renovación del servicio de correo electrónico a através de la plataforma de Google, lo cual permite la continuidad de dicho servicio.
Tecnología verde - LI.ST.16:Se continuó con la gestión de resíduos eléctricos y electrónicos. Siguiendo el procedimiento estabecido para tal fin, se dieron de baja y se dispusieron en los lugares correspondientes. 
Control de consumo de los recursos compartidos por Servicios tecnológicos - LI.ST.11: Se continuó con el monitoreo mensual sobre la capacidad y cosumo de los recursos compartidos, con el fin de garantizar la capacidad de desemeño de los servicios TI, a nivel de servidores físicos y virtuales.  
Gestión preventiva de los Servicios tecnológicos - LI.ST.12:  En cuanto a la seguridad perimetral, en el año 2024 se inició el proceso contractual para renovar el servicio de soporte de los equipos de seguridad perimetral y SOC.  Adicionalmente, en 2024 se continuó con el monitoreo a la infraestructura con el apoyo de dichas herramientas.</t>
  </si>
  <si>
    <t>La meta avanzó en un 2 documentos  en la vigencia que corresponde al 100 % de lo programado y un acumulado avance del  100 % en el cuatrienio. Las acciones más representativas fueron:
Protección y privacidad de Componentes de información - LI.INF.14: Se elaboró, en conjunto con la Dirección de Gestión Corporativa, el documento de esquema de metadatos para la gestión documental en el SDA. Se continua con el proceso de validación para que haga parte de un SGDEA o herramienta de gestión de archivo.
Auditoria y trazabilidad de Componentes de información - LI.INF.15: Se completó la fase de identifcación de los activos de información de la SDA. Se continuá en su análisis para realizar la valoración de riesgos e incluirlos dentro de la gestión de seguridad y privacidad de la informaión.</t>
  </si>
  <si>
    <t>LI.INF.14.
https://drive.google.com/drive/folders/1e9NkFrJhdI7nvaquSohIxW1zGMw5ej5G
LI.INF.15
https://drive.google.com/drive/folders/1wIJNtUZjAi9ZImbYEWi87yZclWnh2hwb</t>
  </si>
  <si>
    <t>7, LOGROS CORTE A MAYO 2024</t>
  </si>
  <si>
    <t>Se ejecutaron las siguientes actividades relacionadas con los componentes de información:
Protección y privacidad de Componentes de información - LI.INF.14: Se elaboró, en conjunto con la Dirección de Gestión Corporativa, el documento de esquema de metadatos para la gestión documental en el SDA. Se continua con el proceso de validación para que haga parte de un SGDEA o herramienta de gestión de archivo.
Auditoria y trazabilidad de Componentes de información - LI.INF.15: Se completó la fase de identificación de los activos de información de la SDA. Se continua en su análisis para realizar la valoración de riesgos e incluirlos dentro de la gestión de seguridad y privacidad de la información.</t>
  </si>
  <si>
    <t>1, 5. PROGRAMACIÓN INICIAL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</si>
</sst>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4" formatCode="_-&quot;$&quot;\ * #,##0.00_-;\-&quot;$&quot;\ * #,##0.00_-;_-&quot;$&quot;\ * &quot;-&quot;??_-;_-@_-"/>
    <numFmt numFmtId="164" formatCode="_-* #,##0\ _€_-;\-* #,##0\ _€_-;_-* &quot;-&quot;??\ _€_-;_-@"/>
    <numFmt numFmtId="165" formatCode="0.0"/>
    <numFmt numFmtId="166" formatCode="_-&quot;$&quot;\ * #,##0.00_-;\-&quot;$&quot;\ * #,##0.00_-;_-&quot;$&quot;\ * &quot;-&quot;??_-;_-@"/>
    <numFmt numFmtId="167" formatCode="_-* #,##0_-;\-* #,##0_-;_-* &quot;-&quot;_-;_-@"/>
    <numFmt numFmtId="168" formatCode="&quot;$&quot;\ #,##0.00"/>
    <numFmt numFmtId="169" formatCode="0.0%"/>
    <numFmt numFmtId="170" formatCode="_-&quot;$&quot;\ * #,##0_-;\-&quot;$&quot;\ * #,##0_-;_-&quot;$&quot;\ * &quot;-&quot;??_-;_-@"/>
    <numFmt numFmtId="171" formatCode="_-&quot;$&quot;\ * #,##0_-;\-&quot;$&quot;\ * #,##0_-;_-&quot;$&quot;\ * &quot;-&quot;_-;_-@"/>
    <numFmt numFmtId="172" formatCode="#,##0.00_ ;\-#,##0.00\ "/>
  </numFmts>
  <fonts count="48" x14ac:knownFonts="1">
    <font>
      <sz val="11"/>
      <color theme="1"/>
      <name val="Calibri"/>
      <scheme val="minor"/>
    </font>
    <font>
      <sz val="11"/>
      <color theme="1"/>
      <name val="Calibri"/>
      <family val="2"/>
      <scheme val="minor"/>
    </font>
    <font>
      <sz val="11"/>
      <color theme="1"/>
      <name val="Calibri"/>
      <family val="2"/>
    </font>
    <font>
      <sz val="24"/>
      <color theme="1"/>
      <name val="Calibri"/>
      <family val="2"/>
    </font>
    <font>
      <sz val="11"/>
      <name val="Calibri"/>
      <family val="2"/>
    </font>
    <font>
      <b/>
      <sz val="24"/>
      <color theme="1"/>
      <name val="Arial"/>
      <family val="2"/>
    </font>
    <font>
      <sz val="24"/>
      <color theme="1"/>
      <name val="Arial"/>
      <family val="2"/>
    </font>
    <font>
      <b/>
      <sz val="20"/>
      <color theme="1"/>
      <name val="Arial"/>
      <family val="2"/>
    </font>
    <font>
      <b/>
      <sz val="14"/>
      <color theme="1"/>
      <name val="Arial"/>
      <family val="2"/>
    </font>
    <font>
      <sz val="12"/>
      <color theme="1"/>
      <name val="Arial"/>
      <family val="2"/>
    </font>
    <font>
      <b/>
      <sz val="16"/>
      <color theme="1"/>
      <name val="Arial"/>
      <family val="2"/>
    </font>
    <font>
      <b/>
      <sz val="12"/>
      <color theme="1"/>
      <name val="Arial"/>
      <family val="2"/>
    </font>
    <font>
      <sz val="12"/>
      <color rgb="FF000000"/>
      <name val="Arial"/>
      <family val="2"/>
    </font>
    <font>
      <sz val="11"/>
      <color theme="1"/>
      <name val="Arial"/>
      <family val="2"/>
    </font>
    <font>
      <u/>
      <sz val="11"/>
      <color rgb="FF0000FF"/>
      <name val="Calibri"/>
      <family val="2"/>
    </font>
    <font>
      <b/>
      <sz val="11"/>
      <color theme="1"/>
      <name val="Calibri"/>
      <family val="2"/>
    </font>
    <font>
      <sz val="10"/>
      <color theme="1"/>
      <name val="Arial"/>
      <family val="2"/>
    </font>
    <font>
      <sz val="8"/>
      <color theme="1"/>
      <name val="Arial"/>
      <family val="2"/>
    </font>
    <font>
      <b/>
      <sz val="11"/>
      <color theme="1"/>
      <name val="Arial"/>
      <family val="2"/>
    </font>
    <font>
      <sz val="14"/>
      <color theme="1"/>
      <name val="Arial"/>
      <family val="2"/>
    </font>
    <font>
      <sz val="12"/>
      <color theme="1"/>
      <name val="Calibri"/>
      <family val="2"/>
    </font>
    <font>
      <sz val="11"/>
      <color theme="1"/>
      <name val="Calibri"/>
      <family val="2"/>
      <scheme val="minor"/>
    </font>
    <font>
      <b/>
      <sz val="10"/>
      <color theme="1"/>
      <name val="Arial"/>
      <family val="2"/>
    </font>
    <font>
      <b/>
      <sz val="8"/>
      <color theme="1"/>
      <name val="Arial"/>
      <family val="2"/>
    </font>
    <font>
      <b/>
      <sz val="14"/>
      <color rgb="FF000000"/>
      <name val="Arial"/>
      <family val="2"/>
    </font>
    <font>
      <sz val="9"/>
      <color theme="1"/>
      <name val="Arial"/>
      <family val="2"/>
    </font>
    <font>
      <sz val="7"/>
      <color theme="1"/>
      <name val="Arial"/>
      <family val="2"/>
    </font>
    <font>
      <b/>
      <sz val="9"/>
      <color theme="1"/>
      <name val="Arial"/>
      <family val="2"/>
    </font>
    <font>
      <b/>
      <sz val="9"/>
      <color rgb="FF000000"/>
      <name val="Arial"/>
      <family val="2"/>
    </font>
    <font>
      <sz val="14"/>
      <color theme="1"/>
      <name val="Tahoma"/>
      <family val="2"/>
    </font>
    <font>
      <b/>
      <sz val="14"/>
      <color theme="1"/>
      <name val="Tahoma"/>
      <family val="2"/>
    </font>
    <font>
      <b/>
      <sz val="20"/>
      <color theme="1"/>
      <name val="Calibri"/>
      <family val="2"/>
    </font>
    <font>
      <sz val="11"/>
      <color theme="1"/>
      <name val="Times New Roman"/>
      <family val="1"/>
    </font>
    <font>
      <b/>
      <sz val="20"/>
      <color rgb="FFFF0000"/>
      <name val="Arial"/>
      <family val="2"/>
    </font>
    <font>
      <u/>
      <sz val="11"/>
      <color theme="10"/>
      <name val="Calibri"/>
      <family val="2"/>
      <scheme val="minor"/>
    </font>
    <font>
      <sz val="10"/>
      <color theme="1"/>
      <name val="Arial"/>
      <family val="2"/>
    </font>
    <font>
      <sz val="11"/>
      <color rgb="FF000000"/>
      <name val="Calibri"/>
      <family val="2"/>
    </font>
    <font>
      <b/>
      <sz val="10"/>
      <color theme="1"/>
      <name val="Calibri"/>
      <family val="2"/>
    </font>
    <font>
      <sz val="11"/>
      <color theme="1"/>
      <name val="Calibri"/>
      <family val="2"/>
      <scheme val="minor"/>
    </font>
    <font>
      <sz val="12"/>
      <name val="Calibri"/>
      <family val="2"/>
    </font>
    <font>
      <sz val="11"/>
      <color theme="0"/>
      <name val="Calibri"/>
      <family val="2"/>
      <scheme val="minor"/>
    </font>
    <font>
      <sz val="10"/>
      <color theme="0"/>
      <name val="Arial"/>
      <family val="2"/>
    </font>
    <font>
      <sz val="11"/>
      <color theme="0"/>
      <name val="Calibri"/>
      <family val="2"/>
    </font>
    <font>
      <sz val="11"/>
      <color rgb="FF006100"/>
      <name val="Calibri"/>
      <family val="2"/>
    </font>
    <font>
      <u/>
      <sz val="12"/>
      <name val="Calibri"/>
      <family val="2"/>
      <scheme val="minor"/>
    </font>
    <font>
      <u/>
      <sz val="11"/>
      <name val="Calibri"/>
      <family val="2"/>
      <scheme val="minor"/>
    </font>
    <font>
      <b/>
      <sz val="10"/>
      <name val="Arial"/>
      <family val="2"/>
    </font>
    <font>
      <sz val="10"/>
      <name val="Arial"/>
      <family val="2"/>
    </font>
  </fonts>
  <fills count="16">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B4F0F6"/>
        <bgColor rgb="FFB4F0F6"/>
      </patternFill>
    </fill>
    <fill>
      <patternFill patternType="solid">
        <fgColor rgb="FFD8D8D8"/>
        <bgColor rgb="FFD8D8D8"/>
      </patternFill>
    </fill>
    <fill>
      <patternFill patternType="solid">
        <fgColor rgb="FFFFFFFF"/>
        <bgColor rgb="FFFFFFFF"/>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71">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medium">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diagonal/>
    </border>
    <border>
      <left/>
      <right/>
      <top style="medium">
        <color rgb="FF000000"/>
      </top>
      <bottom style="thin">
        <color rgb="FF000000"/>
      </bottom>
      <diagonal/>
    </border>
    <border>
      <left style="thin">
        <color rgb="FF000000"/>
      </left>
      <right/>
      <top/>
      <bottom style="medium">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diagonal/>
    </border>
    <border>
      <left style="medium">
        <color rgb="FF000000"/>
      </left>
      <right/>
      <top/>
      <bottom/>
      <diagonal/>
    </border>
    <border>
      <left/>
      <right style="thin">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
    <xf numFmtId="0" fontId="0" fillId="0" borderId="0"/>
    <xf numFmtId="0" fontId="34" fillId="0" borderId="0" applyNumberFormat="0" applyFill="0" applyBorder="0" applyAlignment="0" applyProtection="0"/>
    <xf numFmtId="0" fontId="36" fillId="0" borderId="83"/>
    <xf numFmtId="44" fontId="38" fillId="0" borderId="0" applyFont="0" applyFill="0" applyBorder="0" applyAlignment="0" applyProtection="0"/>
    <xf numFmtId="9" fontId="38" fillId="0" borderId="0" applyFont="0" applyFill="0" applyBorder="0" applyAlignment="0" applyProtection="0"/>
  </cellStyleXfs>
  <cellXfs count="812">
    <xf numFmtId="0" fontId="0" fillId="0" borderId="0" xfId="0"/>
    <xf numFmtId="0" fontId="2" fillId="2" borderId="1" xfId="0" applyFont="1" applyFill="1" applyBorder="1"/>
    <xf numFmtId="0" fontId="2" fillId="2" borderId="1" xfId="0" applyFont="1" applyFill="1" applyBorder="1" applyAlignment="1">
      <alignment horizontal="center"/>
    </xf>
    <xf numFmtId="0" fontId="2" fillId="0" borderId="0" xfId="0" applyFont="1" applyAlignment="1">
      <alignment horizontal="center"/>
    </xf>
    <xf numFmtId="0" fontId="2" fillId="0" borderId="9" xfId="0" applyFont="1" applyBorder="1"/>
    <xf numFmtId="0" fontId="2" fillId="0" borderId="10" xfId="0" applyFont="1" applyBorder="1"/>
    <xf numFmtId="0" fontId="9" fillId="2" borderId="1" xfId="0" applyFont="1" applyFill="1" applyBorder="1" applyAlignment="1">
      <alignment horizontal="center" vertical="center" wrapText="1"/>
    </xf>
    <xf numFmtId="0" fontId="9" fillId="2" borderId="1" xfId="0" applyFont="1" applyFill="1" applyBorder="1"/>
    <xf numFmtId="0" fontId="9" fillId="2" borderId="19" xfId="0" applyFont="1" applyFill="1" applyBorder="1"/>
    <xf numFmtId="0" fontId="9" fillId="3" borderId="29" xfId="0" applyFont="1" applyFill="1" applyBorder="1" applyAlignment="1">
      <alignment vertical="center" wrapText="1"/>
    </xf>
    <xf numFmtId="0" fontId="9" fillId="3" borderId="30" xfId="0" applyFont="1" applyFill="1" applyBorder="1" applyAlignment="1">
      <alignment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11" fillId="8" borderId="36"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3" borderId="33" xfId="0" applyFont="1" applyFill="1" applyBorder="1" applyAlignment="1">
      <alignment horizontal="center" vertical="center" wrapText="1"/>
    </xf>
    <xf numFmtId="10" fontId="2" fillId="0" borderId="0" xfId="0" applyNumberFormat="1" applyFont="1" applyAlignment="1">
      <alignment horizontal="center"/>
    </xf>
    <xf numFmtId="0" fontId="15" fillId="2" borderId="1" xfId="0" applyFont="1" applyFill="1" applyBorder="1"/>
    <xf numFmtId="0" fontId="15" fillId="10" borderId="43" xfId="0" applyFont="1" applyFill="1" applyBorder="1" applyAlignment="1">
      <alignment horizontal="center" vertical="center"/>
    </xf>
    <xf numFmtId="0" fontId="9" fillId="0" borderId="0" xfId="0" applyFont="1" applyAlignment="1">
      <alignment horizontal="center"/>
    </xf>
    <xf numFmtId="0" fontId="2" fillId="0" borderId="43" xfId="0" applyFont="1" applyBorder="1" applyAlignment="1">
      <alignment horizontal="center" vertical="center"/>
    </xf>
    <xf numFmtId="0" fontId="2" fillId="0" borderId="44" xfId="0" applyFont="1" applyBorder="1" applyAlignment="1">
      <alignment horizontal="left" vertical="center" wrapText="1"/>
    </xf>
    <xf numFmtId="0" fontId="16" fillId="2" borderId="1" xfId="0" applyFont="1" applyFill="1" applyBorder="1"/>
    <xf numFmtId="0" fontId="17" fillId="2" borderId="1" xfId="0" applyFont="1" applyFill="1" applyBorder="1"/>
    <xf numFmtId="0" fontId="9" fillId="2" borderId="1" xfId="0" applyFont="1" applyFill="1" applyBorder="1" applyAlignment="1">
      <alignment horizontal="center"/>
    </xf>
    <xf numFmtId="0" fontId="9" fillId="9" borderId="1" xfId="0" applyFont="1" applyFill="1" applyBorder="1" applyAlignment="1">
      <alignment horizontal="center"/>
    </xf>
    <xf numFmtId="164" fontId="2" fillId="2" borderId="1" xfId="0" applyNumberFormat="1" applyFont="1" applyFill="1" applyBorder="1" applyAlignment="1">
      <alignment horizontal="center"/>
    </xf>
    <xf numFmtId="0" fontId="13" fillId="3" borderId="29"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3" fillId="5" borderId="55" xfId="0" applyFont="1" applyFill="1" applyBorder="1" applyAlignment="1">
      <alignment horizontal="center" vertical="center" wrapText="1"/>
    </xf>
    <xf numFmtId="0" fontId="9" fillId="4" borderId="56"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8" borderId="55"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7" borderId="55" xfId="0" applyFont="1" applyFill="1" applyBorder="1" applyAlignment="1">
      <alignment horizontal="center" vertical="center" wrapText="1"/>
    </xf>
    <xf numFmtId="0" fontId="19" fillId="7" borderId="57"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11" fillId="8" borderId="59" xfId="0" applyFont="1" applyFill="1" applyBorder="1" applyAlignment="1">
      <alignment horizontal="center" vertical="center" wrapText="1"/>
    </xf>
    <xf numFmtId="0" fontId="11" fillId="9" borderId="60" xfId="0" applyFont="1" applyFill="1" applyBorder="1" applyAlignment="1">
      <alignment horizontal="center" vertical="center" wrapText="1"/>
    </xf>
    <xf numFmtId="0" fontId="11" fillId="8" borderId="58"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3" fillId="3" borderId="66" xfId="0" applyFont="1" applyFill="1" applyBorder="1" applyAlignment="1">
      <alignment horizontal="left" vertical="center" wrapText="1"/>
    </xf>
    <xf numFmtId="0" fontId="13" fillId="4" borderId="66" xfId="0" applyFont="1" applyFill="1" applyBorder="1" applyAlignment="1">
      <alignment horizontal="left" vertical="center" wrapText="1"/>
    </xf>
    <xf numFmtId="168" fontId="13" fillId="5" borderId="67" xfId="0" applyNumberFormat="1" applyFont="1" applyFill="1" applyBorder="1" applyAlignment="1">
      <alignment horizontal="center" vertical="center" wrapText="1"/>
    </xf>
    <xf numFmtId="0" fontId="13" fillId="4" borderId="69" xfId="0" applyFont="1" applyFill="1" applyBorder="1" applyAlignment="1">
      <alignment horizontal="left" vertical="center" wrapText="1"/>
    </xf>
    <xf numFmtId="0" fontId="13" fillId="3" borderId="71" xfId="0" applyFont="1" applyFill="1" applyBorder="1" applyAlignment="1">
      <alignment horizontal="left" vertical="center" wrapText="1"/>
    </xf>
    <xf numFmtId="0" fontId="13" fillId="3" borderId="73" xfId="0" applyFont="1" applyFill="1" applyBorder="1" applyAlignment="1">
      <alignment horizontal="left" vertical="center" wrapText="1"/>
    </xf>
    <xf numFmtId="0" fontId="13" fillId="3" borderId="77" xfId="0" applyFont="1" applyFill="1" applyBorder="1" applyAlignment="1">
      <alignment horizontal="left" vertical="center" wrapText="1"/>
    </xf>
    <xf numFmtId="0" fontId="13" fillId="4" borderId="84" xfId="0" applyFont="1" applyFill="1" applyBorder="1" applyAlignment="1">
      <alignment horizontal="left" vertical="top" wrapText="1"/>
    </xf>
    <xf numFmtId="0" fontId="13" fillId="3" borderId="88" xfId="0" applyFont="1" applyFill="1" applyBorder="1" applyAlignment="1">
      <alignment horizontal="left" vertical="center" wrapText="1"/>
    </xf>
    <xf numFmtId="0" fontId="16" fillId="0" borderId="0" xfId="0" applyFont="1"/>
    <xf numFmtId="0" fontId="17" fillId="0" borderId="0" xfId="0" applyFont="1"/>
    <xf numFmtId="3" fontId="9" fillId="0" borderId="0" xfId="0" applyNumberFormat="1" applyFont="1" applyAlignment="1">
      <alignment horizontal="center"/>
    </xf>
    <xf numFmtId="0" fontId="15" fillId="0" borderId="0" xfId="0" applyFont="1"/>
    <xf numFmtId="3" fontId="2" fillId="0" borderId="0" xfId="0" applyNumberFormat="1" applyFont="1"/>
    <xf numFmtId="3" fontId="15" fillId="0" borderId="0" xfId="0" applyNumberFormat="1" applyFont="1"/>
    <xf numFmtId="0" fontId="2" fillId="0" borderId="0" xfId="0" applyFont="1"/>
    <xf numFmtId="0" fontId="21" fillId="0" borderId="0" xfId="0" applyFont="1"/>
    <xf numFmtId="0" fontId="7" fillId="2" borderId="91" xfId="0" applyFont="1" applyFill="1" applyBorder="1" applyAlignment="1">
      <alignment horizontal="center" vertical="center" wrapText="1"/>
    </xf>
    <xf numFmtId="0" fontId="16" fillId="11" borderId="1" xfId="0" applyFont="1" applyFill="1" applyBorder="1" applyAlignment="1">
      <alignment vertical="center"/>
    </xf>
    <xf numFmtId="0" fontId="23" fillId="3" borderId="68" xfId="0" applyFont="1" applyFill="1" applyBorder="1" applyAlignment="1">
      <alignment horizontal="center" vertical="center" textRotation="90" wrapText="1"/>
    </xf>
    <xf numFmtId="0" fontId="22" fillId="3" borderId="90" xfId="0" applyFont="1" applyFill="1" applyBorder="1" applyAlignment="1">
      <alignment horizontal="center" vertical="center" wrapText="1"/>
    </xf>
    <xf numFmtId="9" fontId="22" fillId="3" borderId="112" xfId="0" applyNumberFormat="1" applyFont="1" applyFill="1" applyBorder="1" applyAlignment="1">
      <alignment horizontal="center" vertical="center" wrapText="1"/>
    </xf>
    <xf numFmtId="0" fontId="22" fillId="3" borderId="113" xfId="0" applyFont="1" applyFill="1" applyBorder="1" applyAlignment="1">
      <alignment horizontal="center" vertical="center" wrapText="1"/>
    </xf>
    <xf numFmtId="0" fontId="16" fillId="11" borderId="1" xfId="0" applyFont="1" applyFill="1" applyBorder="1" applyAlignment="1">
      <alignment horizontal="left" vertical="center"/>
    </xf>
    <xf numFmtId="10" fontId="16" fillId="11" borderId="1" xfId="0" applyNumberFormat="1" applyFont="1" applyFill="1" applyBorder="1" applyAlignment="1">
      <alignment vertical="center"/>
    </xf>
    <xf numFmtId="0" fontId="16" fillId="0" borderId="0" xfId="0" applyFont="1" applyAlignment="1">
      <alignment vertical="center"/>
    </xf>
    <xf numFmtId="10" fontId="16" fillId="0" borderId="0" xfId="0" applyNumberFormat="1" applyFont="1" applyAlignment="1">
      <alignment vertical="center"/>
    </xf>
    <xf numFmtId="0" fontId="16" fillId="0" borderId="0" xfId="0" applyFont="1" applyAlignment="1">
      <alignment horizontal="left" vertical="center"/>
    </xf>
    <xf numFmtId="0" fontId="22" fillId="3" borderId="112" xfId="0" applyFont="1" applyFill="1" applyBorder="1" applyAlignment="1">
      <alignment vertical="center" wrapText="1"/>
    </xf>
    <xf numFmtId="0" fontId="22" fillId="3" borderId="117" xfId="0" applyFont="1" applyFill="1" applyBorder="1" applyAlignment="1">
      <alignment vertical="center" wrapText="1"/>
    </xf>
    <xf numFmtId="10" fontId="16" fillId="3" borderId="118" xfId="0" applyNumberFormat="1" applyFont="1" applyFill="1" applyBorder="1" applyAlignment="1">
      <alignment horizontal="center" vertical="center" wrapText="1"/>
    </xf>
    <xf numFmtId="0" fontId="16" fillId="3" borderId="118" xfId="0" applyFont="1" applyFill="1" applyBorder="1" applyAlignment="1">
      <alignment horizontal="center" vertical="center" wrapText="1"/>
    </xf>
    <xf numFmtId="0" fontId="22" fillId="3" borderId="118" xfId="0" applyFont="1" applyFill="1" applyBorder="1" applyAlignment="1">
      <alignment horizontal="center" vertical="center" wrapText="1"/>
    </xf>
    <xf numFmtId="0" fontId="22" fillId="3" borderId="68" xfId="0" applyFont="1" applyFill="1" applyBorder="1" applyAlignment="1">
      <alignment horizontal="center" vertical="center" wrapText="1"/>
    </xf>
    <xf numFmtId="0" fontId="22" fillId="3" borderId="68" xfId="0" applyFont="1" applyFill="1" applyBorder="1" applyAlignment="1">
      <alignment horizontal="center" vertical="top" wrapText="1"/>
    </xf>
    <xf numFmtId="0" fontId="22" fillId="3" borderId="120" xfId="0" applyFont="1" applyFill="1" applyBorder="1" applyAlignment="1">
      <alignment horizontal="center" vertical="top" wrapText="1"/>
    </xf>
    <xf numFmtId="0" fontId="26" fillId="3" borderId="122" xfId="0" applyFont="1" applyFill="1" applyBorder="1" applyAlignment="1">
      <alignment horizontal="left" vertical="center" wrapText="1"/>
    </xf>
    <xf numFmtId="0" fontId="26" fillId="4" borderId="125" xfId="0" applyFont="1" applyFill="1" applyBorder="1" applyAlignment="1">
      <alignment horizontal="left" vertical="center" wrapText="1"/>
    </xf>
    <xf numFmtId="0" fontId="27" fillId="3" borderId="126" xfId="0" applyFont="1" applyFill="1" applyBorder="1" applyAlignment="1">
      <alignment horizontal="left" vertical="center" wrapText="1"/>
    </xf>
    <xf numFmtId="171" fontId="27" fillId="3" borderId="72" xfId="0" applyNumberFormat="1" applyFont="1" applyFill="1" applyBorder="1" applyAlignment="1">
      <alignment horizontal="center" vertical="center" wrapText="1"/>
    </xf>
    <xf numFmtId="0" fontId="22" fillId="3" borderId="128" xfId="0" applyFont="1" applyFill="1" applyBorder="1" applyAlignment="1">
      <alignment vertical="center" wrapText="1"/>
    </xf>
    <xf numFmtId="0" fontId="27" fillId="3" borderId="84" xfId="0" applyFont="1" applyFill="1" applyBorder="1" applyAlignment="1">
      <alignment horizontal="left" vertical="center" wrapText="1"/>
    </xf>
    <xf numFmtId="3" fontId="25" fillId="3" borderId="78" xfId="0" applyNumberFormat="1" applyFont="1" applyFill="1" applyBorder="1" applyAlignment="1">
      <alignment horizontal="center" vertical="center" wrapText="1"/>
    </xf>
    <xf numFmtId="171" fontId="27" fillId="3" borderId="43" xfId="0" applyNumberFormat="1" applyFont="1" applyFill="1" applyBorder="1" applyAlignment="1">
      <alignment horizontal="center" vertical="center" wrapText="1"/>
    </xf>
    <xf numFmtId="3" fontId="28" fillId="3" borderId="89" xfId="0" applyNumberFormat="1" applyFont="1" applyFill="1" applyBorder="1" applyAlignment="1">
      <alignment horizontal="center" vertical="center"/>
    </xf>
    <xf numFmtId="171" fontId="27" fillId="3" borderId="90" xfId="0" applyNumberFormat="1" applyFont="1" applyFill="1" applyBorder="1" applyAlignment="1">
      <alignment horizontal="center" vertical="center" wrapText="1"/>
    </xf>
    <xf numFmtId="0" fontId="22" fillId="3" borderId="130" xfId="0" applyFont="1" applyFill="1" applyBorder="1" applyAlignment="1">
      <alignment vertical="center" wrapText="1"/>
    </xf>
    <xf numFmtId="0" fontId="22" fillId="3" borderId="131" xfId="0" applyFont="1" applyFill="1" applyBorder="1" applyAlignment="1">
      <alignment vertical="center" wrapText="1"/>
    </xf>
    <xf numFmtId="0" fontId="22" fillId="3" borderId="132" xfId="0" applyFont="1" applyFill="1" applyBorder="1" applyAlignment="1">
      <alignment vertical="center" wrapText="1"/>
    </xf>
    <xf numFmtId="0" fontId="2" fillId="11" borderId="1" xfId="0" applyFont="1" applyFill="1" applyBorder="1"/>
    <xf numFmtId="4" fontId="2" fillId="11" borderId="1" xfId="0" applyNumberFormat="1" applyFont="1" applyFill="1" applyBorder="1"/>
    <xf numFmtId="0" fontId="15" fillId="11" borderId="1" xfId="0" applyFont="1" applyFill="1" applyBorder="1"/>
    <xf numFmtId="172" fontId="9" fillId="0" borderId="0" xfId="0" applyNumberFormat="1" applyFont="1" applyAlignment="1">
      <alignment horizontal="center"/>
    </xf>
    <xf numFmtId="171" fontId="27" fillId="0" borderId="0" xfId="0" applyNumberFormat="1" applyFont="1" applyAlignment="1">
      <alignment horizontal="center" vertical="center" wrapText="1"/>
    </xf>
    <xf numFmtId="4" fontId="2" fillId="0" borderId="0" xfId="0" applyNumberFormat="1" applyFont="1"/>
    <xf numFmtId="0" fontId="13" fillId="0" borderId="0" xfId="0" applyFont="1"/>
    <xf numFmtId="0" fontId="22" fillId="4" borderId="85" xfId="0" applyFont="1" applyFill="1" applyBorder="1" applyAlignment="1">
      <alignment horizontal="center" vertical="center"/>
    </xf>
    <xf numFmtId="0" fontId="22" fillId="3" borderId="43" xfId="0" applyFont="1" applyFill="1" applyBorder="1" applyAlignment="1">
      <alignment horizontal="center" vertical="center" wrapText="1"/>
    </xf>
    <xf numFmtId="0" fontId="22" fillId="3" borderId="86" xfId="0" applyFont="1" applyFill="1" applyBorder="1" applyAlignment="1">
      <alignment horizontal="center" vertical="center" wrapText="1"/>
    </xf>
    <xf numFmtId="0" fontId="13" fillId="0" borderId="85" xfId="0" applyFont="1" applyBorder="1"/>
    <xf numFmtId="0" fontId="2" fillId="0" borderId="43" xfId="0" applyFont="1" applyBorder="1"/>
    <xf numFmtId="3" fontId="2" fillId="0" borderId="43" xfId="0" applyNumberFormat="1" applyFont="1" applyBorder="1"/>
    <xf numFmtId="167" fontId="2" fillId="0" borderId="43" xfId="0" applyNumberFormat="1" applyFont="1" applyBorder="1"/>
    <xf numFmtId="10" fontId="2" fillId="0" borderId="86" xfId="0" applyNumberFormat="1" applyFont="1" applyBorder="1"/>
    <xf numFmtId="0" fontId="13" fillId="0" borderId="89" xfId="0" applyFont="1" applyBorder="1"/>
    <xf numFmtId="0" fontId="2" fillId="0" borderId="90" xfId="0" applyFont="1" applyBorder="1"/>
    <xf numFmtId="3" fontId="2" fillId="0" borderId="90" xfId="0" applyNumberFormat="1" applyFont="1" applyBorder="1"/>
    <xf numFmtId="167" fontId="2" fillId="0" borderId="90" xfId="0" applyNumberFormat="1" applyFont="1" applyBorder="1"/>
    <xf numFmtId="0" fontId="2" fillId="0" borderId="85" xfId="0" applyFont="1" applyBorder="1"/>
    <xf numFmtId="9" fontId="2" fillId="0" borderId="86" xfId="0" applyNumberFormat="1" applyFont="1" applyBorder="1" applyAlignment="1">
      <alignment horizontal="center" vertical="center"/>
    </xf>
    <xf numFmtId="10" fontId="2" fillId="0" borderId="86" xfId="0" applyNumberFormat="1" applyFont="1" applyBorder="1" applyAlignment="1">
      <alignment horizontal="center" vertical="center"/>
    </xf>
    <xf numFmtId="0" fontId="2" fillId="0" borderId="89" xfId="0" applyFont="1" applyBorder="1"/>
    <xf numFmtId="9" fontId="2" fillId="0" borderId="86" xfId="0" applyNumberFormat="1" applyFont="1" applyBorder="1"/>
    <xf numFmtId="10" fontId="2" fillId="0" borderId="86" xfId="0" applyNumberFormat="1" applyFont="1" applyBorder="1" applyAlignment="1">
      <alignment horizontal="center"/>
    </xf>
    <xf numFmtId="166" fontId="2" fillId="0" borderId="43" xfId="0" applyNumberFormat="1" applyFont="1" applyBorder="1" applyAlignment="1">
      <alignment horizontal="center"/>
    </xf>
    <xf numFmtId="0" fontId="2" fillId="0" borderId="86" xfId="0" applyFont="1" applyBorder="1"/>
    <xf numFmtId="0" fontId="22" fillId="4" borderId="119" xfId="0" applyFont="1" applyFill="1" applyBorder="1" applyAlignment="1">
      <alignment horizontal="center" vertical="center"/>
    </xf>
    <xf numFmtId="0" fontId="22" fillId="3" borderId="135" xfId="0" applyFont="1" applyFill="1" applyBorder="1" applyAlignment="1">
      <alignment horizontal="center" vertical="center" wrapText="1"/>
    </xf>
    <xf numFmtId="0" fontId="2" fillId="0" borderId="79" xfId="0" applyFont="1" applyBorder="1" applyAlignment="1">
      <alignment vertical="center" wrapText="1"/>
    </xf>
    <xf numFmtId="0" fontId="32" fillId="0" borderId="79" xfId="0" applyFont="1" applyBorder="1" applyAlignment="1">
      <alignment horizontal="left" vertical="center" wrapText="1"/>
    </xf>
    <xf numFmtId="0" fontId="2" fillId="0" borderId="79" xfId="0" applyFont="1" applyBorder="1" applyAlignment="1">
      <alignment horizontal="center" vertical="center" wrapText="1"/>
    </xf>
    <xf numFmtId="2" fontId="2" fillId="0" borderId="79" xfId="0" applyNumberFormat="1" applyFont="1" applyBorder="1" applyAlignment="1">
      <alignment horizontal="center" vertical="center" wrapText="1"/>
    </xf>
    <xf numFmtId="10" fontId="2" fillId="0" borderId="79" xfId="0" applyNumberFormat="1" applyFont="1" applyBorder="1" applyAlignment="1">
      <alignment horizontal="center" vertical="center"/>
    </xf>
    <xf numFmtId="0" fontId="2" fillId="0" borderId="79" xfId="0" applyFont="1" applyBorder="1" applyAlignment="1">
      <alignment horizontal="center" vertical="center"/>
    </xf>
    <xf numFmtId="49" fontId="2" fillId="0" borderId="80" xfId="0" applyNumberFormat="1" applyFont="1" applyBorder="1" applyAlignment="1">
      <alignment horizontal="left" vertical="center" wrapText="1"/>
    </xf>
    <xf numFmtId="0" fontId="2" fillId="0" borderId="43" xfId="0" applyFont="1" applyBorder="1" applyAlignment="1">
      <alignment vertical="center" wrapText="1"/>
    </xf>
    <xf numFmtId="0" fontId="32" fillId="0" borderId="43" xfId="0" applyFont="1" applyBorder="1" applyAlignment="1">
      <alignment horizontal="left" vertical="center" wrapText="1"/>
    </xf>
    <xf numFmtId="0" fontId="2" fillId="0" borderId="43" xfId="0" applyFont="1" applyBorder="1" applyAlignment="1">
      <alignment horizontal="center" vertical="center" wrapText="1"/>
    </xf>
    <xf numFmtId="2" fontId="2" fillId="0" borderId="43" xfId="0" applyNumberFormat="1" applyFont="1" applyBorder="1" applyAlignment="1">
      <alignment horizontal="center" vertical="center" wrapText="1"/>
    </xf>
    <xf numFmtId="10" fontId="2" fillId="0" borderId="43" xfId="0" applyNumberFormat="1" applyFont="1" applyBorder="1" applyAlignment="1">
      <alignment horizontal="center" vertical="center"/>
    </xf>
    <xf numFmtId="49" fontId="2" fillId="0" borderId="86" xfId="0" applyNumberFormat="1" applyFont="1" applyBorder="1" applyAlignment="1">
      <alignment horizontal="left" vertical="center" wrapText="1"/>
    </xf>
    <xf numFmtId="9" fontId="2" fillId="0" borderId="43" xfId="0" applyNumberFormat="1" applyFont="1" applyBorder="1" applyAlignment="1">
      <alignment horizontal="center" vertical="center" wrapText="1"/>
    </xf>
    <xf numFmtId="10" fontId="2" fillId="0" borderId="43" xfId="0" applyNumberFormat="1" applyFont="1" applyBorder="1" applyAlignment="1">
      <alignment horizontal="center" vertical="center" wrapText="1"/>
    </xf>
    <xf numFmtId="0" fontId="2" fillId="0" borderId="90" xfId="0" applyFont="1" applyBorder="1" applyAlignment="1">
      <alignment vertical="center" wrapText="1"/>
    </xf>
    <xf numFmtId="0" fontId="32" fillId="0" borderId="90" xfId="0" applyFont="1" applyBorder="1" applyAlignment="1">
      <alignment horizontal="left" vertical="center" wrapText="1"/>
    </xf>
    <xf numFmtId="0" fontId="2" fillId="0" borderId="90" xfId="0" applyFont="1" applyBorder="1" applyAlignment="1">
      <alignment horizontal="center" vertical="center" wrapText="1"/>
    </xf>
    <xf numFmtId="10" fontId="2" fillId="0" borderId="90" xfId="0" applyNumberFormat="1" applyFont="1" applyBorder="1" applyAlignment="1">
      <alignment horizontal="center" vertical="center"/>
    </xf>
    <xf numFmtId="0" fontId="2" fillId="0" borderId="90" xfId="0" applyFont="1" applyBorder="1" applyAlignment="1">
      <alignment horizontal="center" vertical="center"/>
    </xf>
    <xf numFmtId="49" fontId="2" fillId="0" borderId="91" xfId="0" applyNumberFormat="1" applyFont="1" applyBorder="1" applyAlignment="1">
      <alignment horizontal="left" vertical="center" wrapText="1"/>
    </xf>
    <xf numFmtId="0" fontId="2" fillId="0" borderId="0" xfId="0" applyFont="1" applyAlignment="1">
      <alignment vertical="center" wrapText="1"/>
    </xf>
    <xf numFmtId="0" fontId="13" fillId="0" borderId="0" xfId="0" applyFont="1" applyAlignment="1">
      <alignment horizontal="center" vertical="center"/>
    </xf>
    <xf numFmtId="0" fontId="32" fillId="0" borderId="0" xfId="0" applyFont="1" applyAlignment="1">
      <alignment horizontal="left" vertical="center" wrapText="1"/>
    </xf>
    <xf numFmtId="0" fontId="2" fillId="0" borderId="0" xfId="0" applyFont="1" applyAlignment="1">
      <alignment horizontal="center" vertical="center" wrapText="1"/>
    </xf>
    <xf numFmtId="10" fontId="2" fillId="0" borderId="0" xfId="0" applyNumberFormat="1"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left" vertical="center" wrapText="1"/>
    </xf>
    <xf numFmtId="0" fontId="22" fillId="3" borderId="43" xfId="0" applyFont="1" applyFill="1" applyBorder="1" applyAlignment="1">
      <alignment horizontal="center" vertical="top" wrapText="1"/>
    </xf>
    <xf numFmtId="0" fontId="22" fillId="0" borderId="43" xfId="0" applyFont="1" applyBorder="1" applyAlignment="1">
      <alignment horizontal="center" vertical="center" wrapText="1"/>
    </xf>
    <xf numFmtId="10" fontId="22" fillId="0" borderId="43" xfId="0" applyNumberFormat="1" applyFont="1" applyBorder="1" applyAlignment="1">
      <alignment horizontal="center" vertical="center" wrapText="1"/>
    </xf>
    <xf numFmtId="0" fontId="16" fillId="0" borderId="86" xfId="0" applyFont="1" applyBorder="1" applyAlignment="1">
      <alignment horizontal="left" vertical="center" wrapText="1"/>
    </xf>
    <xf numFmtId="10" fontId="22" fillId="0" borderId="65" xfId="0" applyNumberFormat="1" applyFont="1" applyBorder="1" applyAlignment="1">
      <alignment horizontal="center" vertical="center" wrapText="1"/>
    </xf>
    <xf numFmtId="0" fontId="22" fillId="0" borderId="90" xfId="0" applyFont="1" applyBorder="1" applyAlignment="1">
      <alignment horizontal="center" vertical="center" wrapText="1"/>
    </xf>
    <xf numFmtId="10" fontId="22" fillId="0" borderId="90" xfId="0" applyNumberFormat="1" applyFont="1" applyBorder="1" applyAlignment="1">
      <alignment horizontal="center" vertical="center" wrapText="1"/>
    </xf>
    <xf numFmtId="0" fontId="22" fillId="0" borderId="70" xfId="0" applyFont="1" applyBorder="1" applyAlignment="1">
      <alignment horizontal="center" vertical="center" wrapText="1"/>
    </xf>
    <xf numFmtId="0" fontId="16" fillId="0" borderId="86" xfId="0" applyFont="1" applyBorder="1" applyAlignment="1">
      <alignment vertical="center" wrapText="1"/>
    </xf>
    <xf numFmtId="0" fontId="16" fillId="0" borderId="86" xfId="0" applyFont="1" applyBorder="1" applyAlignment="1">
      <alignment horizontal="left" vertical="top" wrapText="1"/>
    </xf>
    <xf numFmtId="0" fontId="16" fillId="0" borderId="86" xfId="0" applyFont="1" applyBorder="1" applyAlignment="1">
      <alignment vertical="top" wrapText="1"/>
    </xf>
    <xf numFmtId="0" fontId="2" fillId="0" borderId="79" xfId="0" applyFont="1" applyBorder="1" applyAlignment="1">
      <alignment vertical="top" wrapText="1"/>
    </xf>
    <xf numFmtId="0" fontId="2" fillId="0" borderId="43" xfId="0" applyFont="1" applyBorder="1" applyAlignment="1">
      <alignment vertical="top" wrapText="1"/>
    </xf>
    <xf numFmtId="2" fontId="2" fillId="0" borderId="43" xfId="0" applyNumberFormat="1" applyFont="1" applyBorder="1" applyAlignment="1">
      <alignment horizontal="center" vertical="center"/>
    </xf>
    <xf numFmtId="9" fontId="2" fillId="0" borderId="43" xfId="0" applyNumberFormat="1" applyFont="1" applyBorder="1" applyAlignment="1">
      <alignment horizontal="center" vertical="center"/>
    </xf>
    <xf numFmtId="0" fontId="16" fillId="0" borderId="91" xfId="0" applyFont="1" applyBorder="1" applyAlignment="1">
      <alignment horizontal="left" vertical="center" wrapText="1"/>
    </xf>
    <xf numFmtId="0" fontId="2" fillId="0" borderId="70" xfId="0" applyFont="1" applyBorder="1" applyAlignment="1">
      <alignment horizontal="center" vertical="center" wrapText="1"/>
    </xf>
    <xf numFmtId="0" fontId="2" fillId="0" borderId="70" xfId="0" applyFont="1" applyBorder="1" applyAlignment="1">
      <alignment horizontal="center" vertical="center"/>
    </xf>
    <xf numFmtId="10" fontId="2" fillId="0" borderId="70" xfId="0" applyNumberFormat="1" applyFont="1" applyBorder="1" applyAlignment="1">
      <alignment horizontal="center" vertical="center"/>
    </xf>
    <xf numFmtId="2" fontId="2" fillId="0" borderId="90" xfId="0" applyNumberFormat="1" applyFont="1" applyBorder="1" applyAlignment="1">
      <alignment horizontal="center" vertical="center"/>
    </xf>
    <xf numFmtId="0" fontId="2" fillId="0" borderId="91" xfId="0" applyFont="1" applyBorder="1"/>
    <xf numFmtId="10" fontId="13" fillId="0" borderId="0" xfId="0" applyNumberFormat="1" applyFont="1"/>
    <xf numFmtId="0" fontId="22" fillId="3" borderId="91" xfId="0" applyFont="1" applyFill="1" applyBorder="1" applyAlignment="1">
      <alignment horizontal="center" vertical="center" wrapText="1"/>
    </xf>
    <xf numFmtId="0" fontId="2" fillId="0" borderId="79" xfId="0" applyFont="1" applyBorder="1" applyAlignment="1">
      <alignment horizontal="left" vertical="center" wrapText="1"/>
    </xf>
    <xf numFmtId="3" fontId="2" fillId="0" borderId="43" xfId="0" applyNumberFormat="1" applyFont="1" applyBorder="1" applyAlignment="1">
      <alignment horizontal="center" vertical="center"/>
    </xf>
    <xf numFmtId="0" fontId="2" fillId="0" borderId="104" xfId="0" applyFont="1" applyBorder="1" applyAlignment="1">
      <alignment horizontal="center" vertical="center"/>
    </xf>
    <xf numFmtId="0" fontId="2" fillId="0" borderId="24" xfId="0" applyFont="1" applyBorder="1" applyAlignment="1">
      <alignment horizontal="left" vertical="center" wrapText="1"/>
    </xf>
    <xf numFmtId="0" fontId="2" fillId="0" borderId="43" xfId="0" applyFont="1" applyBorder="1" applyAlignment="1">
      <alignment horizontal="left" vertical="center" wrapText="1"/>
    </xf>
    <xf numFmtId="3" fontId="2" fillId="0" borderId="44" xfId="0" applyNumberFormat="1" applyFont="1" applyBorder="1" applyAlignment="1">
      <alignment horizontal="center" vertical="center"/>
    </xf>
    <xf numFmtId="3" fontId="2" fillId="0" borderId="106" xfId="0" applyNumberFormat="1" applyFont="1" applyBorder="1" applyAlignment="1">
      <alignment horizontal="center" vertical="center"/>
    </xf>
    <xf numFmtId="0" fontId="2" fillId="0" borderId="65" xfId="0" applyFont="1" applyBorder="1" applyAlignment="1">
      <alignment horizontal="center" vertical="center"/>
    </xf>
    <xf numFmtId="0" fontId="2" fillId="0" borderId="65" xfId="0" applyFont="1" applyBorder="1" applyAlignment="1">
      <alignment horizontal="left" vertical="center" wrapText="1"/>
    </xf>
    <xf numFmtId="0" fontId="2" fillId="0" borderId="90" xfId="0" applyFont="1" applyBorder="1" applyAlignment="1">
      <alignment horizontal="left" vertical="center" wrapText="1"/>
    </xf>
    <xf numFmtId="3" fontId="2" fillId="0" borderId="139" xfId="0" applyNumberFormat="1" applyFont="1" applyBorder="1" applyAlignment="1">
      <alignment horizontal="center" vertical="center"/>
    </xf>
    <xf numFmtId="0" fontId="2" fillId="0" borderId="90" xfId="0" applyFont="1" applyBorder="1" applyAlignment="1">
      <alignment vertical="top" wrapText="1"/>
    </xf>
    <xf numFmtId="0" fontId="2" fillId="2" borderId="91" xfId="0" applyFont="1" applyFill="1" applyBorder="1" applyAlignment="1">
      <alignment vertical="center" wrapText="1"/>
    </xf>
    <xf numFmtId="3" fontId="2" fillId="0" borderId="90" xfId="0" applyNumberFormat="1" applyFont="1" applyBorder="1" applyAlignment="1">
      <alignment horizontal="center" vertical="center"/>
    </xf>
    <xf numFmtId="0" fontId="2" fillId="2" borderId="91" xfId="0" applyFont="1" applyFill="1" applyBorder="1" applyAlignment="1">
      <alignment vertical="top" wrapText="1"/>
    </xf>
    <xf numFmtId="0" fontId="2" fillId="0" borderId="43" xfId="0" applyFont="1" applyBorder="1" applyAlignment="1">
      <alignment horizontal="left" vertical="top" wrapText="1"/>
    </xf>
    <xf numFmtId="0" fontId="2" fillId="0" borderId="65" xfId="0" applyFont="1" applyBorder="1" applyAlignment="1">
      <alignment horizontal="left" vertical="top" wrapText="1"/>
    </xf>
    <xf numFmtId="0" fontId="2" fillId="0" borderId="7" xfId="0" applyFont="1" applyBorder="1"/>
    <xf numFmtId="0" fontId="2" fillId="0" borderId="0" xfId="0" applyFont="1" applyAlignment="1">
      <alignment vertical="top" wrapText="1"/>
    </xf>
    <xf numFmtId="0" fontId="2" fillId="0" borderId="0" xfId="0" applyFont="1" applyAlignment="1">
      <alignment horizontal="left" vertical="center" wrapText="1"/>
    </xf>
    <xf numFmtId="3" fontId="2" fillId="0" borderId="0" xfId="0" applyNumberFormat="1" applyFont="1" applyAlignment="1">
      <alignment horizontal="center" vertical="center"/>
    </xf>
    <xf numFmtId="0" fontId="2" fillId="0" borderId="23" xfId="0" applyFont="1" applyBorder="1" applyAlignment="1">
      <alignment horizontal="left" vertical="center" wrapText="1"/>
    </xf>
    <xf numFmtId="3" fontId="2" fillId="0" borderId="65" xfId="0" applyNumberFormat="1" applyFont="1" applyBorder="1" applyAlignment="1">
      <alignment horizontal="center" vertical="center"/>
    </xf>
    <xf numFmtId="0" fontId="2" fillId="0" borderId="139" xfId="0" applyFont="1" applyBorder="1" applyAlignment="1">
      <alignment horizontal="left" vertical="center" wrapText="1"/>
    </xf>
    <xf numFmtId="0" fontId="2" fillId="0" borderId="142" xfId="0" applyFont="1" applyBorder="1" applyAlignment="1">
      <alignment wrapText="1"/>
    </xf>
    <xf numFmtId="0" fontId="2" fillId="0" borderId="40" xfId="0" applyFont="1" applyBorder="1" applyAlignment="1">
      <alignment wrapText="1"/>
    </xf>
    <xf numFmtId="3" fontId="2" fillId="0" borderId="27" xfId="0" applyNumberFormat="1" applyFont="1" applyBorder="1" applyAlignment="1">
      <alignment horizontal="center" vertical="center"/>
    </xf>
    <xf numFmtId="0" fontId="2" fillId="0" borderId="86" xfId="0" applyFont="1" applyBorder="1" applyAlignment="1">
      <alignment wrapText="1"/>
    </xf>
    <xf numFmtId="0" fontId="2" fillId="0" borderId="91" xfId="0" applyFont="1" applyBorder="1" applyAlignment="1">
      <alignment wrapText="1"/>
    </xf>
    <xf numFmtId="0" fontId="2" fillId="0" borderId="143" xfId="0" applyFont="1" applyBorder="1" applyAlignment="1">
      <alignment wrapText="1"/>
    </xf>
    <xf numFmtId="0" fontId="2" fillId="0" borderId="43" xfId="0" applyFont="1" applyBorder="1" applyAlignment="1">
      <alignment wrapText="1"/>
    </xf>
    <xf numFmtId="0" fontId="2" fillId="0" borderId="47" xfId="0" applyFont="1" applyBorder="1"/>
    <xf numFmtId="0" fontId="2" fillId="0" borderId="104" xfId="0" applyFont="1" applyBorder="1" applyAlignment="1">
      <alignment horizontal="left" vertical="center" wrapText="1"/>
    </xf>
    <xf numFmtId="0" fontId="2" fillId="0" borderId="141" xfId="0" applyFont="1" applyBorder="1"/>
    <xf numFmtId="0" fontId="2" fillId="0" borderId="70" xfId="0" applyFont="1" applyBorder="1"/>
    <xf numFmtId="0" fontId="2" fillId="0" borderId="142" xfId="0" applyFont="1" applyBorder="1"/>
    <xf numFmtId="0" fontId="18" fillId="3" borderId="68" xfId="0" applyFont="1" applyFill="1" applyBorder="1" applyAlignment="1">
      <alignment horizontal="center" vertical="center" wrapText="1"/>
    </xf>
    <xf numFmtId="0" fontId="2" fillId="0" borderId="16" xfId="0" applyFont="1" applyBorder="1" applyAlignment="1">
      <alignment horizontal="center" vertical="center" wrapText="1"/>
    </xf>
    <xf numFmtId="0" fontId="13" fillId="0" borderId="103" xfId="0" applyFont="1" applyBorder="1" applyAlignment="1">
      <alignment horizontal="center" vertical="center"/>
    </xf>
    <xf numFmtId="10" fontId="13" fillId="0" borderId="79" xfId="0" applyNumberFormat="1" applyFont="1" applyBorder="1" applyAlignment="1">
      <alignment horizontal="center" vertical="center"/>
    </xf>
    <xf numFmtId="0" fontId="2" fillId="0" borderId="45" xfId="0" applyFont="1" applyBorder="1" applyAlignment="1">
      <alignment horizontal="center" vertical="center" wrapText="1"/>
    </xf>
    <xf numFmtId="0" fontId="13" fillId="0" borderId="46" xfId="0" applyFont="1" applyBorder="1" applyAlignment="1">
      <alignment horizontal="center" vertical="center"/>
    </xf>
    <xf numFmtId="10" fontId="13" fillId="0" borderId="43" xfId="0" applyNumberFormat="1" applyFont="1" applyBorder="1" applyAlignment="1">
      <alignment horizontal="center" vertical="center"/>
    </xf>
    <xf numFmtId="49" fontId="2" fillId="0" borderId="142" xfId="0" applyNumberFormat="1" applyFont="1" applyBorder="1" applyAlignment="1">
      <alignment horizontal="left" vertical="center" wrapText="1"/>
    </xf>
    <xf numFmtId="169" fontId="13" fillId="0" borderId="43" xfId="0" applyNumberFormat="1" applyFont="1" applyBorder="1" applyAlignment="1">
      <alignment horizontal="center" vertical="center"/>
    </xf>
    <xf numFmtId="10" fontId="13" fillId="0" borderId="46" xfId="0" applyNumberFormat="1" applyFont="1" applyBorder="1" applyAlignment="1">
      <alignment horizontal="center" vertical="center"/>
    </xf>
    <xf numFmtId="0" fontId="13" fillId="0" borderId="86" xfId="0" applyFont="1" applyBorder="1" applyAlignment="1">
      <alignment vertical="center" wrapText="1"/>
    </xf>
    <xf numFmtId="0" fontId="2" fillId="0" borderId="96" xfId="0" applyFont="1" applyBorder="1" applyAlignment="1">
      <alignment horizontal="center" vertical="center" wrapText="1"/>
    </xf>
    <xf numFmtId="0" fontId="13" fillId="0" borderId="97" xfId="0" applyFont="1" applyBorder="1" applyAlignment="1">
      <alignment horizontal="center" vertical="center"/>
    </xf>
    <xf numFmtId="10" fontId="13" fillId="0" borderId="90" xfId="0" applyNumberFormat="1" applyFont="1" applyBorder="1" applyAlignment="1">
      <alignment horizontal="center" vertical="center"/>
    </xf>
    <xf numFmtId="0" fontId="2" fillId="0" borderId="18" xfId="0" applyFont="1" applyBorder="1" applyAlignment="1">
      <alignment vertical="center" wrapText="1"/>
    </xf>
    <xf numFmtId="0" fontId="18" fillId="3" borderId="43" xfId="0" applyFont="1" applyFill="1" applyBorder="1" applyAlignment="1">
      <alignment horizontal="center" vertical="center" wrapText="1"/>
    </xf>
    <xf numFmtId="0" fontId="2" fillId="0" borderId="86" xfId="0" applyFont="1" applyBorder="1" applyAlignment="1">
      <alignment vertical="top" wrapText="1"/>
    </xf>
    <xf numFmtId="2" fontId="2" fillId="0" borderId="65" xfId="0" applyNumberFormat="1" applyFont="1" applyBorder="1" applyAlignment="1">
      <alignment horizontal="center" vertical="center"/>
    </xf>
    <xf numFmtId="10" fontId="2" fillId="0" borderId="65" xfId="0" applyNumberFormat="1" applyFont="1" applyBorder="1" applyAlignment="1">
      <alignment horizontal="center" vertical="center"/>
    </xf>
    <xf numFmtId="0" fontId="2" fillId="0" borderId="143" xfId="0" applyFont="1" applyBorder="1" applyAlignment="1">
      <alignment vertical="top" wrapText="1"/>
    </xf>
    <xf numFmtId="0" fontId="2" fillId="0" borderId="91" xfId="0" applyFont="1" applyBorder="1" applyAlignment="1">
      <alignment vertical="top" wrapText="1"/>
    </xf>
    <xf numFmtId="0" fontId="2" fillId="0" borderId="86" xfId="0" applyFont="1" applyBorder="1" applyAlignment="1">
      <alignment vertical="center" wrapText="1"/>
    </xf>
    <xf numFmtId="9" fontId="2" fillId="0" borderId="65" xfId="0" applyNumberFormat="1" applyFont="1" applyBorder="1" applyAlignment="1">
      <alignment horizontal="center" vertical="center"/>
    </xf>
    <xf numFmtId="0" fontId="2" fillId="0" borderId="86" xfId="0" applyFont="1" applyBorder="1" applyAlignment="1">
      <alignment horizontal="left" vertical="center" wrapText="1"/>
    </xf>
    <xf numFmtId="0" fontId="2" fillId="0" borderId="91" xfId="0" applyFont="1" applyBorder="1" applyAlignment="1">
      <alignment horizontal="left" vertical="center" wrapText="1"/>
    </xf>
    <xf numFmtId="0" fontId="2" fillId="0" borderId="142" xfId="0" applyFont="1" applyBorder="1" applyAlignment="1">
      <alignment horizontal="left" vertical="center" wrapText="1"/>
    </xf>
    <xf numFmtId="0" fontId="35" fillId="0" borderId="86" xfId="0" applyFont="1" applyBorder="1" applyAlignment="1">
      <alignment horizontal="left" vertical="center" wrapText="1"/>
    </xf>
    <xf numFmtId="0" fontId="35" fillId="0" borderId="91" xfId="0" applyFont="1" applyBorder="1" applyAlignment="1">
      <alignment horizontal="left" vertical="center" wrapText="1"/>
    </xf>
    <xf numFmtId="0" fontId="37" fillId="12" borderId="144" xfId="2" applyFont="1" applyFill="1" applyBorder="1" applyAlignment="1">
      <alignment horizontal="center" vertical="center" wrapText="1"/>
    </xf>
    <xf numFmtId="0" fontId="15" fillId="10" borderId="145" xfId="0" applyFont="1" applyFill="1" applyBorder="1" applyAlignment="1">
      <alignment horizontal="center" vertical="center"/>
    </xf>
    <xf numFmtId="0" fontId="2" fillId="0" borderId="145" xfId="0" applyFont="1" applyBorder="1" applyAlignment="1">
      <alignment horizontal="center" vertical="center"/>
    </xf>
    <xf numFmtId="0" fontId="15" fillId="10" borderId="84" xfId="0" applyFont="1" applyFill="1" applyBorder="1" applyAlignment="1">
      <alignment horizontal="center" vertical="center"/>
    </xf>
    <xf numFmtId="0" fontId="2" fillId="0" borderId="84" xfId="0" applyFont="1" applyBorder="1" applyAlignment="1">
      <alignment horizontal="center" vertical="center"/>
    </xf>
    <xf numFmtId="0" fontId="2" fillId="0" borderId="138" xfId="0" applyFont="1" applyBorder="1" applyAlignment="1">
      <alignment horizontal="center" vertical="center"/>
    </xf>
    <xf numFmtId="3" fontId="13" fillId="0" borderId="83" xfId="0" applyNumberFormat="1" applyFont="1" applyBorder="1"/>
    <xf numFmtId="3" fontId="2" fillId="0" borderId="83" xfId="0" applyNumberFormat="1" applyFont="1" applyBorder="1" applyAlignment="1">
      <alignment horizontal="center" vertical="center"/>
    </xf>
    <xf numFmtId="3" fontId="2" fillId="0" borderId="84" xfId="0" applyNumberFormat="1" applyFont="1" applyBorder="1" applyAlignment="1">
      <alignment horizontal="center" vertical="center"/>
    </xf>
    <xf numFmtId="3" fontId="2" fillId="0" borderId="68" xfId="0" applyNumberFormat="1" applyFont="1" applyBorder="1" applyAlignment="1">
      <alignment horizontal="center" vertical="center"/>
    </xf>
    <xf numFmtId="0" fontId="2" fillId="0" borderId="68" xfId="0" applyFont="1" applyBorder="1" applyAlignment="1">
      <alignment horizontal="left" vertical="center" wrapText="1"/>
    </xf>
    <xf numFmtId="3" fontId="2" fillId="0" borderId="145" xfId="0" applyNumberFormat="1" applyFont="1" applyBorder="1" applyAlignment="1">
      <alignment horizontal="center" vertical="center"/>
    </xf>
    <xf numFmtId="0" fontId="2" fillId="0" borderId="145" xfId="0" applyFont="1" applyBorder="1" applyAlignment="1">
      <alignment horizontal="left" vertical="center" wrapText="1"/>
    </xf>
    <xf numFmtId="10" fontId="16" fillId="3" borderId="68" xfId="0" applyNumberFormat="1" applyFont="1" applyFill="1" applyBorder="1" applyAlignment="1">
      <alignment horizontal="center" vertical="center" wrapText="1"/>
    </xf>
    <xf numFmtId="0" fontId="7" fillId="2" borderId="4" xfId="0" applyFont="1" applyFill="1" applyBorder="1" applyAlignment="1">
      <alignment vertical="center"/>
    </xf>
    <xf numFmtId="0" fontId="4" fillId="0" borderId="5" xfId="0" applyFont="1" applyBorder="1"/>
    <xf numFmtId="0" fontId="4" fillId="0" borderId="6" xfId="0" applyFont="1" applyBorder="1"/>
    <xf numFmtId="0" fontId="4" fillId="0" borderId="47" xfId="0" applyFont="1" applyBorder="1"/>
    <xf numFmtId="0" fontId="4" fillId="0" borderId="8" xfId="0" applyFont="1" applyBorder="1"/>
    <xf numFmtId="0" fontId="2" fillId="0" borderId="145" xfId="0" applyFont="1" applyBorder="1" applyAlignment="1">
      <alignment horizontal="justify" vertical="center" wrapText="1"/>
    </xf>
    <xf numFmtId="44" fontId="2" fillId="0" borderId="43" xfId="3" applyFont="1" applyBorder="1"/>
    <xf numFmtId="3" fontId="27" fillId="3" borderId="78" xfId="0" applyNumberFormat="1" applyFont="1" applyFill="1" applyBorder="1" applyAlignment="1">
      <alignment horizontal="center" vertical="center" wrapText="1"/>
    </xf>
    <xf numFmtId="10" fontId="2" fillId="0" borderId="86" xfId="4" applyNumberFormat="1" applyFont="1" applyBorder="1" applyAlignment="1">
      <alignment horizontal="center" vertical="center"/>
    </xf>
    <xf numFmtId="10" fontId="2" fillId="0" borderId="86" xfId="4" applyNumberFormat="1" applyFont="1" applyBorder="1"/>
    <xf numFmtId="166" fontId="9" fillId="14" borderId="147" xfId="0" applyNumberFormat="1" applyFont="1" applyFill="1" applyBorder="1" applyAlignment="1">
      <alignment horizontal="center" vertical="center" wrapText="1"/>
    </xf>
    <xf numFmtId="0" fontId="40" fillId="0" borderId="0" xfId="0" applyFont="1"/>
    <xf numFmtId="44" fontId="2" fillId="0" borderId="43" xfId="3" applyFont="1" applyFill="1" applyBorder="1" applyAlignment="1">
      <alignment horizontal="center"/>
    </xf>
    <xf numFmtId="44" fontId="2" fillId="0" borderId="43" xfId="0" applyNumberFormat="1" applyFont="1" applyBorder="1" applyAlignment="1">
      <alignment horizontal="center"/>
    </xf>
    <xf numFmtId="10" fontId="2" fillId="0" borderId="86" xfId="4" applyNumberFormat="1" applyFont="1" applyFill="1" applyBorder="1" applyAlignment="1">
      <alignment horizontal="center" vertical="center"/>
    </xf>
    <xf numFmtId="169" fontId="16" fillId="3" borderId="145" xfId="0" applyNumberFormat="1" applyFont="1" applyFill="1" applyBorder="1" applyAlignment="1">
      <alignment vertical="center"/>
    </xf>
    <xf numFmtId="10" fontId="16" fillId="3" borderId="145" xfId="0" applyNumberFormat="1" applyFont="1" applyFill="1" applyBorder="1" applyAlignment="1">
      <alignment vertical="center"/>
    </xf>
    <xf numFmtId="169" fontId="16" fillId="4" borderId="145" xfId="0" applyNumberFormat="1" applyFont="1" applyFill="1" applyBorder="1" applyAlignment="1">
      <alignment vertical="center"/>
    </xf>
    <xf numFmtId="10" fontId="16" fillId="4" borderId="145" xfId="0" applyNumberFormat="1" applyFont="1" applyFill="1" applyBorder="1" applyAlignment="1">
      <alignment vertical="center"/>
    </xf>
    <xf numFmtId="0" fontId="41" fillId="11" borderId="1" xfId="0" applyFont="1" applyFill="1" applyBorder="1" applyAlignment="1">
      <alignment vertical="center"/>
    </xf>
    <xf numFmtId="0" fontId="11" fillId="0" borderId="131" xfId="0" applyFont="1" applyBorder="1" applyAlignment="1">
      <alignment horizontal="left" vertical="center" wrapText="1"/>
    </xf>
    <xf numFmtId="0" fontId="2" fillId="0" borderId="131" xfId="0" applyFont="1" applyBorder="1" applyAlignment="1">
      <alignment horizontal="left"/>
    </xf>
    <xf numFmtId="0" fontId="2" fillId="0" borderId="132" xfId="0" applyFont="1" applyBorder="1" applyAlignment="1">
      <alignment horizontal="left"/>
    </xf>
    <xf numFmtId="10" fontId="42" fillId="0" borderId="0" xfId="0" applyNumberFormat="1" applyFont="1" applyAlignment="1">
      <alignment horizontal="center"/>
    </xf>
    <xf numFmtId="0" fontId="2" fillId="13" borderId="79"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2" fillId="13" borderId="70" xfId="0" applyFont="1" applyFill="1" applyBorder="1" applyAlignment="1">
      <alignment horizontal="center" vertical="center"/>
    </xf>
    <xf numFmtId="10" fontId="2" fillId="13" borderId="70" xfId="0" applyNumberFormat="1" applyFont="1" applyFill="1" applyBorder="1" applyAlignment="1">
      <alignment horizontal="center" vertical="center"/>
    </xf>
    <xf numFmtId="0" fontId="2" fillId="13" borderId="142" xfId="0" applyFont="1" applyFill="1" applyBorder="1" applyAlignment="1">
      <alignment horizontal="left" vertical="center" wrapText="1"/>
    </xf>
    <xf numFmtId="0" fontId="2" fillId="13" borderId="43" xfId="0" applyFont="1" applyFill="1" applyBorder="1" applyAlignment="1">
      <alignment horizontal="center" vertical="center" wrapText="1"/>
    </xf>
    <xf numFmtId="0" fontId="2" fillId="13" borderId="45" xfId="0" applyFont="1" applyFill="1" applyBorder="1" applyAlignment="1">
      <alignment horizontal="center" vertical="center" wrapText="1"/>
    </xf>
    <xf numFmtId="0" fontId="2" fillId="13" borderId="43" xfId="0" applyFont="1" applyFill="1" applyBorder="1" applyAlignment="1">
      <alignment horizontal="center" vertical="center"/>
    </xf>
    <xf numFmtId="0" fontId="2" fillId="13" borderId="86" xfId="0" applyFont="1" applyFill="1" applyBorder="1" applyAlignment="1">
      <alignment horizontal="left" vertical="center" wrapText="1"/>
    </xf>
    <xf numFmtId="9" fontId="2" fillId="13" borderId="65" xfId="0" applyNumberFormat="1" applyFont="1" applyFill="1" applyBorder="1" applyAlignment="1">
      <alignment horizontal="center" vertical="center"/>
    </xf>
    <xf numFmtId="10" fontId="2" fillId="13" borderId="43" xfId="0" applyNumberFormat="1" applyFont="1" applyFill="1" applyBorder="1" applyAlignment="1">
      <alignment horizontal="center" vertical="center"/>
    </xf>
    <xf numFmtId="0" fontId="2" fillId="13" borderId="90"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0" xfId="0" applyFont="1" applyFill="1" applyBorder="1" applyAlignment="1">
      <alignment horizontal="center" vertical="center"/>
    </xf>
    <xf numFmtId="0" fontId="2" fillId="13" borderId="91" xfId="0" applyFont="1" applyFill="1" applyBorder="1" applyAlignment="1">
      <alignment horizontal="left" vertical="center" wrapText="1"/>
    </xf>
    <xf numFmtId="0" fontId="2" fillId="13" borderId="79" xfId="0" applyFont="1" applyFill="1" applyBorder="1" applyAlignment="1">
      <alignment vertical="center" wrapText="1"/>
    </xf>
    <xf numFmtId="0" fontId="2" fillId="13" borderId="79" xfId="0" applyFont="1" applyFill="1" applyBorder="1" applyAlignment="1">
      <alignment horizontal="left" vertical="center" wrapText="1"/>
    </xf>
    <xf numFmtId="0" fontId="2" fillId="13" borderId="104" xfId="0" applyFont="1" applyFill="1" applyBorder="1" applyAlignment="1">
      <alignment horizontal="left" vertical="center" wrapText="1"/>
    </xf>
    <xf numFmtId="3" fontId="2" fillId="13" borderId="84" xfId="0" applyNumberFormat="1" applyFont="1" applyFill="1" applyBorder="1" applyAlignment="1">
      <alignment horizontal="center" vertical="center"/>
    </xf>
    <xf numFmtId="3" fontId="2" fillId="13" borderId="145" xfId="0" applyNumberFormat="1" applyFont="1" applyFill="1" applyBorder="1" applyAlignment="1">
      <alignment horizontal="center" vertical="center"/>
    </xf>
    <xf numFmtId="0" fontId="2" fillId="13" borderId="145" xfId="0" applyFont="1" applyFill="1" applyBorder="1" applyAlignment="1">
      <alignment horizontal="justify" vertical="center" wrapText="1"/>
    </xf>
    <xf numFmtId="0" fontId="2" fillId="13" borderId="43" xfId="0" applyFont="1" applyFill="1" applyBorder="1" applyAlignment="1">
      <alignment vertical="center" wrapText="1"/>
    </xf>
    <xf numFmtId="0" fontId="2" fillId="13" borderId="43" xfId="0" applyFont="1" applyFill="1" applyBorder="1" applyAlignment="1">
      <alignment horizontal="left" vertical="center" wrapText="1"/>
    </xf>
    <xf numFmtId="0" fontId="2" fillId="13" borderId="44" xfId="0" applyFont="1" applyFill="1" applyBorder="1" applyAlignment="1">
      <alignment horizontal="left" vertical="center" wrapText="1"/>
    </xf>
    <xf numFmtId="0" fontId="2" fillId="13" borderId="145" xfId="0" applyFont="1" applyFill="1" applyBorder="1" applyAlignment="1">
      <alignment horizontal="left" vertical="center" wrapText="1"/>
    </xf>
    <xf numFmtId="0" fontId="2" fillId="13" borderId="90" xfId="0" applyFont="1" applyFill="1" applyBorder="1" applyAlignment="1">
      <alignment vertical="center" wrapText="1"/>
    </xf>
    <xf numFmtId="0" fontId="2" fillId="13" borderId="90" xfId="0" applyFont="1" applyFill="1" applyBorder="1" applyAlignment="1">
      <alignment horizontal="left" vertical="center" wrapText="1"/>
    </xf>
    <xf numFmtId="0" fontId="2" fillId="13" borderId="139" xfId="0" applyFont="1" applyFill="1" applyBorder="1" applyAlignment="1">
      <alignment horizontal="left" vertical="center" wrapText="1"/>
    </xf>
    <xf numFmtId="0" fontId="2" fillId="13" borderId="79" xfId="0" applyFont="1" applyFill="1" applyBorder="1" applyAlignment="1">
      <alignment vertical="top" wrapText="1"/>
    </xf>
    <xf numFmtId="0" fontId="32" fillId="13" borderId="79" xfId="0" applyFont="1" applyFill="1" applyBorder="1" applyAlignment="1">
      <alignment horizontal="left" vertical="center" wrapText="1"/>
    </xf>
    <xf numFmtId="0" fontId="2" fillId="13" borderId="70" xfId="0" applyFont="1" applyFill="1" applyBorder="1" applyAlignment="1">
      <alignment horizontal="center" vertical="center" wrapText="1"/>
    </xf>
    <xf numFmtId="0" fontId="16" fillId="13" borderId="86" xfId="0" applyFont="1" applyFill="1" applyBorder="1" applyAlignment="1">
      <alignment horizontal="left" vertical="center" wrapText="1"/>
    </xf>
    <xf numFmtId="0" fontId="2" fillId="13" borderId="43" xfId="0" applyFont="1" applyFill="1" applyBorder="1" applyAlignment="1">
      <alignment vertical="top" wrapText="1"/>
    </xf>
    <xf numFmtId="0" fontId="32" fillId="13" borderId="43" xfId="0" applyFont="1" applyFill="1" applyBorder="1" applyAlignment="1">
      <alignment horizontal="left" vertical="center" wrapText="1"/>
    </xf>
    <xf numFmtId="2" fontId="2" fillId="13" borderId="43" xfId="0" applyNumberFormat="1" applyFont="1" applyFill="1" applyBorder="1" applyAlignment="1">
      <alignment horizontal="center" vertical="center"/>
    </xf>
    <xf numFmtId="9" fontId="2" fillId="13" borderId="43" xfId="0" applyNumberFormat="1" applyFont="1" applyFill="1" applyBorder="1" applyAlignment="1">
      <alignment horizontal="center" vertical="center" wrapText="1"/>
    </xf>
    <xf numFmtId="10" fontId="2" fillId="13" borderId="43" xfId="0" applyNumberFormat="1" applyFont="1" applyFill="1" applyBorder="1" applyAlignment="1">
      <alignment horizontal="center" vertical="center" wrapText="1"/>
    </xf>
    <xf numFmtId="0" fontId="32" fillId="13" borderId="90" xfId="0" applyFont="1" applyFill="1" applyBorder="1" applyAlignment="1">
      <alignment horizontal="left" vertical="center" wrapText="1"/>
    </xf>
    <xf numFmtId="2" fontId="2" fillId="13" borderId="90" xfId="0" applyNumberFormat="1" applyFont="1" applyFill="1" applyBorder="1" applyAlignment="1">
      <alignment horizontal="center" vertical="center"/>
    </xf>
    <xf numFmtId="0" fontId="16" fillId="13" borderId="91" xfId="0" applyFont="1" applyFill="1" applyBorder="1" applyAlignment="1">
      <alignment horizontal="left" vertical="center" wrapText="1"/>
    </xf>
    <xf numFmtId="0" fontId="2" fillId="13" borderId="85" xfId="0" applyFont="1" applyFill="1" applyBorder="1"/>
    <xf numFmtId="0" fontId="2" fillId="13" borderId="43" xfId="0" applyFont="1" applyFill="1" applyBorder="1"/>
    <xf numFmtId="166" fontId="2" fillId="13" borderId="43" xfId="0" applyNumberFormat="1" applyFont="1" applyFill="1" applyBorder="1" applyAlignment="1">
      <alignment horizontal="center"/>
    </xf>
    <xf numFmtId="10" fontId="2" fillId="13" borderId="86" xfId="4" applyNumberFormat="1" applyFont="1" applyFill="1" applyBorder="1" applyAlignment="1">
      <alignment horizontal="center" vertical="center"/>
    </xf>
    <xf numFmtId="10" fontId="9" fillId="0" borderId="68" xfId="4" applyNumberFormat="1" applyFont="1" applyFill="1" applyBorder="1" applyAlignment="1">
      <alignment horizontal="center" vertical="center"/>
    </xf>
    <xf numFmtId="3" fontId="0" fillId="0" borderId="0" xfId="0" applyNumberFormat="1"/>
    <xf numFmtId="10" fontId="2" fillId="0" borderId="86" xfId="4" applyNumberFormat="1" applyFont="1" applyFill="1" applyBorder="1" applyAlignment="1">
      <alignment horizontal="center"/>
    </xf>
    <xf numFmtId="0" fontId="4" fillId="0" borderId="79" xfId="0" applyFont="1" applyBorder="1" applyAlignment="1">
      <alignment vertical="center" wrapText="1"/>
    </xf>
    <xf numFmtId="0" fontId="4" fillId="0" borderId="79" xfId="0" applyFont="1" applyBorder="1" applyAlignment="1">
      <alignment horizontal="left" vertical="center" wrapText="1"/>
    </xf>
    <xf numFmtId="0" fontId="4" fillId="0" borderId="104" xfId="0" applyFont="1" applyBorder="1" applyAlignment="1">
      <alignment horizontal="left" vertical="center" wrapText="1"/>
    </xf>
    <xf numFmtId="3" fontId="4" fillId="0" borderId="84" xfId="0" applyNumberFormat="1" applyFont="1" applyBorder="1" applyAlignment="1">
      <alignment horizontal="center" vertical="center"/>
    </xf>
    <xf numFmtId="3" fontId="4" fillId="0" borderId="145" xfId="0" applyNumberFormat="1" applyFont="1" applyBorder="1" applyAlignment="1">
      <alignment horizontal="center" vertical="center"/>
    </xf>
    <xf numFmtId="0" fontId="4" fillId="0" borderId="145" xfId="0" applyFont="1" applyBorder="1" applyAlignment="1">
      <alignment horizontal="justify" vertical="center" wrapText="1"/>
    </xf>
    <xf numFmtId="0" fontId="4" fillId="0" borderId="43" xfId="0" applyFont="1" applyBorder="1" applyAlignment="1">
      <alignmen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145" xfId="0" applyFont="1" applyBorder="1" applyAlignment="1">
      <alignment horizontal="left" vertical="center" wrapText="1"/>
    </xf>
    <xf numFmtId="0" fontId="4" fillId="0" borderId="90" xfId="0" applyFont="1" applyBorder="1" applyAlignment="1">
      <alignment vertical="center" wrapText="1"/>
    </xf>
    <xf numFmtId="0" fontId="4" fillId="0" borderId="90" xfId="0" applyFont="1" applyBorder="1" applyAlignment="1">
      <alignment horizontal="left" vertical="center" wrapText="1"/>
    </xf>
    <xf numFmtId="0" fontId="4" fillId="0" borderId="139" xfId="0" applyFont="1" applyBorder="1" applyAlignment="1">
      <alignment horizontal="left" vertical="center" wrapText="1"/>
    </xf>
    <xf numFmtId="44" fontId="0" fillId="0" borderId="0" xfId="0" applyNumberFormat="1"/>
    <xf numFmtId="0" fontId="2" fillId="0" borderId="139" xfId="0" applyFont="1" applyBorder="1" applyAlignment="1">
      <alignment horizontal="center" vertical="center"/>
    </xf>
    <xf numFmtId="0" fontId="2" fillId="0" borderId="126" xfId="0" applyFont="1" applyBorder="1" applyAlignment="1">
      <alignment horizontal="center" vertical="center"/>
    </xf>
    <xf numFmtId="49" fontId="2" fillId="0" borderId="143" xfId="0" applyNumberFormat="1" applyFont="1" applyBorder="1" applyAlignment="1">
      <alignment horizontal="left" vertical="center" wrapText="1"/>
    </xf>
    <xf numFmtId="49" fontId="2" fillId="0" borderId="145" xfId="0" applyNumberFormat="1" applyFont="1" applyBorder="1" applyAlignment="1">
      <alignment horizontal="left" vertical="center" wrapText="1"/>
    </xf>
    <xf numFmtId="0" fontId="2" fillId="0" borderId="145" xfId="0" applyFont="1" applyBorder="1" applyAlignment="1">
      <alignment vertical="center" wrapText="1"/>
    </xf>
    <xf numFmtId="0" fontId="22" fillId="3" borderId="116"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0" xfId="0" applyFont="1" applyBorder="1" applyAlignment="1">
      <alignment horizontal="center" vertical="center"/>
    </xf>
    <xf numFmtId="0" fontId="12" fillId="0" borderId="30" xfId="0" applyFont="1" applyBorder="1" applyAlignment="1">
      <alignment horizontal="left" vertical="center" wrapText="1"/>
    </xf>
    <xf numFmtId="164" fontId="12" fillId="0" borderId="30" xfId="0" applyNumberFormat="1" applyFont="1" applyBorder="1" applyAlignment="1">
      <alignment vertical="center"/>
    </xf>
    <xf numFmtId="10" fontId="12" fillId="0" borderId="31" xfId="0" applyNumberFormat="1" applyFont="1" applyBorder="1" applyAlignment="1">
      <alignment horizontal="center" vertical="center"/>
    </xf>
    <xf numFmtId="9" fontId="12" fillId="0" borderId="30" xfId="0" applyNumberFormat="1" applyFont="1" applyBorder="1" applyAlignment="1">
      <alignment horizontal="center" vertical="center"/>
    </xf>
    <xf numFmtId="10" fontId="12" fillId="0" borderId="30" xfId="0" applyNumberFormat="1" applyFont="1" applyBorder="1" applyAlignment="1">
      <alignment horizontal="center" vertical="center"/>
    </xf>
    <xf numFmtId="10" fontId="12" fillId="0" borderId="41" xfId="0" applyNumberFormat="1" applyFont="1" applyBorder="1" applyAlignment="1">
      <alignment horizontal="center" vertical="center"/>
    </xf>
    <xf numFmtId="10" fontId="9" fillId="0" borderId="29" xfId="0" applyNumberFormat="1" applyFont="1" applyBorder="1" applyAlignment="1">
      <alignment horizontal="center" vertical="center"/>
    </xf>
    <xf numFmtId="10" fontId="9" fillId="0" borderId="30" xfId="0" applyNumberFormat="1" applyFont="1" applyBorder="1" applyAlignment="1">
      <alignment horizontal="center" vertical="center"/>
    </xf>
    <xf numFmtId="10" fontId="9" fillId="0" borderId="42" xfId="0" applyNumberFormat="1" applyFont="1" applyBorder="1" applyAlignment="1">
      <alignment horizontal="center" vertical="center"/>
    </xf>
    <xf numFmtId="10" fontId="9" fillId="0" borderId="31" xfId="0" applyNumberFormat="1" applyFont="1" applyBorder="1" applyAlignment="1">
      <alignment horizontal="center" vertical="center"/>
    </xf>
    <xf numFmtId="10" fontId="9" fillId="0" borderId="30" xfId="0" applyNumberFormat="1" applyFont="1" applyBorder="1" applyAlignment="1" applyProtection="1">
      <alignment horizontal="center" vertical="center"/>
      <protection locked="0"/>
    </xf>
    <xf numFmtId="10" fontId="9" fillId="0" borderId="41" xfId="0" applyNumberFormat="1" applyFont="1" applyBorder="1" applyAlignment="1">
      <alignment horizontal="center" vertical="center"/>
    </xf>
    <xf numFmtId="10" fontId="12" fillId="0" borderId="29" xfId="0" applyNumberFormat="1" applyFont="1" applyBorder="1" applyAlignment="1">
      <alignment horizontal="center" vertical="center"/>
    </xf>
    <xf numFmtId="10" fontId="12" fillId="0" borderId="30" xfId="0" applyNumberFormat="1" applyFont="1" applyBorder="1" applyAlignment="1">
      <alignment vertical="center"/>
    </xf>
    <xf numFmtId="9" fontId="9" fillId="0" borderId="42" xfId="0" applyNumberFormat="1" applyFont="1" applyBorder="1" applyAlignment="1">
      <alignment horizontal="center" vertical="center"/>
    </xf>
    <xf numFmtId="10" fontId="12" fillId="0" borderId="42" xfId="0" applyNumberFormat="1" applyFont="1" applyBorder="1" applyAlignment="1">
      <alignment horizontal="center" vertical="center"/>
    </xf>
    <xf numFmtId="0" fontId="13" fillId="0" borderId="33" xfId="0" applyFont="1" applyBorder="1" applyAlignment="1" applyProtection="1">
      <alignment horizontal="justify" vertical="center" wrapText="1"/>
      <protection locked="0"/>
    </xf>
    <xf numFmtId="0" fontId="13" fillId="0" borderId="145" xfId="0" applyFont="1" applyBorder="1" applyAlignment="1" applyProtection="1">
      <alignment horizontal="center" vertical="center" wrapText="1"/>
      <protection locked="0"/>
    </xf>
    <xf numFmtId="0" fontId="13" fillId="0" borderId="42" xfId="0" applyFont="1" applyBorder="1" applyAlignment="1" applyProtection="1">
      <alignment horizontal="justify" vertical="center" wrapText="1"/>
      <protection locked="0"/>
    </xf>
    <xf numFmtId="0" fontId="14" fillId="0" borderId="31" xfId="0" applyFont="1" applyBorder="1" applyAlignment="1" applyProtection="1">
      <alignment horizontal="left" vertical="center" wrapText="1"/>
      <protection locked="0"/>
    </xf>
    <xf numFmtId="2" fontId="9" fillId="0" borderId="43" xfId="0" applyNumberFormat="1" applyFont="1" applyBorder="1" applyAlignment="1">
      <alignment horizontal="center" vertical="center" wrapText="1"/>
    </xf>
    <xf numFmtId="1" fontId="9" fillId="0" borderId="43" xfId="0" applyNumberFormat="1" applyFont="1" applyBorder="1" applyAlignment="1">
      <alignment horizontal="center" vertical="center" wrapText="1"/>
    </xf>
    <xf numFmtId="2" fontId="20" fillId="0" borderId="43" xfId="0" applyNumberFormat="1" applyFont="1" applyBorder="1" applyAlignment="1">
      <alignment horizontal="center" vertical="center"/>
    </xf>
    <xf numFmtId="165" fontId="9" fillId="0" borderId="43" xfId="0" applyNumberFormat="1" applyFont="1" applyBorder="1" applyAlignment="1">
      <alignment horizontal="center" vertical="center" wrapText="1"/>
    </xf>
    <xf numFmtId="0" fontId="9" fillId="0" borderId="43" xfId="0" applyFont="1" applyBorder="1" applyAlignment="1">
      <alignment horizontal="center" vertical="center" wrapText="1"/>
    </xf>
    <xf numFmtId="0" fontId="9" fillId="0" borderId="43" xfId="0" applyFont="1" applyBorder="1" applyAlignment="1">
      <alignment horizontal="center" vertical="center"/>
    </xf>
    <xf numFmtId="2" fontId="12" fillId="0" borderId="43" xfId="0" applyNumberFormat="1" applyFont="1" applyBorder="1" applyAlignment="1">
      <alignment horizontal="center" vertical="center"/>
    </xf>
    <xf numFmtId="2" fontId="9" fillId="0" borderId="43" xfId="0" applyNumberFormat="1" applyFont="1" applyBorder="1" applyAlignment="1" applyProtection="1">
      <alignment horizontal="center" vertical="center" wrapText="1"/>
      <protection locked="0"/>
    </xf>
    <xf numFmtId="1" fontId="11" fillId="0" borderId="43" xfId="0" applyNumberFormat="1" applyFont="1" applyBorder="1" applyAlignment="1">
      <alignment horizontal="center" vertical="center" wrapText="1"/>
    </xf>
    <xf numFmtId="4" fontId="11" fillId="0" borderId="43" xfId="0" applyNumberFormat="1" applyFont="1" applyBorder="1" applyAlignment="1">
      <alignment horizontal="center" vertical="center" wrapText="1"/>
    </xf>
    <xf numFmtId="3" fontId="11" fillId="0" borderId="43" xfId="0" applyNumberFormat="1" applyFont="1" applyBorder="1" applyAlignment="1">
      <alignment horizontal="center" vertical="center" wrapText="1"/>
    </xf>
    <xf numFmtId="4" fontId="9" fillId="0" borderId="43" xfId="0" applyNumberFormat="1" applyFont="1" applyBorder="1" applyAlignment="1">
      <alignment horizontal="center" vertical="center"/>
    </xf>
    <xf numFmtId="10" fontId="9" fillId="0" borderId="84" xfId="0" applyNumberFormat="1" applyFont="1" applyBorder="1" applyAlignment="1">
      <alignment horizontal="center" vertical="center"/>
    </xf>
    <xf numFmtId="10" fontId="9" fillId="0" borderId="145" xfId="0" applyNumberFormat="1" applyFont="1" applyBorder="1" applyAlignment="1">
      <alignment horizontal="center" vertical="center"/>
    </xf>
    <xf numFmtId="10" fontId="9" fillId="0" borderId="145" xfId="0" applyNumberFormat="1" applyFont="1" applyBorder="1" applyAlignment="1">
      <alignment horizontal="center" vertical="center" wrapText="1"/>
    </xf>
    <xf numFmtId="10" fontId="9" fillId="0" borderId="152" xfId="0" applyNumberFormat="1" applyFont="1" applyBorder="1" applyAlignment="1">
      <alignment horizontal="center" vertical="center" wrapText="1"/>
    </xf>
    <xf numFmtId="166" fontId="9" fillId="0" borderId="43" xfId="0" applyNumberFormat="1" applyFont="1" applyBorder="1" applyAlignment="1">
      <alignment horizontal="center" vertical="center" wrapText="1"/>
    </xf>
    <xf numFmtId="3" fontId="9" fillId="0" borderId="43" xfId="0" applyNumberFormat="1" applyFont="1" applyBorder="1" applyAlignment="1">
      <alignment horizontal="center" vertical="center" wrapText="1"/>
    </xf>
    <xf numFmtId="37" fontId="12" fillId="0" borderId="43" xfId="0" applyNumberFormat="1" applyFont="1" applyBorder="1" applyAlignment="1">
      <alignment horizontal="center" vertical="center"/>
    </xf>
    <xf numFmtId="167" fontId="20" fillId="0" borderId="43" xfId="0" applyNumberFormat="1" applyFont="1" applyBorder="1" applyAlignment="1">
      <alignment horizontal="center" vertical="center"/>
    </xf>
    <xf numFmtId="166" fontId="9" fillId="0" borderId="43" xfId="0" applyNumberFormat="1" applyFont="1" applyBorder="1" applyAlignment="1" applyProtection="1">
      <alignment horizontal="center" vertical="center" wrapText="1"/>
      <protection locked="0"/>
    </xf>
    <xf numFmtId="44" fontId="9" fillId="0" borderId="43" xfId="0" applyNumberFormat="1" applyFont="1" applyBorder="1" applyAlignment="1">
      <alignment horizontal="center" vertical="center" wrapText="1"/>
    </xf>
    <xf numFmtId="8" fontId="9" fillId="0" borderId="43" xfId="0" applyNumberFormat="1" applyFont="1" applyBorder="1" applyAlignment="1">
      <alignment horizontal="center" vertical="center" wrapText="1"/>
    </xf>
    <xf numFmtId="0" fontId="12" fillId="0" borderId="43" xfId="0" applyFont="1" applyBorder="1" applyAlignment="1">
      <alignment horizontal="right" vertical="center"/>
    </xf>
    <xf numFmtId="0" fontId="20" fillId="0" borderId="43" xfId="0" applyFont="1" applyBorder="1" applyAlignment="1">
      <alignment horizontal="center" vertical="center"/>
    </xf>
    <xf numFmtId="0" fontId="9" fillId="0" borderId="43" xfId="0" applyFont="1" applyBorder="1" applyAlignment="1">
      <alignment horizontal="right" vertical="center"/>
    </xf>
    <xf numFmtId="167" fontId="12" fillId="0" borderId="43" xfId="0" applyNumberFormat="1" applyFont="1" applyBorder="1" applyAlignment="1">
      <alignment horizontal="right" vertical="center"/>
    </xf>
    <xf numFmtId="0" fontId="12" fillId="0" borderId="43" xfId="0" applyFont="1" applyBorder="1" applyAlignment="1">
      <alignment horizontal="center" vertical="center"/>
    </xf>
    <xf numFmtId="167" fontId="12" fillId="0" borderId="43" xfId="0" applyNumberFormat="1" applyFont="1" applyBorder="1" applyAlignment="1">
      <alignment horizontal="center" vertical="center"/>
    </xf>
    <xf numFmtId="0" fontId="12" fillId="0" borderId="43" xfId="0" applyFont="1" applyBorder="1" applyAlignment="1" applyProtection="1">
      <alignment horizontal="right" vertical="center"/>
      <protection locked="0"/>
    </xf>
    <xf numFmtId="2" fontId="9" fillId="0" borderId="68" xfId="0" applyNumberFormat="1" applyFont="1" applyBorder="1" applyAlignment="1">
      <alignment horizontal="center" vertical="center" wrapText="1"/>
    </xf>
    <xf numFmtId="2" fontId="9" fillId="0" borderId="70" xfId="0" applyNumberFormat="1" applyFont="1" applyBorder="1" applyAlignment="1">
      <alignment horizontal="center" vertical="center" wrapText="1"/>
    </xf>
    <xf numFmtId="0" fontId="9" fillId="0" borderId="70" xfId="0" applyFont="1" applyBorder="1" applyAlignment="1">
      <alignment horizontal="center" vertical="center"/>
    </xf>
    <xf numFmtId="2" fontId="9" fillId="0" borderId="72" xfId="0" applyNumberFormat="1" applyFont="1" applyBorder="1" applyAlignment="1">
      <alignment horizontal="center" vertical="center" wrapText="1"/>
    </xf>
    <xf numFmtId="4" fontId="9" fillId="0" borderId="70" xfId="0" applyNumberFormat="1" applyFont="1" applyBorder="1" applyAlignment="1">
      <alignment horizontal="center" vertical="center"/>
    </xf>
    <xf numFmtId="0" fontId="9" fillId="0" borderId="72" xfId="0" applyFont="1" applyBorder="1" applyAlignment="1">
      <alignment horizontal="center" vertical="center"/>
    </xf>
    <xf numFmtId="6" fontId="9" fillId="0" borderId="72" xfId="0" applyNumberFormat="1" applyFont="1" applyBorder="1" applyAlignment="1">
      <alignment horizontal="center" vertical="center" wrapText="1"/>
    </xf>
    <xf numFmtId="3" fontId="9" fillId="0" borderId="70" xfId="0" applyNumberFormat="1" applyFont="1" applyBorder="1" applyAlignment="1">
      <alignment horizontal="center" vertical="center"/>
    </xf>
    <xf numFmtId="166" fontId="9" fillId="0" borderId="43" xfId="0" applyNumberFormat="1" applyFont="1" applyBorder="1" applyAlignment="1">
      <alignment horizontal="center" vertical="center"/>
    </xf>
    <xf numFmtId="2" fontId="12" fillId="0" borderId="43" xfId="0" applyNumberFormat="1" applyFont="1" applyBorder="1" applyAlignment="1">
      <alignment horizontal="right" vertical="center"/>
    </xf>
    <xf numFmtId="2" fontId="12" fillId="0" borderId="68" xfId="0" applyNumberFormat="1" applyFont="1" applyBorder="1" applyAlignment="1">
      <alignment horizontal="center" vertical="center"/>
    </xf>
    <xf numFmtId="1" fontId="12" fillId="0" borderId="68" xfId="0" applyNumberFormat="1" applyFont="1" applyBorder="1" applyAlignment="1">
      <alignment horizontal="center" vertical="center"/>
    </xf>
    <xf numFmtId="0" fontId="12" fillId="0" borderId="68" xfId="0" applyFont="1" applyBorder="1" applyAlignment="1">
      <alignment horizontal="center" vertical="center"/>
    </xf>
    <xf numFmtId="1" fontId="9" fillId="0" borderId="68" xfId="0" applyNumberFormat="1" applyFont="1" applyBorder="1" applyAlignment="1">
      <alignment horizontal="center" vertical="center" wrapText="1"/>
    </xf>
    <xf numFmtId="2" fontId="20" fillId="0" borderId="68" xfId="0" applyNumberFormat="1" applyFont="1" applyBorder="1" applyAlignment="1">
      <alignment horizontal="center" vertical="center"/>
    </xf>
    <xf numFmtId="0" fontId="20" fillId="0" borderId="68" xfId="0" applyFont="1" applyBorder="1" applyAlignment="1">
      <alignment horizontal="center" vertical="center"/>
    </xf>
    <xf numFmtId="0" fontId="9" fillId="0" borderId="68" xfId="0" applyFont="1" applyBorder="1" applyAlignment="1">
      <alignment horizontal="center" vertical="center" wrapText="1"/>
    </xf>
    <xf numFmtId="2" fontId="9" fillId="0" borderId="68" xfId="0" applyNumberFormat="1" applyFont="1" applyBorder="1" applyAlignment="1" applyProtection="1">
      <alignment horizontal="center" vertical="center" wrapText="1"/>
      <protection locked="0"/>
    </xf>
    <xf numFmtId="2" fontId="9" fillId="0" borderId="118" xfId="0" applyNumberFormat="1" applyFont="1" applyBorder="1" applyAlignment="1">
      <alignment horizontal="center" vertical="center" wrapText="1"/>
    </xf>
    <xf numFmtId="2" fontId="9" fillId="0" borderId="68" xfId="0" applyNumberFormat="1" applyFont="1" applyBorder="1" applyAlignment="1">
      <alignment horizontal="center" vertical="center"/>
    </xf>
    <xf numFmtId="1" fontId="9" fillId="0" borderId="72" xfId="0" applyNumberFormat="1" applyFont="1" applyBorder="1" applyAlignment="1">
      <alignment horizontal="center" vertical="center" wrapText="1"/>
    </xf>
    <xf numFmtId="0" fontId="9" fillId="0" borderId="72" xfId="0" applyFont="1" applyBorder="1" applyAlignment="1">
      <alignment horizontal="center" vertical="center" wrapText="1"/>
    </xf>
    <xf numFmtId="0" fontId="20" fillId="0" borderId="72" xfId="0" applyFont="1" applyBorder="1" applyAlignment="1">
      <alignment horizontal="center" vertical="center"/>
    </xf>
    <xf numFmtId="2" fontId="12" fillId="0" borderId="72" xfId="0" applyNumberFormat="1" applyFont="1" applyBorder="1" applyAlignment="1">
      <alignment horizontal="center" vertical="center"/>
    </xf>
    <xf numFmtId="165" fontId="12" fillId="0" borderId="72" xfId="0" applyNumberFormat="1" applyFont="1" applyBorder="1" applyAlignment="1">
      <alignment horizontal="center" vertical="center"/>
    </xf>
    <xf numFmtId="2" fontId="9" fillId="0" borderId="72" xfId="0" applyNumberFormat="1" applyFont="1" applyBorder="1" applyAlignment="1" applyProtection="1">
      <alignment horizontal="center" vertical="center" wrapText="1"/>
      <protection locked="0"/>
    </xf>
    <xf numFmtId="4" fontId="11" fillId="0" borderId="72" xfId="0" applyNumberFormat="1" applyFont="1" applyBorder="1" applyAlignment="1">
      <alignment horizontal="center" vertical="center" wrapText="1"/>
    </xf>
    <xf numFmtId="3" fontId="9" fillId="0" borderId="72" xfId="0" applyNumberFormat="1" applyFont="1" applyBorder="1" applyAlignment="1">
      <alignment horizontal="center" vertical="center" wrapText="1"/>
    </xf>
    <xf numFmtId="4" fontId="9" fillId="0" borderId="72" xfId="0" applyNumberFormat="1" applyFont="1" applyBorder="1" applyAlignment="1">
      <alignment horizontal="center" vertical="center"/>
    </xf>
    <xf numFmtId="2" fontId="9" fillId="0" borderId="43" xfId="0" applyNumberFormat="1" applyFont="1" applyBorder="1" applyAlignment="1">
      <alignment horizontal="center" vertical="center"/>
    </xf>
    <xf numFmtId="165" fontId="12" fillId="0" borderId="68" xfId="0" applyNumberFormat="1" applyFont="1" applyBorder="1" applyAlignment="1">
      <alignment horizontal="center" vertical="center"/>
    </xf>
    <xf numFmtId="10" fontId="9" fillId="0" borderId="72" xfId="0" applyNumberFormat="1" applyFont="1" applyBorder="1" applyAlignment="1">
      <alignment horizontal="center" vertical="center" wrapText="1"/>
    </xf>
    <xf numFmtId="10" fontId="20" fillId="0" borderId="72" xfId="0" applyNumberFormat="1" applyFont="1" applyBorder="1" applyAlignment="1">
      <alignment horizontal="center" vertical="center"/>
    </xf>
    <xf numFmtId="10" fontId="9" fillId="0" borderId="72" xfId="0" applyNumberFormat="1" applyFont="1" applyBorder="1" applyAlignment="1">
      <alignment horizontal="center" vertical="center"/>
    </xf>
    <xf numFmtId="10" fontId="12" fillId="0" borderId="72" xfId="0" applyNumberFormat="1" applyFont="1" applyBorder="1" applyAlignment="1">
      <alignment horizontal="center" vertical="center"/>
    </xf>
    <xf numFmtId="10" fontId="9" fillId="0" borderId="72" xfId="0" applyNumberFormat="1" applyFont="1" applyBorder="1" applyAlignment="1" applyProtection="1">
      <alignment horizontal="center" vertical="center" wrapText="1"/>
      <protection locked="0"/>
    </xf>
    <xf numFmtId="9" fontId="9" fillId="0" borderId="72" xfId="0" applyNumberFormat="1" applyFont="1" applyBorder="1" applyAlignment="1">
      <alignment horizontal="center" vertical="center" wrapText="1"/>
    </xf>
    <xf numFmtId="10" fontId="11" fillId="0" borderId="72" xfId="0" applyNumberFormat="1" applyFont="1" applyBorder="1" applyAlignment="1">
      <alignment horizontal="center" vertical="center" wrapText="1"/>
    </xf>
    <xf numFmtId="10" fontId="9" fillId="0" borderId="72" xfId="4" applyNumberFormat="1" applyFont="1" applyFill="1" applyBorder="1" applyAlignment="1">
      <alignment horizontal="center" vertical="center"/>
    </xf>
    <xf numFmtId="8" fontId="9" fillId="0" borderId="72" xfId="0" applyNumberFormat="1" applyFont="1" applyBorder="1" applyAlignment="1">
      <alignment horizontal="center" vertical="center" wrapText="1"/>
    </xf>
    <xf numFmtId="10" fontId="9" fillId="0" borderId="43" xfId="0" applyNumberFormat="1" applyFont="1" applyBorder="1" applyAlignment="1">
      <alignment horizontal="center" vertical="center" wrapText="1"/>
    </xf>
    <xf numFmtId="10" fontId="9" fillId="0" borderId="43" xfId="0" applyNumberFormat="1" applyFont="1" applyBorder="1" applyAlignment="1">
      <alignment horizontal="center" vertical="center"/>
    </xf>
    <xf numFmtId="10" fontId="12" fillId="0" borderId="43" xfId="0" applyNumberFormat="1" applyFont="1" applyBorder="1" applyAlignment="1">
      <alignment horizontal="center" vertical="center"/>
    </xf>
    <xf numFmtId="9" fontId="12" fillId="0" borderId="43" xfId="0" applyNumberFormat="1" applyFont="1" applyBorder="1" applyAlignment="1">
      <alignment horizontal="right" vertical="center"/>
    </xf>
    <xf numFmtId="9" fontId="12" fillId="0" borderId="43" xfId="0" applyNumberFormat="1" applyFont="1" applyBorder="1" applyAlignment="1">
      <alignment horizontal="center" vertical="center"/>
    </xf>
    <xf numFmtId="9" fontId="12" fillId="0" borderId="43" xfId="0" applyNumberFormat="1" applyFont="1" applyBorder="1" applyAlignment="1" applyProtection="1">
      <alignment horizontal="center" vertical="center"/>
      <protection locked="0"/>
    </xf>
    <xf numFmtId="10" fontId="12" fillId="0" borderId="43" xfId="0" applyNumberFormat="1" applyFont="1" applyBorder="1" applyAlignment="1">
      <alignment horizontal="right" vertical="center"/>
    </xf>
    <xf numFmtId="10" fontId="9" fillId="0" borderId="70" xfId="0" applyNumberFormat="1" applyFont="1" applyBorder="1" applyAlignment="1">
      <alignment horizontal="center" vertical="center"/>
    </xf>
    <xf numFmtId="10" fontId="9" fillId="0" borderId="43" xfId="4" applyNumberFormat="1" applyFont="1" applyFill="1" applyBorder="1" applyAlignment="1">
      <alignment horizontal="center" vertical="center"/>
    </xf>
    <xf numFmtId="10" fontId="12" fillId="0" borderId="68" xfId="0" applyNumberFormat="1" applyFont="1" applyBorder="1" applyAlignment="1">
      <alignment horizontal="center" vertical="center"/>
    </xf>
    <xf numFmtId="10" fontId="9" fillId="0" borderId="68" xfId="0" applyNumberFormat="1" applyFont="1" applyBorder="1" applyAlignment="1">
      <alignment horizontal="center" vertical="center" wrapText="1"/>
    </xf>
    <xf numFmtId="10" fontId="20" fillId="0" borderId="68" xfId="0" applyNumberFormat="1" applyFont="1" applyBorder="1" applyAlignment="1">
      <alignment horizontal="center" vertical="center"/>
    </xf>
    <xf numFmtId="10" fontId="9" fillId="0" borderId="68" xfId="0" applyNumberFormat="1" applyFont="1" applyBorder="1" applyAlignment="1">
      <alignment horizontal="center" vertical="center"/>
    </xf>
    <xf numFmtId="10" fontId="9" fillId="0" borderId="68" xfId="0" applyNumberFormat="1" applyFont="1" applyBorder="1" applyAlignment="1" applyProtection="1">
      <alignment horizontal="center" vertical="center" wrapText="1"/>
      <protection locked="0"/>
    </xf>
    <xf numFmtId="0" fontId="11" fillId="0" borderId="72" xfId="0" applyFont="1" applyBorder="1" applyAlignment="1">
      <alignment horizontal="center" vertical="center" wrapText="1"/>
    </xf>
    <xf numFmtId="2" fontId="9" fillId="0" borderId="72" xfId="0" applyNumberFormat="1" applyFont="1" applyBorder="1" applyAlignment="1">
      <alignment horizontal="center" vertical="center"/>
    </xf>
    <xf numFmtId="39" fontId="12" fillId="0" borderId="68" xfId="0" applyNumberFormat="1" applyFont="1" applyBorder="1" applyAlignment="1">
      <alignment horizontal="center" vertical="center"/>
    </xf>
    <xf numFmtId="3" fontId="9" fillId="0" borderId="68" xfId="0" applyNumberFormat="1" applyFont="1" applyBorder="1" applyAlignment="1">
      <alignment horizontal="center" vertical="center" wrapText="1"/>
    </xf>
    <xf numFmtId="10" fontId="9" fillId="0" borderId="120" xfId="0" applyNumberFormat="1" applyFont="1" applyBorder="1" applyAlignment="1">
      <alignment horizontal="center" vertical="center"/>
    </xf>
    <xf numFmtId="10" fontId="9" fillId="0" borderId="149" xfId="0" applyNumberFormat="1" applyFont="1" applyBorder="1" applyAlignment="1">
      <alignment horizontal="center" vertical="center"/>
    </xf>
    <xf numFmtId="10" fontId="9" fillId="0" borderId="149" xfId="0" applyNumberFormat="1" applyFont="1" applyBorder="1" applyAlignment="1">
      <alignment horizontal="center" vertical="center" wrapText="1"/>
    </xf>
    <xf numFmtId="10" fontId="9" fillId="0" borderId="153" xfId="0" applyNumberFormat="1" applyFont="1" applyBorder="1" applyAlignment="1">
      <alignment horizontal="center" vertical="center" wrapText="1"/>
    </xf>
    <xf numFmtId="2" fontId="20" fillId="0" borderId="72" xfId="0" applyNumberFormat="1" applyFont="1" applyBorder="1" applyAlignment="1">
      <alignment horizontal="center" vertical="center"/>
    </xf>
    <xf numFmtId="1" fontId="11" fillId="0" borderId="72" xfId="0" applyNumberFormat="1" applyFont="1" applyBorder="1" applyAlignment="1">
      <alignment horizontal="center" vertical="center" wrapText="1"/>
    </xf>
    <xf numFmtId="10" fontId="9" fillId="0" borderId="82" xfId="0" applyNumberFormat="1" applyFont="1" applyBorder="1" applyAlignment="1">
      <alignment horizontal="center" vertical="center"/>
    </xf>
    <xf numFmtId="10" fontId="9" fillId="0" borderId="150" xfId="0" applyNumberFormat="1" applyFont="1" applyBorder="1" applyAlignment="1">
      <alignment horizontal="center" vertical="center"/>
    </xf>
    <xf numFmtId="10" fontId="9" fillId="0" borderId="150" xfId="0" applyNumberFormat="1" applyFont="1" applyBorder="1" applyAlignment="1">
      <alignment horizontal="center" vertical="center" wrapText="1"/>
    </xf>
    <xf numFmtId="10" fontId="9" fillId="0" borderId="154" xfId="0" applyNumberFormat="1" applyFont="1" applyBorder="1" applyAlignment="1">
      <alignment horizontal="center" vertical="center" wrapText="1"/>
    </xf>
    <xf numFmtId="166" fontId="9" fillId="14" borderId="146" xfId="0" applyNumberFormat="1" applyFont="1" applyFill="1" applyBorder="1" applyAlignment="1">
      <alignment horizontal="center" vertical="center" wrapText="1"/>
    </xf>
    <xf numFmtId="166" fontId="9" fillId="14" borderId="147" xfId="0" applyNumberFormat="1" applyFont="1" applyFill="1" applyBorder="1" applyAlignment="1" applyProtection="1">
      <alignment horizontal="center" vertical="center" wrapText="1"/>
      <protection locked="0"/>
    </xf>
    <xf numFmtId="166" fontId="9" fillId="14" borderId="148" xfId="0" applyNumberFormat="1" applyFont="1" applyFill="1" applyBorder="1" applyAlignment="1">
      <alignment horizontal="center" vertical="center" wrapText="1"/>
    </xf>
    <xf numFmtId="10" fontId="9" fillId="14" borderId="148" xfId="0" applyNumberFormat="1" applyFont="1" applyFill="1" applyBorder="1" applyAlignment="1">
      <alignment horizontal="center" vertical="center"/>
    </xf>
    <xf numFmtId="10" fontId="9" fillId="14" borderId="151" xfId="0" applyNumberFormat="1" applyFont="1" applyFill="1" applyBorder="1" applyAlignment="1">
      <alignment horizontal="center" vertical="center"/>
    </xf>
    <xf numFmtId="10" fontId="9" fillId="14" borderId="151" xfId="0" applyNumberFormat="1" applyFont="1" applyFill="1" applyBorder="1" applyAlignment="1">
      <alignment horizontal="center" vertical="center" wrapText="1"/>
    </xf>
    <xf numFmtId="10" fontId="9" fillId="14" borderId="156" xfId="0" applyNumberFormat="1" applyFont="1" applyFill="1" applyBorder="1" applyAlignment="1">
      <alignment horizontal="center" vertical="center" wrapText="1"/>
    </xf>
    <xf numFmtId="37" fontId="12" fillId="14" borderId="147" xfId="0" applyNumberFormat="1" applyFont="1" applyFill="1" applyBorder="1" applyAlignment="1">
      <alignment horizontal="center" vertical="center"/>
    </xf>
    <xf numFmtId="3" fontId="9" fillId="14" borderId="147" xfId="0" applyNumberFormat="1" applyFont="1" applyFill="1" applyBorder="1" applyAlignment="1">
      <alignment horizontal="center" vertical="center" wrapText="1"/>
    </xf>
    <xf numFmtId="3" fontId="9" fillId="14" borderId="148" xfId="0" applyNumberFormat="1" applyFont="1" applyFill="1" applyBorder="1" applyAlignment="1">
      <alignment horizontal="center" vertical="center" wrapText="1"/>
    </xf>
    <xf numFmtId="3" fontId="9" fillId="14" borderId="146" xfId="0" applyNumberFormat="1" applyFont="1" applyFill="1" applyBorder="1" applyAlignment="1">
      <alignment horizontal="center" vertical="center" wrapText="1"/>
    </xf>
    <xf numFmtId="166" fontId="9" fillId="15" borderId="157" xfId="0" applyNumberFormat="1" applyFont="1" applyFill="1" applyBorder="1" applyAlignment="1">
      <alignment horizontal="center" vertical="center" wrapText="1"/>
    </xf>
    <xf numFmtId="166" fontId="9" fillId="15" borderId="158" xfId="0" applyNumberFormat="1" applyFont="1" applyFill="1" applyBorder="1" applyAlignment="1">
      <alignment horizontal="center" vertical="center" wrapText="1"/>
    </xf>
    <xf numFmtId="166" fontId="9" fillId="15" borderId="158" xfId="0" applyNumberFormat="1" applyFont="1" applyFill="1" applyBorder="1" applyAlignment="1" applyProtection="1">
      <alignment horizontal="center" vertical="center" wrapText="1"/>
      <protection locked="0"/>
    </xf>
    <xf numFmtId="166" fontId="9" fillId="15" borderId="159" xfId="0" applyNumberFormat="1" applyFont="1" applyFill="1" applyBorder="1" applyAlignment="1">
      <alignment horizontal="center" vertical="center" wrapText="1"/>
    </xf>
    <xf numFmtId="166" fontId="9" fillId="15" borderId="160" xfId="0" applyNumberFormat="1" applyFont="1" applyFill="1" applyBorder="1" applyAlignment="1">
      <alignment horizontal="center" vertical="center" wrapText="1"/>
    </xf>
    <xf numFmtId="3" fontId="9" fillId="15" borderId="160" xfId="0" applyNumberFormat="1" applyFont="1" applyFill="1" applyBorder="1" applyAlignment="1">
      <alignment horizontal="center" vertical="center" wrapText="1"/>
    </xf>
    <xf numFmtId="44" fontId="9" fillId="15" borderId="160" xfId="3" applyFont="1" applyFill="1" applyBorder="1" applyAlignment="1">
      <alignment horizontal="center" vertical="center" wrapText="1"/>
    </xf>
    <xf numFmtId="44" fontId="9" fillId="15" borderId="161" xfId="3" applyFont="1" applyFill="1" applyBorder="1" applyAlignment="1">
      <alignment horizontal="center" vertical="center" wrapText="1"/>
    </xf>
    <xf numFmtId="44" fontId="9" fillId="15" borderId="158" xfId="3" applyFont="1" applyFill="1" applyBorder="1" applyAlignment="1">
      <alignment horizontal="center" vertical="center"/>
    </xf>
    <xf numFmtId="44" fontId="9" fillId="15" borderId="162" xfId="3" applyFont="1" applyFill="1" applyBorder="1" applyAlignment="1">
      <alignment vertical="center"/>
    </xf>
    <xf numFmtId="166" fontId="9" fillId="15" borderId="163" xfId="0" applyNumberFormat="1" applyFont="1" applyFill="1" applyBorder="1" applyAlignment="1">
      <alignment horizontal="center" vertical="center" wrapText="1"/>
    </xf>
    <xf numFmtId="166" fontId="9" fillId="15" borderId="43" xfId="0" applyNumberFormat="1" applyFont="1" applyFill="1" applyBorder="1" applyAlignment="1">
      <alignment horizontal="center" vertical="center" wrapText="1"/>
    </xf>
    <xf numFmtId="166" fontId="9" fillId="15" borderId="43" xfId="0" applyNumberFormat="1" applyFont="1" applyFill="1" applyBorder="1" applyAlignment="1" applyProtection="1">
      <alignment horizontal="center" vertical="center" wrapText="1"/>
      <protection locked="0"/>
    </xf>
    <xf numFmtId="166" fontId="9" fillId="15" borderId="79" xfId="0" applyNumberFormat="1" applyFont="1" applyFill="1" applyBorder="1" applyAlignment="1">
      <alignment horizontal="center" vertical="center" wrapText="1"/>
    </xf>
    <xf numFmtId="166" fontId="9" fillId="15" borderId="84" xfId="0" applyNumberFormat="1" applyFont="1" applyFill="1" applyBorder="1" applyAlignment="1">
      <alignment horizontal="center" vertical="center" wrapText="1"/>
    </xf>
    <xf numFmtId="166" fontId="9" fillId="15" borderId="145" xfId="0" applyNumberFormat="1" applyFont="1" applyFill="1" applyBorder="1" applyAlignment="1">
      <alignment horizontal="center" vertical="center" wrapText="1"/>
    </xf>
    <xf numFmtId="44" fontId="9" fillId="15" borderId="145" xfId="3" applyFont="1" applyFill="1" applyBorder="1" applyAlignment="1">
      <alignment horizontal="center" vertical="center" wrapText="1"/>
    </xf>
    <xf numFmtId="44" fontId="9" fillId="15" borderId="105" xfId="3" applyFont="1" applyFill="1" applyBorder="1" applyAlignment="1">
      <alignment horizontal="center" vertical="center" wrapText="1"/>
    </xf>
    <xf numFmtId="44" fontId="9" fillId="15" borderId="43" xfId="3" applyFont="1" applyFill="1" applyBorder="1" applyAlignment="1">
      <alignment horizontal="center" vertical="center"/>
    </xf>
    <xf numFmtId="44" fontId="9" fillId="15" borderId="164" xfId="3" applyFont="1" applyFill="1" applyBorder="1" applyAlignment="1">
      <alignment horizontal="center" vertical="center"/>
    </xf>
    <xf numFmtId="166" fontId="9" fillId="15" borderId="165" xfId="0" applyNumberFormat="1" applyFont="1" applyFill="1" applyBorder="1" applyAlignment="1">
      <alignment horizontal="center" vertical="center" wrapText="1"/>
    </xf>
    <xf numFmtId="166" fontId="9" fillId="15" borderId="166" xfId="0" applyNumberFormat="1" applyFont="1" applyFill="1" applyBorder="1" applyAlignment="1">
      <alignment horizontal="center" vertical="center" wrapText="1"/>
    </xf>
    <xf numFmtId="166" fontId="9" fillId="15" borderId="166" xfId="0" applyNumberFormat="1" applyFont="1" applyFill="1" applyBorder="1" applyAlignment="1" applyProtection="1">
      <alignment horizontal="center" vertical="center" wrapText="1"/>
      <protection locked="0"/>
    </xf>
    <xf numFmtId="166" fontId="9" fillId="15" borderId="167" xfId="0" applyNumberFormat="1" applyFont="1" applyFill="1" applyBorder="1" applyAlignment="1">
      <alignment horizontal="center" vertical="center" wrapText="1"/>
    </xf>
    <xf numFmtId="44" fontId="9" fillId="15" borderId="168" xfId="3" applyFont="1" applyFill="1" applyBorder="1" applyAlignment="1">
      <alignment horizontal="center" vertical="center" wrapText="1"/>
    </xf>
    <xf numFmtId="3" fontId="9" fillId="15" borderId="168" xfId="0" applyNumberFormat="1" applyFont="1" applyFill="1" applyBorder="1" applyAlignment="1">
      <alignment horizontal="center" vertical="center" wrapText="1"/>
    </xf>
    <xf numFmtId="44" fontId="9" fillId="15" borderId="169" xfId="3" applyFont="1" applyFill="1" applyBorder="1" applyAlignment="1">
      <alignment horizontal="center" vertical="center" wrapText="1"/>
    </xf>
    <xf numFmtId="44" fontId="9" fillId="15" borderId="166" xfId="3" applyFont="1" applyFill="1" applyBorder="1" applyAlignment="1">
      <alignment vertical="center"/>
    </xf>
    <xf numFmtId="44" fontId="9" fillId="15" borderId="170" xfId="3" applyFont="1" applyFill="1" applyBorder="1" applyAlignment="1">
      <alignment vertical="center"/>
    </xf>
    <xf numFmtId="10" fontId="16" fillId="0" borderId="145" xfId="0" applyNumberFormat="1" applyFont="1" applyBorder="1" applyAlignment="1">
      <alignment horizontal="center" vertical="center" wrapText="1"/>
    </xf>
    <xf numFmtId="10" fontId="16" fillId="0" borderId="145" xfId="0" applyNumberFormat="1" applyFont="1" applyBorder="1" applyAlignment="1" applyProtection="1">
      <alignment horizontal="center" vertical="center" wrapText="1"/>
      <protection locked="0"/>
    </xf>
    <xf numFmtId="10" fontId="16" fillId="0" borderId="145" xfId="0" applyNumberFormat="1" applyFont="1" applyBorder="1" applyAlignment="1">
      <alignment horizontal="center" vertical="top" wrapText="1"/>
    </xf>
    <xf numFmtId="10" fontId="16" fillId="0" borderId="145" xfId="0" applyNumberFormat="1" applyFont="1" applyBorder="1" applyAlignment="1">
      <alignment horizontal="center" vertical="top"/>
    </xf>
    <xf numFmtId="10" fontId="16" fillId="0" borderId="145" xfId="0" applyNumberFormat="1" applyFont="1" applyBorder="1" applyAlignment="1">
      <alignment horizontal="center" vertical="center"/>
    </xf>
    <xf numFmtId="10" fontId="16" fillId="0" borderId="145" xfId="0" applyNumberFormat="1" applyFont="1" applyBorder="1" applyAlignment="1" applyProtection="1">
      <alignment horizontal="center" vertical="center"/>
      <protection locked="0"/>
    </xf>
    <xf numFmtId="0" fontId="24" fillId="0" borderId="130" xfId="0" applyFont="1" applyBorder="1" applyAlignment="1">
      <alignment horizontal="left" vertical="center" wrapText="1"/>
    </xf>
    <xf numFmtId="0" fontId="2" fillId="0" borderId="131" xfId="0" applyFont="1" applyBorder="1"/>
    <xf numFmtId="0" fontId="22" fillId="3" borderId="124" xfId="0" applyFont="1" applyFill="1" applyBorder="1" applyAlignment="1">
      <alignment vertical="center" wrapText="1"/>
    </xf>
    <xf numFmtId="0" fontId="22" fillId="3" borderId="123" xfId="0" applyFont="1" applyFill="1" applyBorder="1" applyAlignment="1">
      <alignment horizontal="center" vertical="center" wrapText="1"/>
    </xf>
    <xf numFmtId="0" fontId="22" fillId="3" borderId="140" xfId="0" applyFont="1" applyFill="1" applyBorder="1" applyAlignment="1">
      <alignment horizontal="center" vertical="center" wrapText="1"/>
    </xf>
    <xf numFmtId="4" fontId="43" fillId="0" borderId="144" xfId="2" applyNumberFormat="1" applyFont="1" applyBorder="1" applyAlignment="1">
      <alignment horizontal="center" vertical="center"/>
    </xf>
    <xf numFmtId="2" fontId="0" fillId="0" borderId="144" xfId="0" applyNumberFormat="1" applyBorder="1" applyAlignment="1">
      <alignment horizontal="center" vertical="center"/>
    </xf>
    <xf numFmtId="0" fontId="26" fillId="4" borderId="93" xfId="0" applyFont="1" applyFill="1" applyBorder="1" applyAlignment="1">
      <alignment horizontal="left" vertical="center" wrapText="1"/>
    </xf>
    <xf numFmtId="0" fontId="26" fillId="3" borderId="93" xfId="0" applyFont="1" applyFill="1" applyBorder="1" applyAlignment="1">
      <alignment horizontal="left" vertical="center" wrapText="1"/>
    </xf>
    <xf numFmtId="0" fontId="26" fillId="4" borderId="133" xfId="0" applyFont="1" applyFill="1" applyBorder="1" applyAlignment="1">
      <alignment horizontal="left" vertical="center" wrapText="1"/>
    </xf>
    <xf numFmtId="3" fontId="25" fillId="3" borderId="141" xfId="0" applyNumberFormat="1" applyFont="1" applyFill="1" applyBorder="1" applyAlignment="1">
      <alignment horizontal="center" vertical="center" wrapText="1"/>
    </xf>
    <xf numFmtId="3" fontId="27" fillId="3" borderId="141" xfId="0" applyNumberFormat="1" applyFont="1" applyFill="1" applyBorder="1" applyAlignment="1">
      <alignment horizontal="center" vertical="center" wrapText="1"/>
    </xf>
    <xf numFmtId="0" fontId="22" fillId="3" borderId="83" xfId="0" applyFont="1" applyFill="1" applyBorder="1" applyAlignment="1">
      <alignment vertical="center" wrapText="1"/>
    </xf>
    <xf numFmtId="0" fontId="22" fillId="3" borderId="47" xfId="0" applyFont="1" applyFill="1" applyBorder="1" applyAlignment="1">
      <alignment vertical="center" wrapText="1"/>
    </xf>
    <xf numFmtId="0" fontId="27" fillId="3" borderId="139" xfId="0" applyFont="1" applyFill="1" applyBorder="1" applyAlignment="1">
      <alignment horizontal="left" vertical="center" wrapText="1"/>
    </xf>
    <xf numFmtId="0" fontId="2" fillId="11" borderId="83" xfId="0" applyFont="1" applyFill="1" applyBorder="1"/>
    <xf numFmtId="4" fontId="2" fillId="11" borderId="83" xfId="0" applyNumberFormat="1" applyFont="1" applyFill="1" applyBorder="1"/>
    <xf numFmtId="0" fontId="15" fillId="11" borderId="83" xfId="0" applyFont="1" applyFill="1" applyBorder="1"/>
    <xf numFmtId="0" fontId="29" fillId="11" borderId="83" xfId="0" applyFont="1" applyFill="1" applyBorder="1"/>
    <xf numFmtId="0" fontId="30" fillId="11" borderId="83" xfId="0" applyFont="1" applyFill="1" applyBorder="1" applyAlignment="1">
      <alignment horizontal="center"/>
    </xf>
    <xf numFmtId="1" fontId="25" fillId="0" borderId="43" xfId="0" applyNumberFormat="1" applyFont="1" applyBorder="1" applyAlignment="1">
      <alignment horizontal="center" vertical="center"/>
    </xf>
    <xf numFmtId="1" fontId="27" fillId="0" borderId="43" xfId="0" applyNumberFormat="1" applyFont="1" applyBorder="1" applyAlignment="1">
      <alignment horizontal="center" vertical="center"/>
    </xf>
    <xf numFmtId="2" fontId="25" fillId="0" borderId="43" xfId="0" applyNumberFormat="1" applyFont="1" applyBorder="1" applyAlignment="1">
      <alignment horizontal="center" vertical="center"/>
    </xf>
    <xf numFmtId="2" fontId="22" fillId="0" borderId="43" xfId="0" applyNumberFormat="1" applyFont="1" applyBorder="1" applyAlignment="1">
      <alignment horizontal="center" vertical="center" wrapText="1"/>
    </xf>
    <xf numFmtId="2" fontId="27" fillId="0" borderId="43" xfId="0" applyNumberFormat="1" applyFont="1" applyBorder="1" applyAlignment="1">
      <alignment horizontal="center" vertical="center"/>
    </xf>
    <xf numFmtId="3" fontId="25" fillId="0" borderId="43" xfId="0" applyNumberFormat="1" applyFont="1" applyBorder="1" applyAlignment="1">
      <alignment horizontal="center" vertical="center"/>
    </xf>
    <xf numFmtId="166" fontId="25" fillId="0" borderId="43" xfId="0" applyNumberFormat="1" applyFont="1" applyBorder="1" applyAlignment="1">
      <alignment horizontal="center" vertical="center"/>
    </xf>
    <xf numFmtId="8" fontId="25" fillId="0" borderId="43" xfId="0" applyNumberFormat="1" applyFont="1" applyBorder="1" applyAlignment="1">
      <alignment horizontal="center" vertical="center"/>
    </xf>
    <xf numFmtId="170" fontId="16" fillId="0" borderId="43" xfId="0" applyNumberFormat="1" applyFont="1" applyBorder="1" applyAlignment="1">
      <alignment horizontal="center" vertical="center"/>
    </xf>
    <xf numFmtId="37" fontId="16" fillId="0" borderId="43" xfId="0" applyNumberFormat="1" applyFont="1" applyBorder="1" applyAlignment="1">
      <alignment horizontal="center" vertical="center"/>
    </xf>
    <xf numFmtId="2" fontId="16" fillId="0" borderId="43" xfId="0" applyNumberFormat="1" applyFont="1" applyBorder="1" applyAlignment="1">
      <alignment horizontal="center" vertical="center"/>
    </xf>
    <xf numFmtId="0" fontId="16" fillId="0" borderId="43" xfId="0" applyFont="1" applyBorder="1" applyAlignment="1">
      <alignment horizontal="center" vertical="center"/>
    </xf>
    <xf numFmtId="167" fontId="16" fillId="0" borderId="43" xfId="0" applyNumberFormat="1" applyFont="1" applyBorder="1" applyAlignment="1">
      <alignment horizontal="center" vertical="center"/>
    </xf>
    <xf numFmtId="4" fontId="27" fillId="0" borderId="43" xfId="0" applyNumberFormat="1" applyFont="1" applyBorder="1" applyAlignment="1">
      <alignment horizontal="center" vertical="center"/>
    </xf>
    <xf numFmtId="0" fontId="22" fillId="0" borderId="43" xfId="0" applyFont="1" applyBorder="1" applyAlignment="1">
      <alignment horizontal="center" vertical="center"/>
    </xf>
    <xf numFmtId="2" fontId="22" fillId="0" borderId="43" xfId="0" applyNumberFormat="1" applyFont="1" applyBorder="1" applyAlignment="1">
      <alignment horizontal="center" vertical="center"/>
    </xf>
    <xf numFmtId="164" fontId="16" fillId="0" borderId="43" xfId="0" applyNumberFormat="1" applyFont="1" applyBorder="1" applyAlignment="1">
      <alignment horizontal="center" vertical="center"/>
    </xf>
    <xf numFmtId="2" fontId="16" fillId="0" borderId="43" xfId="0" applyNumberFormat="1" applyFont="1" applyBorder="1" applyAlignment="1">
      <alignment horizontal="center" vertical="center" wrapText="1"/>
    </xf>
    <xf numFmtId="1" fontId="16" fillId="0" borderId="43" xfId="0" applyNumberFormat="1" applyFont="1" applyBorder="1" applyAlignment="1">
      <alignment horizontal="center" vertical="center"/>
    </xf>
    <xf numFmtId="4" fontId="25" fillId="0" borderId="43" xfId="0" applyNumberFormat="1" applyFont="1" applyBorder="1" applyAlignment="1">
      <alignment horizontal="center" vertical="center"/>
    </xf>
    <xf numFmtId="0" fontId="25" fillId="0" borderId="43" xfId="0" applyFont="1" applyBorder="1" applyAlignment="1">
      <alignment horizontal="center" vertical="center"/>
    </xf>
    <xf numFmtId="10" fontId="25" fillId="0" borderId="43" xfId="0" applyNumberFormat="1" applyFont="1" applyBorder="1" applyAlignment="1">
      <alignment horizontal="center" vertical="center"/>
    </xf>
    <xf numFmtId="10" fontId="27" fillId="0" borderId="43" xfId="0" applyNumberFormat="1" applyFont="1" applyBorder="1" applyAlignment="1">
      <alignment horizontal="center" vertical="center"/>
    </xf>
    <xf numFmtId="10" fontId="27" fillId="0" borderId="43" xfId="0" applyNumberFormat="1" applyFont="1" applyBorder="1" applyAlignment="1">
      <alignment horizontal="center" vertical="center" wrapText="1"/>
    </xf>
    <xf numFmtId="10" fontId="25" fillId="0" borderId="43" xfId="0" applyNumberFormat="1" applyFont="1" applyBorder="1" applyAlignment="1">
      <alignment horizontal="center" vertical="center" wrapText="1"/>
    </xf>
    <xf numFmtId="3" fontId="25" fillId="0" borderId="43" xfId="0" applyNumberFormat="1" applyFont="1" applyBorder="1" applyAlignment="1">
      <alignment horizontal="center" vertical="center" wrapText="1"/>
    </xf>
    <xf numFmtId="4" fontId="27" fillId="0" borderId="43" xfId="0" applyNumberFormat="1" applyFont="1" applyBorder="1" applyAlignment="1">
      <alignment horizontal="center" vertical="center" wrapText="1"/>
    </xf>
    <xf numFmtId="4" fontId="25" fillId="0" borderId="43" xfId="0" applyNumberFormat="1" applyFont="1" applyBorder="1" applyAlignment="1">
      <alignment horizontal="center" vertical="center" wrapText="1"/>
    </xf>
    <xf numFmtId="0" fontId="2" fillId="0" borderId="43" xfId="0" applyFont="1" applyBorder="1" applyAlignment="1">
      <alignment horizontal="center"/>
    </xf>
    <xf numFmtId="3" fontId="25" fillId="12" borderId="141" xfId="0" applyNumberFormat="1" applyFont="1" applyFill="1" applyBorder="1" applyAlignment="1">
      <alignment horizontal="center" vertical="center" wrapText="1"/>
    </xf>
    <xf numFmtId="3" fontId="25" fillId="12" borderId="78" xfId="0" applyNumberFormat="1" applyFont="1" applyFill="1" applyBorder="1" applyAlignment="1">
      <alignment horizontal="center" vertical="center" wrapText="1"/>
    </xf>
    <xf numFmtId="3" fontId="28" fillId="12" borderId="89" xfId="0" applyNumberFormat="1" applyFont="1" applyFill="1" applyBorder="1" applyAlignment="1">
      <alignment horizontal="center" vertical="center"/>
    </xf>
    <xf numFmtId="9" fontId="12" fillId="0" borderId="31" xfId="0" applyNumberFormat="1" applyFont="1" applyBorder="1" applyAlignment="1">
      <alignment horizontal="center" vertical="center"/>
    </xf>
    <xf numFmtId="0" fontId="3" fillId="0" borderId="2" xfId="0" applyFont="1" applyBorder="1" applyAlignment="1">
      <alignment horizontal="center"/>
    </xf>
    <xf numFmtId="0" fontId="4" fillId="0" borderId="3" xfId="0" applyFont="1" applyBorder="1"/>
    <xf numFmtId="0" fontId="4" fillId="0" borderId="7" xfId="0" applyFont="1" applyBorder="1"/>
    <xf numFmtId="0" fontId="0" fillId="0" borderId="0" xfId="0"/>
    <xf numFmtId="0" fontId="4" fillId="0" borderId="9" xfId="0" applyFont="1" applyBorder="1"/>
    <xf numFmtId="0" fontId="4" fillId="0" borderId="10" xfId="0" applyFont="1" applyBorder="1"/>
    <xf numFmtId="0" fontId="5" fillId="3" borderId="4" xfId="0" applyFont="1" applyFill="1" applyBorder="1" applyAlignment="1">
      <alignment horizontal="center" vertical="center" wrapText="1"/>
    </xf>
    <xf numFmtId="0" fontId="4" fillId="0" borderId="5" xfId="0" applyFont="1" applyBorder="1"/>
    <xf numFmtId="0" fontId="4" fillId="0" borderId="6" xfId="0" applyFont="1" applyBorder="1"/>
    <xf numFmtId="0" fontId="6" fillId="3" borderId="4" xfId="0" applyFont="1" applyFill="1" applyBorder="1" applyAlignment="1">
      <alignment horizontal="center" vertical="center" wrapText="1"/>
    </xf>
    <xf numFmtId="0" fontId="4" fillId="0" borderId="8" xfId="0" applyFont="1" applyBorder="1"/>
    <xf numFmtId="0" fontId="7" fillId="2" borderId="11" xfId="0" applyFont="1" applyFill="1" applyBorder="1" applyAlignment="1">
      <alignment horizontal="left" vertical="center" wrapText="1"/>
    </xf>
    <xf numFmtId="0" fontId="4" fillId="0" borderId="12" xfId="0" applyFont="1" applyBorder="1"/>
    <xf numFmtId="0" fontId="4" fillId="0" borderId="13" xfId="0" applyFont="1" applyBorder="1"/>
    <xf numFmtId="0" fontId="7" fillId="2"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4" fillId="0" borderId="16" xfId="0" applyFont="1" applyBorder="1"/>
    <xf numFmtId="0" fontId="4" fillId="0" borderId="17" xfId="0" applyFont="1" applyBorder="1"/>
    <xf numFmtId="0" fontId="8" fillId="0" borderId="4" xfId="0" applyFont="1" applyBorder="1" applyAlignment="1">
      <alignment horizontal="left" vertical="center" wrapText="1"/>
    </xf>
    <xf numFmtId="0" fontId="2" fillId="0" borderId="145" xfId="0" applyFont="1" applyBorder="1" applyAlignment="1">
      <alignment horizontal="left" vertical="center" wrapText="1"/>
    </xf>
    <xf numFmtId="0" fontId="4" fillId="0" borderId="145" xfId="0" applyFont="1" applyBorder="1"/>
    <xf numFmtId="0" fontId="2" fillId="0" borderId="114" xfId="0" applyFont="1" applyBorder="1" applyAlignment="1">
      <alignment horizontal="left" vertical="center"/>
    </xf>
    <xf numFmtId="0" fontId="4" fillId="0" borderId="45" xfId="0" applyFont="1" applyBorder="1"/>
    <xf numFmtId="0" fontId="4" fillId="0" borderId="46" xfId="0" applyFont="1" applyBorder="1"/>
    <xf numFmtId="0" fontId="8" fillId="0" borderId="9" xfId="0" applyFont="1" applyBorder="1" applyAlignment="1">
      <alignment horizontal="left" vertical="center" wrapText="1"/>
    </xf>
    <xf numFmtId="0" fontId="4" fillId="0" borderId="18" xfId="0" applyFont="1" applyBorder="1"/>
    <xf numFmtId="0" fontId="10" fillId="3" borderId="4"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4" fillId="0" borderId="27" xfId="0" applyFont="1" applyBorder="1"/>
    <xf numFmtId="0" fontId="4" fillId="0" borderId="118" xfId="0" applyFont="1" applyBorder="1"/>
    <xf numFmtId="0" fontId="4" fillId="0" borderId="39" xfId="0" applyFont="1" applyBorder="1"/>
    <xf numFmtId="0" fontId="11" fillId="3" borderId="24" xfId="0" applyFont="1" applyFill="1" applyBorder="1" applyAlignment="1">
      <alignment horizontal="center" vertical="center" wrapText="1"/>
    </xf>
    <xf numFmtId="0" fontId="4" fillId="0" borderId="28" xfId="0" applyFont="1" applyBorder="1"/>
    <xf numFmtId="0" fontId="4" fillId="0" borderId="40" xfId="0" applyFont="1" applyBorder="1"/>
    <xf numFmtId="0" fontId="10" fillId="5" borderId="4" xfId="0" applyFont="1" applyFill="1" applyBorder="1" applyAlignment="1">
      <alignment horizontal="center" vertical="center"/>
    </xf>
    <xf numFmtId="0" fontId="10" fillId="5" borderId="20" xfId="0" applyFont="1" applyFill="1" applyBorder="1" applyAlignment="1">
      <alignment horizontal="center" vertical="center"/>
    </xf>
    <xf numFmtId="0" fontId="11" fillId="5" borderId="21" xfId="0" applyFont="1" applyFill="1" applyBorder="1" applyAlignment="1">
      <alignment horizontal="center" vertical="center" wrapText="1"/>
    </xf>
    <xf numFmtId="0" fontId="4" fillId="0" borderId="25" xfId="0" applyFont="1" applyBorder="1"/>
    <xf numFmtId="0" fontId="4" fillId="0" borderId="37" xfId="0" applyFont="1" applyBorder="1"/>
    <xf numFmtId="0" fontId="8" fillId="6"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4" fillId="0" borderId="26" xfId="0" applyFont="1" applyBorder="1"/>
    <xf numFmtId="0" fontId="4" fillId="0" borderId="38" xfId="0" applyFont="1" applyBorder="1"/>
    <xf numFmtId="0" fontId="15" fillId="10" borderId="145" xfId="0" applyFont="1" applyFill="1" applyBorder="1" applyAlignment="1">
      <alignment horizontal="center" vertical="center"/>
    </xf>
    <xf numFmtId="0" fontId="15" fillId="10" borderId="114"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0" borderId="36" xfId="0" applyFont="1" applyBorder="1" applyAlignment="1">
      <alignment horizontal="left" vertical="center" wrapText="1"/>
    </xf>
    <xf numFmtId="0" fontId="8" fillId="0" borderId="20" xfId="0" applyFont="1" applyBorder="1" applyAlignment="1">
      <alignment horizontal="left" vertical="center" wrapText="1"/>
    </xf>
    <xf numFmtId="0" fontId="40" fillId="0" borderId="83" xfId="0" applyFont="1" applyBorder="1" applyAlignment="1">
      <alignment horizontal="center" vertical="center"/>
    </xf>
    <xf numFmtId="0" fontId="39" fillId="0" borderId="145" xfId="0" applyFont="1" applyBorder="1" applyAlignment="1" applyProtection="1">
      <alignment horizontal="center" vertical="center" wrapText="1"/>
      <protection locked="0"/>
    </xf>
    <xf numFmtId="0" fontId="4" fillId="0" borderId="145" xfId="0" applyFont="1" applyBorder="1" applyProtection="1">
      <protection locked="0"/>
    </xf>
    <xf numFmtId="0" fontId="39" fillId="0" borderId="145" xfId="0" applyFont="1" applyBorder="1" applyAlignment="1" applyProtection="1">
      <alignment horizontal="justify" vertical="center" wrapText="1"/>
      <protection locked="0"/>
    </xf>
    <xf numFmtId="0" fontId="4" fillId="0" borderId="145" xfId="0" applyFont="1" applyBorder="1" applyAlignment="1" applyProtection="1">
      <alignment horizontal="justify" vertical="center"/>
      <protection locked="0"/>
    </xf>
    <xf numFmtId="0" fontId="45" fillId="0" borderId="145" xfId="1" applyFont="1" applyFill="1" applyBorder="1" applyAlignment="1" applyProtection="1">
      <alignment horizontal="left" vertical="center" wrapText="1"/>
      <protection locked="0"/>
    </xf>
    <xf numFmtId="0" fontId="10" fillId="5" borderId="50" xfId="0" applyFont="1" applyFill="1" applyBorder="1" applyAlignment="1">
      <alignment horizontal="center" vertical="center"/>
    </xf>
    <xf numFmtId="0" fontId="4" fillId="0" borderId="51" xfId="0" applyFont="1" applyBorder="1"/>
    <xf numFmtId="0" fontId="4" fillId="0" borderId="52" xfId="0" applyFont="1" applyBorder="1"/>
    <xf numFmtId="0" fontId="4" fillId="0" borderId="53" xfId="0" applyFont="1" applyBorder="1"/>
    <xf numFmtId="0" fontId="8" fillId="5" borderId="21" xfId="0" applyFont="1" applyFill="1" applyBorder="1" applyAlignment="1">
      <alignment horizontal="center" vertical="center" wrapText="1"/>
    </xf>
    <xf numFmtId="0" fontId="4" fillId="0" borderId="61" xfId="0" applyFont="1" applyBorder="1"/>
    <xf numFmtId="0" fontId="4" fillId="0" borderId="64" xfId="0" applyFont="1" applyBorder="1"/>
    <xf numFmtId="0" fontId="4" fillId="0" borderId="63" xfId="0" applyFont="1" applyBorder="1"/>
    <xf numFmtId="0" fontId="39" fillId="0" borderId="145" xfId="0" applyFont="1" applyBorder="1" applyAlignment="1" applyProtection="1">
      <alignment horizontal="justify" vertical="top" wrapText="1"/>
      <protection locked="0"/>
    </xf>
    <xf numFmtId="0" fontId="4" fillId="0" borderId="145" xfId="0" applyFont="1" applyBorder="1" applyAlignment="1" applyProtection="1">
      <alignment horizontal="justify" vertical="top"/>
      <protection locked="0"/>
    </xf>
    <xf numFmtId="0" fontId="4" fillId="0" borderId="155" xfId="0" applyFont="1" applyBorder="1" applyAlignment="1" applyProtection="1">
      <alignment horizontal="justify" vertical="top"/>
      <protection locked="0"/>
    </xf>
    <xf numFmtId="0" fontId="13" fillId="0" borderId="65" xfId="0" applyFont="1" applyBorder="1" applyAlignment="1">
      <alignment horizontal="center" vertical="center" wrapText="1"/>
    </xf>
    <xf numFmtId="0" fontId="10" fillId="3" borderId="2" xfId="0" applyFont="1" applyFill="1" applyBorder="1" applyAlignment="1">
      <alignment horizontal="center" vertical="center" wrapText="1"/>
    </xf>
    <xf numFmtId="0" fontId="4" fillId="0" borderId="48" xfId="0" applyFont="1" applyBorder="1"/>
    <xf numFmtId="0" fontId="13" fillId="0" borderId="65" xfId="0" applyFont="1" applyBorder="1" applyAlignment="1">
      <alignment horizontal="left" vertical="center" wrapText="1"/>
    </xf>
    <xf numFmtId="0" fontId="13" fillId="3" borderId="74" xfId="0" applyFont="1" applyFill="1" applyBorder="1" applyAlignment="1">
      <alignment horizontal="center" vertical="center" wrapText="1"/>
    </xf>
    <xf numFmtId="0" fontId="4" fillId="0" borderId="75" xfId="0" applyFont="1" applyBorder="1"/>
    <xf numFmtId="0" fontId="4" fillId="0" borderId="76" xfId="0" applyFont="1" applyBorder="1"/>
    <xf numFmtId="0" fontId="4" fillId="0" borderId="83" xfId="0" applyFont="1" applyBorder="1"/>
    <xf numFmtId="0" fontId="4" fillId="0" borderId="87" xfId="0" applyFont="1" applyBorder="1"/>
    <xf numFmtId="0" fontId="4" fillId="0" borderId="155" xfId="0" applyFont="1" applyBorder="1" applyAlignment="1" applyProtection="1">
      <alignment horizontal="justify" vertical="center"/>
      <protection locked="0"/>
    </xf>
    <xf numFmtId="9" fontId="9" fillId="12" borderId="83" xfId="0" applyNumberFormat="1" applyFont="1" applyFill="1" applyBorder="1" applyAlignment="1">
      <alignment horizontal="center" vertical="center"/>
    </xf>
    <xf numFmtId="0" fontId="4" fillId="12" borderId="83" xfId="0" applyFont="1" applyFill="1" applyBorder="1"/>
    <xf numFmtId="0" fontId="4" fillId="12" borderId="47" xfId="0" applyFont="1" applyFill="1" applyBorder="1"/>
    <xf numFmtId="0" fontId="0" fillId="12" borderId="0" xfId="0" applyFill="1"/>
    <xf numFmtId="0" fontId="4" fillId="12" borderId="131" xfId="0" applyFont="1" applyFill="1" applyBorder="1"/>
    <xf numFmtId="0" fontId="4" fillId="12" borderId="10" xfId="0" applyFont="1" applyFill="1" applyBorder="1"/>
    <xf numFmtId="0" fontId="4" fillId="12" borderId="18" xfId="0" applyFont="1" applyFill="1" applyBorder="1"/>
    <xf numFmtId="0" fontId="2" fillId="0" borderId="2" xfId="0" applyFont="1" applyBorder="1" applyAlignment="1">
      <alignment horizontal="center"/>
    </xf>
    <xf numFmtId="0" fontId="7" fillId="2" borderId="4" xfId="0" applyFont="1" applyFill="1" applyBorder="1" applyAlignment="1">
      <alignment horizontal="left" vertical="center"/>
    </xf>
    <xf numFmtId="0" fontId="39" fillId="0" borderId="145" xfId="0" applyFont="1" applyBorder="1" applyProtection="1">
      <protection locked="0"/>
    </xf>
    <xf numFmtId="0" fontId="8" fillId="3" borderId="4"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54" xfId="0" applyFont="1" applyBorder="1"/>
    <xf numFmtId="0" fontId="4" fillId="0" borderId="62" xfId="0" applyFont="1" applyBorder="1"/>
    <xf numFmtId="0" fontId="44" fillId="0" borderId="145" xfId="0" applyFont="1" applyBorder="1" applyAlignment="1" applyProtection="1">
      <alignment horizontal="center" vertical="center" wrapText="1"/>
      <protection locked="0"/>
    </xf>
    <xf numFmtId="0" fontId="10" fillId="3" borderId="4" xfId="0" applyFont="1" applyFill="1" applyBorder="1" applyAlignment="1">
      <alignment horizontal="center" vertical="center"/>
    </xf>
    <xf numFmtId="0" fontId="40" fillId="0" borderId="109" xfId="0" applyFont="1" applyBorder="1" applyAlignment="1">
      <alignment horizontal="center" vertical="center"/>
    </xf>
    <xf numFmtId="0" fontId="9" fillId="0" borderId="65" xfId="0" applyFont="1" applyBorder="1" applyAlignment="1">
      <alignment horizontal="center" vertical="center" wrapText="1"/>
    </xf>
    <xf numFmtId="0" fontId="4" fillId="0" borderId="70" xfId="0" applyFont="1" applyBorder="1"/>
    <xf numFmtId="0" fontId="22" fillId="0" borderId="120" xfId="0" applyFont="1" applyBorder="1" applyAlignment="1">
      <alignment horizontal="center" vertical="center" wrapText="1"/>
    </xf>
    <xf numFmtId="0" fontId="4" fillId="0" borderId="82" xfId="0" applyFont="1" applyBorder="1"/>
    <xf numFmtId="0" fontId="22" fillId="0" borderId="145" xfId="0" applyFont="1" applyBorder="1" applyAlignment="1">
      <alignment horizontal="center" vertical="center" wrapText="1"/>
    </xf>
    <xf numFmtId="0" fontId="9" fillId="0" borderId="65" xfId="0" applyFont="1" applyBorder="1" applyAlignment="1">
      <alignment horizontal="left" vertical="center" wrapText="1"/>
    </xf>
    <xf numFmtId="0" fontId="9" fillId="0" borderId="68" xfId="0" applyFont="1" applyBorder="1" applyAlignment="1">
      <alignment horizontal="left" vertical="center" wrapText="1"/>
    </xf>
    <xf numFmtId="0" fontId="9" fillId="0" borderId="72" xfId="0" applyFont="1" applyBorder="1" applyAlignment="1">
      <alignment horizontal="left" vertical="center" wrapText="1"/>
    </xf>
    <xf numFmtId="0" fontId="9" fillId="0" borderId="65" xfId="0" applyFont="1" applyBorder="1" applyAlignment="1">
      <alignment horizontal="left" vertical="top" wrapText="1"/>
    </xf>
    <xf numFmtId="0" fontId="4" fillId="0" borderId="70" xfId="0" applyFont="1" applyBorder="1" applyAlignment="1">
      <alignment vertical="top"/>
    </xf>
    <xf numFmtId="0" fontId="22" fillId="0" borderId="120" xfId="0" applyFont="1" applyBorder="1" applyAlignment="1">
      <alignment horizontal="center" vertical="top" wrapText="1"/>
    </xf>
    <xf numFmtId="0" fontId="4" fillId="0" borderId="82" xfId="0" applyFont="1" applyBorder="1" applyAlignment="1">
      <alignment vertical="top"/>
    </xf>
    <xf numFmtId="0" fontId="22" fillId="0" borderId="145" xfId="0" applyFont="1" applyBorder="1" applyAlignment="1">
      <alignment horizontal="center" vertical="top" wrapText="1"/>
    </xf>
    <xf numFmtId="0" fontId="4" fillId="0" borderId="145" xfId="0" applyFont="1" applyBorder="1" applyAlignment="1">
      <alignment vertical="top"/>
    </xf>
    <xf numFmtId="169" fontId="46" fillId="0" borderId="145" xfId="0" applyNumberFormat="1" applyFont="1" applyBorder="1" applyAlignment="1">
      <alignment horizontal="center" vertical="center" wrapText="1"/>
    </xf>
    <xf numFmtId="0" fontId="4" fillId="0" borderId="145" xfId="0" applyFont="1" applyBorder="1" applyAlignment="1">
      <alignment vertical="center"/>
    </xf>
    <xf numFmtId="0" fontId="47" fillId="0" borderId="138" xfId="0" applyFont="1" applyBorder="1" applyAlignment="1" applyProtection="1">
      <alignment horizontal="justify" vertical="top" wrapText="1"/>
      <protection locked="0"/>
    </xf>
    <xf numFmtId="0" fontId="4" fillId="0" borderId="110" xfId="0" applyFont="1" applyBorder="1" applyAlignment="1" applyProtection="1">
      <alignment horizontal="justify" vertical="top"/>
      <protection locked="0"/>
    </xf>
    <xf numFmtId="10" fontId="46" fillId="0" borderId="145" xfId="0" applyNumberFormat="1" applyFont="1" applyBorder="1" applyAlignment="1">
      <alignment horizontal="center" vertical="center" wrapText="1"/>
    </xf>
    <xf numFmtId="0" fontId="5" fillId="3" borderId="15" xfId="0" applyFont="1" applyFill="1" applyBorder="1" applyAlignment="1">
      <alignment horizontal="center" vertical="center" wrapText="1"/>
    </xf>
    <xf numFmtId="0" fontId="4" fillId="0" borderId="92" xfId="0" applyFont="1" applyBorder="1"/>
    <xf numFmtId="0" fontId="6" fillId="3" borderId="93" xfId="0" applyFont="1" applyFill="1" applyBorder="1" applyAlignment="1">
      <alignment horizontal="center" vertical="center" wrapText="1"/>
    </xf>
    <xf numFmtId="0" fontId="4" fillId="0" borderId="94" xfId="0" applyFont="1" applyBorder="1"/>
    <xf numFmtId="0" fontId="7" fillId="2" borderId="95" xfId="0" applyFont="1" applyFill="1" applyBorder="1" applyAlignment="1">
      <alignment horizontal="left" vertical="center" wrapText="1"/>
    </xf>
    <xf numFmtId="0" fontId="4" fillId="0" borderId="96" xfId="0" applyFont="1" applyBorder="1"/>
    <xf numFmtId="0" fontId="4" fillId="0" borderId="97" xfId="0" applyFont="1" applyBorder="1"/>
    <xf numFmtId="0" fontId="8" fillId="2" borderId="98" xfId="0" applyFont="1" applyFill="1" applyBorder="1" applyAlignment="1">
      <alignment horizontal="left" vertical="center" wrapText="1"/>
    </xf>
    <xf numFmtId="0" fontId="4" fillId="0" borderId="99" xfId="0" applyFont="1" applyBorder="1"/>
    <xf numFmtId="0" fontId="4" fillId="0" borderId="100" xfId="0" applyFont="1" applyBorder="1"/>
    <xf numFmtId="0" fontId="8" fillId="3" borderId="95" xfId="0" applyFont="1" applyFill="1" applyBorder="1" applyAlignment="1">
      <alignment horizontal="left" vertical="center" wrapText="1"/>
    </xf>
    <xf numFmtId="0" fontId="4" fillId="0" borderId="101" xfId="0" applyFont="1" applyBorder="1"/>
    <xf numFmtId="0" fontId="8" fillId="2"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22" fillId="3" borderId="49"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4" fillId="0" borderId="103" xfId="0" applyFont="1" applyBorder="1"/>
    <xf numFmtId="0" fontId="22" fillId="5" borderId="102" xfId="0" applyFont="1" applyFill="1" applyBorder="1" applyAlignment="1">
      <alignment horizontal="center" vertical="center" wrapText="1"/>
    </xf>
    <xf numFmtId="0" fontId="22" fillId="3" borderId="102"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 fillId="0" borderId="44" xfId="0" applyFont="1" applyBorder="1" applyAlignment="1">
      <alignment horizontal="left" vertical="center" wrapText="1"/>
    </xf>
    <xf numFmtId="0" fontId="2" fillId="0" borderId="44" xfId="0" applyFont="1" applyBorder="1" applyAlignment="1">
      <alignment horizontal="left" vertical="center"/>
    </xf>
    <xf numFmtId="9" fontId="46" fillId="0" borderId="145" xfId="0" applyNumberFormat="1" applyFont="1" applyBorder="1" applyAlignment="1">
      <alignment horizontal="center" vertical="center" wrapText="1"/>
    </xf>
    <xf numFmtId="0" fontId="4" fillId="0" borderId="108" xfId="0" applyFont="1" applyBorder="1" applyAlignment="1" applyProtection="1">
      <alignment horizontal="justify" vertical="top"/>
      <protection locked="0"/>
    </xf>
    <xf numFmtId="0" fontId="22" fillId="3" borderId="11" xfId="0" applyFont="1" applyFill="1" applyBorder="1" applyAlignment="1">
      <alignment horizontal="center" vertical="center" wrapText="1"/>
    </xf>
    <xf numFmtId="0" fontId="4" fillId="0" borderId="111" xfId="0" applyFont="1" applyBorder="1"/>
    <xf numFmtId="0" fontId="15" fillId="10" borderId="44" xfId="0" applyFont="1" applyFill="1" applyBorder="1" applyAlignment="1">
      <alignment horizontal="center" vertical="center"/>
    </xf>
    <xf numFmtId="0" fontId="15" fillId="10" borderId="44" xfId="0" applyFont="1" applyFill="1" applyBorder="1" applyAlignment="1">
      <alignment horizontal="center" vertical="center" wrapText="1"/>
    </xf>
    <xf numFmtId="0" fontId="2" fillId="0" borderId="84" xfId="0" applyFont="1" applyBorder="1" applyAlignment="1">
      <alignment horizontal="left" vertical="center" wrapText="1"/>
    </xf>
    <xf numFmtId="0" fontId="4" fillId="0" borderId="114" xfId="0" applyFont="1" applyBorder="1"/>
    <xf numFmtId="0" fontId="4" fillId="0" borderId="105" xfId="0" applyFont="1" applyBorder="1"/>
    <xf numFmtId="0" fontId="2" fillId="0" borderId="84" xfId="0" applyFont="1" applyBorder="1" applyAlignment="1">
      <alignment horizontal="left" vertical="center"/>
    </xf>
    <xf numFmtId="0" fontId="23" fillId="3" borderId="98" xfId="0" applyFont="1" applyFill="1" applyBorder="1" applyAlignment="1">
      <alignment horizontal="center" vertical="center" wrapText="1"/>
    </xf>
    <xf numFmtId="0" fontId="4" fillId="12" borderId="99" xfId="0" applyFont="1" applyFill="1" applyBorder="1"/>
    <xf numFmtId="0" fontId="4" fillId="12" borderId="107" xfId="0" applyFont="1" applyFill="1" applyBorder="1"/>
    <xf numFmtId="0" fontId="4" fillId="12" borderId="128" xfId="0" applyFont="1" applyFill="1" applyBorder="1"/>
    <xf numFmtId="0" fontId="4" fillId="12" borderId="108" xfId="0" applyFont="1" applyFill="1" applyBorder="1"/>
    <xf numFmtId="0" fontId="4" fillId="12" borderId="130" xfId="0" applyFont="1" applyFill="1" applyBorder="1"/>
    <xf numFmtId="0" fontId="4" fillId="12" borderId="129" xfId="0" applyFont="1" applyFill="1" applyBorder="1"/>
    <xf numFmtId="171" fontId="27" fillId="3" borderId="127" xfId="0" applyNumberFormat="1" applyFont="1" applyFill="1" applyBorder="1" applyAlignment="1">
      <alignment horizontal="center" vertical="center" wrapText="1"/>
    </xf>
    <xf numFmtId="0" fontId="4" fillId="12" borderId="127" xfId="0" applyFont="1" applyFill="1" applyBorder="1"/>
    <xf numFmtId="0" fontId="4" fillId="12" borderId="113" xfId="0" applyFont="1" applyFill="1" applyBorder="1"/>
    <xf numFmtId="0" fontId="15" fillId="10" borderId="84" xfId="0" applyFont="1" applyFill="1" applyBorder="1" applyAlignment="1">
      <alignment horizontal="center" vertical="center"/>
    </xf>
    <xf numFmtId="0" fontId="15" fillId="10" borderId="84" xfId="0" applyFont="1" applyFill="1" applyBorder="1" applyAlignment="1">
      <alignment horizontal="center" vertical="center" wrapText="1"/>
    </xf>
    <xf numFmtId="0" fontId="25" fillId="0" borderId="68" xfId="0" applyFont="1" applyBorder="1" applyAlignment="1">
      <alignment horizontal="center" vertical="center" wrapText="1"/>
    </xf>
    <xf numFmtId="0" fontId="4" fillId="0" borderId="72" xfId="0" applyFont="1" applyBorder="1"/>
    <xf numFmtId="3" fontId="27" fillId="0" borderId="68" xfId="0" applyNumberFormat="1" applyFont="1" applyBorder="1" applyAlignment="1">
      <alignment vertical="center" wrapText="1"/>
    </xf>
    <xf numFmtId="0" fontId="2" fillId="0" borderId="68" xfId="0" applyFont="1" applyBorder="1" applyAlignment="1">
      <alignment horizontal="center"/>
    </xf>
    <xf numFmtId="3" fontId="25" fillId="0" borderId="68" xfId="0" applyNumberFormat="1" applyFont="1" applyBorder="1" applyAlignment="1">
      <alignment horizontal="center" vertical="center" wrapText="1"/>
    </xf>
    <xf numFmtId="3" fontId="25" fillId="0" borderId="68" xfId="0" applyNumberFormat="1" applyFont="1" applyBorder="1" applyAlignment="1">
      <alignment vertical="center" wrapText="1"/>
    </xf>
    <xf numFmtId="3" fontId="25" fillId="0" borderId="121" xfId="0" applyNumberFormat="1" applyFont="1" applyBorder="1" applyAlignment="1">
      <alignment horizontal="center" vertical="center"/>
    </xf>
    <xf numFmtId="0" fontId="4" fillId="0" borderId="123" xfId="0" applyFont="1" applyBorder="1"/>
    <xf numFmtId="0" fontId="25" fillId="0" borderId="57" xfId="0" applyFont="1" applyBorder="1" applyAlignment="1">
      <alignment horizontal="center" vertical="center" wrapText="1"/>
    </xf>
    <xf numFmtId="0" fontId="25" fillId="0" borderId="57" xfId="0" applyFont="1" applyBorder="1" applyAlignment="1">
      <alignment vertical="center" wrapText="1"/>
    </xf>
    <xf numFmtId="0" fontId="25" fillId="0" borderId="68" xfId="0" applyFont="1" applyBorder="1" applyAlignment="1">
      <alignment vertical="center" wrapText="1"/>
    </xf>
    <xf numFmtId="0" fontId="4" fillId="0" borderId="124" xfId="0" applyFont="1" applyBorder="1"/>
    <xf numFmtId="0" fontId="4" fillId="0" borderId="112" xfId="0" applyFont="1" applyBorder="1"/>
    <xf numFmtId="0" fontId="24" fillId="3" borderId="130" xfId="0" applyFont="1" applyFill="1" applyBorder="1" applyAlignment="1">
      <alignment horizontal="left" vertical="center" wrapText="1"/>
    </xf>
    <xf numFmtId="0" fontId="4" fillId="0" borderId="131" xfId="0" applyFont="1" applyBorder="1"/>
    <xf numFmtId="0" fontId="11" fillId="0" borderId="145" xfId="0" applyFont="1" applyBorder="1" applyAlignment="1">
      <alignment horizontal="left" vertical="center" wrapText="1"/>
    </xf>
    <xf numFmtId="0" fontId="22" fillId="3" borderId="36" xfId="0" applyFont="1" applyFill="1" applyBorder="1" applyAlignment="1">
      <alignment horizontal="center" vertical="center" wrapText="1"/>
    </xf>
    <xf numFmtId="0" fontId="4" fillId="0" borderId="20" xfId="0" applyFont="1" applyBorder="1"/>
    <xf numFmtId="0" fontId="4" fillId="0" borderId="35" xfId="0" applyFont="1" applyBorder="1"/>
    <xf numFmtId="0" fontId="22" fillId="5" borderId="36" xfId="0" applyFont="1" applyFill="1" applyBorder="1" applyAlignment="1">
      <alignment horizontal="center" vertical="center" wrapText="1"/>
    </xf>
    <xf numFmtId="0" fontId="22" fillId="3" borderId="122" xfId="0" applyFont="1" applyFill="1" applyBorder="1" applyAlignment="1">
      <alignment horizontal="center" vertical="center" wrapText="1"/>
    </xf>
    <xf numFmtId="0" fontId="4" fillId="0" borderId="116" xfId="0" applyFont="1" applyBorder="1"/>
    <xf numFmtId="0" fontId="22" fillId="3" borderId="116" xfId="0" applyFont="1" applyFill="1" applyBorder="1" applyAlignment="1">
      <alignment horizontal="center" vertical="center" wrapText="1"/>
    </xf>
    <xf numFmtId="0" fontId="22" fillId="3" borderId="126" xfId="0" applyFont="1" applyFill="1" applyBorder="1" applyAlignment="1">
      <alignment horizontal="center" vertical="center" wrapText="1"/>
    </xf>
    <xf numFmtId="0" fontId="22" fillId="3" borderId="60" xfId="0" applyFont="1" applyFill="1" applyBorder="1" applyAlignment="1">
      <alignment horizontal="center" vertical="center" wrapText="1"/>
    </xf>
    <xf numFmtId="0" fontId="4" fillId="0" borderId="127" xfId="0" applyFont="1" applyBorder="1"/>
    <xf numFmtId="0" fontId="2" fillId="0" borderId="98" xfId="0" applyFont="1" applyBorder="1" applyAlignment="1">
      <alignment horizontal="center"/>
    </xf>
    <xf numFmtId="0" fontId="4" fillId="0" borderId="128" xfId="0" applyFont="1" applyBorder="1"/>
    <xf numFmtId="0" fontId="0" fillId="0" borderId="83" xfId="0" applyBorder="1"/>
    <xf numFmtId="0" fontId="15" fillId="3" borderId="145" xfId="0" applyFont="1" applyFill="1" applyBorder="1" applyAlignment="1">
      <alignment horizontal="center" vertical="center"/>
    </xf>
    <xf numFmtId="0" fontId="11" fillId="3" borderId="145" xfId="0" applyFont="1" applyFill="1" applyBorder="1" applyAlignment="1">
      <alignment horizontal="center" vertical="center" wrapText="1"/>
    </xf>
    <xf numFmtId="0" fontId="11" fillId="11" borderId="145" xfId="0" applyFont="1" applyFill="1" applyBorder="1" applyAlignment="1">
      <alignment horizontal="left" vertical="center" wrapText="1"/>
    </xf>
    <xf numFmtId="0" fontId="11" fillId="11" borderId="145" xfId="0" applyFont="1" applyFill="1" applyBorder="1" applyAlignment="1">
      <alignment horizontal="left" vertical="center"/>
    </xf>
    <xf numFmtId="0" fontId="8" fillId="3" borderId="36" xfId="0" applyFont="1" applyFill="1" applyBorder="1" applyAlignment="1">
      <alignment horizontal="left" vertical="center"/>
    </xf>
    <xf numFmtId="0" fontId="8" fillId="2" borderId="145" xfId="0" applyFont="1" applyFill="1" applyBorder="1" applyAlignment="1">
      <alignment horizontal="left" vertical="center"/>
    </xf>
    <xf numFmtId="0" fontId="8" fillId="3" borderId="36" xfId="0" applyFont="1" applyFill="1" applyBorder="1" applyAlignment="1">
      <alignment horizontal="left" vertical="center" wrapText="1"/>
    </xf>
    <xf numFmtId="0" fontId="8" fillId="2" borderId="145" xfId="0" applyFont="1" applyFill="1" applyBorder="1" applyAlignment="1">
      <alignment horizontal="left" vertical="center" wrapText="1"/>
    </xf>
    <xf numFmtId="0" fontId="10" fillId="4" borderId="15" xfId="0" applyFont="1" applyFill="1" applyBorder="1" applyAlignment="1">
      <alignment horizontal="center" vertical="center"/>
    </xf>
    <xf numFmtId="0" fontId="13" fillId="0" borderId="121" xfId="0" applyFont="1" applyBorder="1" applyAlignment="1">
      <alignment horizontal="center" vertical="center"/>
    </xf>
    <xf numFmtId="0" fontId="13" fillId="0" borderId="123" xfId="0" applyFont="1" applyBorder="1" applyAlignment="1">
      <alignment horizontal="center" vertical="center"/>
    </xf>
    <xf numFmtId="0" fontId="4" fillId="0" borderId="47" xfId="0" applyFont="1" applyBorder="1"/>
    <xf numFmtId="0" fontId="5" fillId="3" borderId="15" xfId="0" applyFont="1" applyFill="1" applyBorder="1" applyAlignment="1">
      <alignment horizontal="center" vertical="center"/>
    </xf>
    <xf numFmtId="0" fontId="8" fillId="3" borderId="133" xfId="0" applyFont="1" applyFill="1" applyBorder="1" applyAlignment="1">
      <alignment horizontal="center" vertical="center" wrapText="1"/>
    </xf>
    <xf numFmtId="0" fontId="4" fillId="0" borderId="115" xfId="0" applyFont="1" applyBorder="1"/>
    <xf numFmtId="0" fontId="4" fillId="0" borderId="134" xfId="0" applyFont="1" applyBorder="1"/>
    <xf numFmtId="0" fontId="7" fillId="0" borderId="95" xfId="0" applyFont="1" applyBorder="1" applyAlignment="1">
      <alignment horizontal="center"/>
    </xf>
    <xf numFmtId="0" fontId="8" fillId="0" borderId="4" xfId="0" applyFont="1" applyBorder="1" applyAlignment="1">
      <alignment horizontal="center"/>
    </xf>
    <xf numFmtId="0" fontId="18" fillId="3" borderId="98" xfId="0" applyFont="1" applyFill="1" applyBorder="1" applyAlignment="1">
      <alignment horizontal="left" vertical="center"/>
    </xf>
    <xf numFmtId="0" fontId="31" fillId="0" borderId="5" xfId="0" applyFont="1" applyBorder="1" applyAlignment="1">
      <alignment horizontal="center" vertical="center"/>
    </xf>
    <xf numFmtId="0" fontId="18" fillId="3" borderId="4" xfId="0" applyFont="1" applyFill="1" applyBorder="1" applyAlignment="1">
      <alignment horizontal="left" vertical="center"/>
    </xf>
    <xf numFmtId="0" fontId="31" fillId="0" borderId="10" xfId="0" applyFont="1" applyBorder="1" applyAlignment="1">
      <alignment horizontal="center" vertical="center"/>
    </xf>
    <xf numFmtId="0" fontId="2" fillId="0" borderId="136" xfId="0" applyFont="1" applyBorder="1" applyAlignment="1">
      <alignment horizontal="center" vertical="center"/>
    </xf>
    <xf numFmtId="0" fontId="4" fillId="0" borderId="137" xfId="0" applyFont="1" applyBorder="1"/>
    <xf numFmtId="0" fontId="2" fillId="0" borderId="138" xfId="0" applyFont="1" applyBorder="1" applyAlignment="1">
      <alignment horizontal="center" vertical="center"/>
    </xf>
    <xf numFmtId="0" fontId="4" fillId="0" borderId="108" xfId="0" applyFont="1" applyBorder="1"/>
    <xf numFmtId="0" fontId="4" fillId="0" borderId="81" xfId="0" applyFont="1" applyBorder="1"/>
    <xf numFmtId="0" fontId="10" fillId="4" borderId="15" xfId="0" applyFont="1" applyFill="1" applyBorder="1" applyAlignment="1">
      <alignment horizontal="center"/>
    </xf>
    <xf numFmtId="0" fontId="2" fillId="0" borderId="121" xfId="0" applyFont="1" applyBorder="1" applyAlignment="1">
      <alignment horizontal="center" vertical="center"/>
    </xf>
    <xf numFmtId="0" fontId="2" fillId="0" borderId="140" xfId="0" applyFont="1" applyBorder="1" applyAlignment="1">
      <alignment horizontal="center" vertical="center"/>
    </xf>
    <xf numFmtId="0" fontId="4" fillId="0" borderId="141" xfId="0" applyFont="1" applyBorder="1"/>
    <xf numFmtId="0" fontId="13" fillId="0" borderId="2" xfId="0" applyFont="1" applyBorder="1" applyAlignment="1">
      <alignment horizontal="center" vertical="center"/>
    </xf>
    <xf numFmtId="0" fontId="2" fillId="13" borderId="138" xfId="0" applyFont="1" applyFill="1" applyBorder="1" applyAlignment="1">
      <alignment horizontal="center" vertical="center"/>
    </xf>
    <xf numFmtId="0" fontId="4" fillId="13" borderId="108" xfId="0" applyFont="1" applyFill="1" applyBorder="1"/>
    <xf numFmtId="0" fontId="4" fillId="13" borderId="81" xfId="0" applyFont="1" applyFill="1" applyBorder="1"/>
    <xf numFmtId="0" fontId="2" fillId="13" borderId="140" xfId="0" applyFont="1" applyFill="1" applyBorder="1" applyAlignment="1">
      <alignment horizontal="center" vertical="center"/>
    </xf>
    <xf numFmtId="0" fontId="4" fillId="13" borderId="123" xfId="0" applyFont="1" applyFill="1" applyBorder="1"/>
    <xf numFmtId="0" fontId="4" fillId="13" borderId="141" xfId="0" applyFont="1" applyFill="1" applyBorder="1"/>
    <xf numFmtId="0" fontId="2" fillId="0" borderId="123" xfId="0" applyFont="1" applyBorder="1" applyAlignment="1">
      <alignment horizontal="center" vertical="center"/>
    </xf>
    <xf numFmtId="0" fontId="2" fillId="0" borderId="141" xfId="0" applyFont="1" applyBorder="1" applyAlignment="1">
      <alignment horizontal="center" vertical="center"/>
    </xf>
    <xf numFmtId="0" fontId="4" fillId="0" borderId="140" xfId="0" applyFont="1" applyBorder="1" applyAlignment="1">
      <alignment horizontal="center" vertical="center"/>
    </xf>
    <xf numFmtId="0" fontId="4" fillId="0" borderId="123" xfId="0" applyFont="1" applyBorder="1" applyAlignment="1">
      <alignment horizontal="center" vertical="center"/>
    </xf>
    <xf numFmtId="0" fontId="4" fillId="0" borderId="141" xfId="0" applyFont="1" applyBorder="1" applyAlignment="1">
      <alignment horizontal="center" vertical="center"/>
    </xf>
    <xf numFmtId="0" fontId="1" fillId="0" borderId="138" xfId="0" applyFont="1" applyBorder="1" applyAlignment="1">
      <alignment horizontal="center" vertical="center"/>
    </xf>
    <xf numFmtId="0" fontId="0" fillId="0" borderId="108" xfId="0" applyBorder="1" applyAlignment="1">
      <alignment horizontal="center" vertical="center"/>
    </xf>
    <xf numFmtId="0" fontId="0" fillId="0" borderId="110" xfId="0" applyBorder="1" applyAlignment="1">
      <alignment horizontal="center" vertical="center"/>
    </xf>
    <xf numFmtId="0" fontId="2" fillId="0" borderId="124" xfId="0" applyFont="1" applyBorder="1" applyAlignment="1">
      <alignment horizontal="center" vertical="center"/>
    </xf>
    <xf numFmtId="0" fontId="2" fillId="13" borderId="121" xfId="0" applyFont="1" applyFill="1" applyBorder="1" applyAlignment="1">
      <alignment horizontal="center" vertical="center"/>
    </xf>
    <xf numFmtId="0" fontId="2" fillId="13" borderId="123" xfId="0" applyFont="1" applyFill="1" applyBorder="1" applyAlignment="1">
      <alignment horizontal="center" vertical="center"/>
    </xf>
    <xf numFmtId="0" fontId="2" fillId="13" borderId="124" xfId="0" applyFont="1" applyFill="1" applyBorder="1" applyAlignment="1">
      <alignment horizontal="center" vertical="center"/>
    </xf>
  </cellXfs>
  <cellStyles count="5">
    <cellStyle name="Hipervínculo" xfId="1" builtinId="8"/>
    <cellStyle name="Moneda" xfId="3" builtinId="4"/>
    <cellStyle name="Normal" xfId="0" builtinId="0"/>
    <cellStyle name="Normal 13" xfId="2" xr:uid="{00000000-0005-0000-0000-000003000000}"/>
    <cellStyle name="Porcentaje" xfId="4" builtinId="5"/>
  </cellStyles>
  <dxfs count="15">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66FFFF"/>
      <color rgb="FFBAF8E0"/>
      <color rgb="FFB5FDFB"/>
      <color rgb="FFB7F8FB"/>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200025</xdr:colOff>
      <xdr:row>1</xdr:row>
      <xdr:rowOff>219075</xdr:rowOff>
    </xdr:from>
    <xdr:ext cx="5067300" cy="1600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107764</xdr:colOff>
      <xdr:row>0</xdr:row>
      <xdr:rowOff>298825</xdr:rowOff>
    </xdr:from>
    <xdr:ext cx="2469589" cy="1087904"/>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07764" y="298825"/>
          <a:ext cx="2469589" cy="108790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432955</xdr:rowOff>
    </xdr:from>
    <xdr:ext cx="2805545" cy="115772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432955"/>
          <a:ext cx="2805545" cy="115772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171450</xdr:colOff>
      <xdr:row>0</xdr:row>
      <xdr:rowOff>123825</xdr:rowOff>
    </xdr:from>
    <xdr:ext cx="2676525" cy="790575"/>
    <xdr:pic>
      <xdr:nvPicPr>
        <xdr:cNvPr id="2" name="image3.png">
          <a:extLst>
            <a:ext uri="{FF2B5EF4-FFF2-40B4-BE49-F238E27FC236}">
              <a16:creationId xmlns:a16="http://schemas.microsoft.com/office/drawing/2014/main" id="{FE0C717D-CCF8-4E23-A7D5-72A82BC13FF0}"/>
            </a:ext>
          </a:extLst>
        </xdr:cNvPr>
        <xdr:cNvPicPr preferRelativeResize="0"/>
      </xdr:nvPicPr>
      <xdr:blipFill>
        <a:blip xmlns:r="http://schemas.openxmlformats.org/officeDocument/2006/relationships" r:embed="rId1" cstate="print"/>
        <a:stretch>
          <a:fillRect/>
        </a:stretch>
      </xdr:blipFill>
      <xdr:spPr>
        <a:xfrm>
          <a:off x="171450" y="123825"/>
          <a:ext cx="2676525" cy="7905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200025</xdr:rowOff>
    </xdr:from>
    <xdr:ext cx="2124075" cy="8477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ktop\SDA%20CONSOLIDADO\2024\6-JUNIO%202024\PLAN%20DE%20ACCI&#211;N\PA_Territorializacion\5-PA-7804-MAY-2024%20VA%20CT%20Ok.xlsx" TargetMode="External"/><Relationship Id="rId1" Type="http://schemas.openxmlformats.org/officeDocument/2006/relationships/externalLinkPath" Target="/Desktop/SDA%20CONSOLIDADO/2024/6-JUNIO%202024/PLAN%20DE%20ACCI&#211;N/PA_Territorializacion/5-PA-7804-MAY-2024%20VA%20CT%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ÓN"/>
      <sheetName val="INVERSIÓN"/>
      <sheetName val="ACTIVIDADES"/>
      <sheetName val="TERRITORIALIZACIÓN"/>
      <sheetName val="SPI"/>
    </sheetNames>
    <sheetDataSet>
      <sheetData sheetId="0"/>
      <sheetData sheetId="1">
        <row r="10">
          <cell r="EM10">
            <v>4</v>
          </cell>
          <cell r="EO10">
            <v>4</v>
          </cell>
          <cell r="EP10">
            <v>4</v>
          </cell>
          <cell r="EQ10">
            <v>4</v>
          </cell>
        </row>
        <row r="11">
          <cell r="DN11">
            <v>2298933000</v>
          </cell>
          <cell r="EM11">
            <v>2298933000</v>
          </cell>
          <cell r="EO11">
            <v>1191790830</v>
          </cell>
          <cell r="EP11">
            <v>2298933000</v>
          </cell>
          <cell r="EQ11">
            <v>1191790830</v>
          </cell>
        </row>
        <row r="13">
          <cell r="DN13">
            <v>0</v>
          </cell>
          <cell r="EM13">
            <v>0</v>
          </cell>
          <cell r="EO13">
            <v>0</v>
          </cell>
          <cell r="EP13">
            <v>0</v>
          </cell>
          <cell r="EQ13">
            <v>0</v>
          </cell>
        </row>
        <row r="14">
          <cell r="DN14">
            <v>280654765</v>
          </cell>
          <cell r="EM14">
            <v>280654765</v>
          </cell>
          <cell r="EO14">
            <v>252213765</v>
          </cell>
          <cell r="EP14">
            <v>280654765</v>
          </cell>
          <cell r="EQ14">
            <v>252213765</v>
          </cell>
        </row>
        <row r="15">
          <cell r="EO15">
            <v>4</v>
          </cell>
          <cell r="EP15">
            <v>4</v>
          </cell>
        </row>
        <row r="16">
          <cell r="EO16">
            <v>1444004595</v>
          </cell>
          <cell r="EP16">
            <v>2579587765</v>
          </cell>
        </row>
        <row r="17">
          <cell r="DN17">
            <v>2</v>
          </cell>
          <cell r="EM17">
            <v>2</v>
          </cell>
          <cell r="EO17">
            <v>2</v>
          </cell>
          <cell r="EP17">
            <v>2</v>
          </cell>
          <cell r="EQ17">
            <v>2</v>
          </cell>
        </row>
        <row r="18">
          <cell r="DN18">
            <v>536822000</v>
          </cell>
          <cell r="EM18">
            <v>536822000</v>
          </cell>
          <cell r="EO18">
            <v>234107000</v>
          </cell>
          <cell r="EP18">
            <v>536822000</v>
          </cell>
          <cell r="EQ18">
            <v>234107000</v>
          </cell>
        </row>
        <row r="20">
          <cell r="DN20">
            <v>0</v>
          </cell>
          <cell r="EM20">
            <v>0</v>
          </cell>
          <cell r="EO20">
            <v>0</v>
          </cell>
          <cell r="EP20">
            <v>0</v>
          </cell>
          <cell r="EQ20">
            <v>0</v>
          </cell>
        </row>
        <row r="21">
          <cell r="DN21">
            <v>58046234</v>
          </cell>
          <cell r="EM21">
            <v>58046234</v>
          </cell>
          <cell r="EO21">
            <v>58046234</v>
          </cell>
          <cell r="EP21">
            <v>58046234</v>
          </cell>
          <cell r="EQ21">
            <v>58046234</v>
          </cell>
        </row>
        <row r="22">
          <cell r="EO22">
            <v>2</v>
          </cell>
          <cell r="EP22">
            <v>2</v>
          </cell>
          <cell r="EQ22">
            <v>2</v>
          </cell>
        </row>
        <row r="24">
          <cell r="DN24">
            <v>2</v>
          </cell>
          <cell r="EM24">
            <v>2</v>
          </cell>
          <cell r="EO24">
            <v>2</v>
          </cell>
          <cell r="EP24">
            <v>2</v>
          </cell>
          <cell r="EQ24">
            <v>2</v>
          </cell>
        </row>
        <row r="25">
          <cell r="DN25">
            <v>184052000</v>
          </cell>
          <cell r="EM25">
            <v>184052000</v>
          </cell>
          <cell r="EO25">
            <v>105547000</v>
          </cell>
          <cell r="EP25">
            <v>184052000</v>
          </cell>
          <cell r="EQ25">
            <v>105547000</v>
          </cell>
        </row>
        <row r="27">
          <cell r="DN27">
            <v>0</v>
          </cell>
          <cell r="EM27">
            <v>0</v>
          </cell>
          <cell r="EO27">
            <v>0</v>
          </cell>
          <cell r="EP27">
            <v>0</v>
          </cell>
          <cell r="EQ27">
            <v>0</v>
          </cell>
        </row>
        <row r="28">
          <cell r="DN28">
            <v>17710000</v>
          </cell>
          <cell r="EM28">
            <v>17710000</v>
          </cell>
          <cell r="EO28">
            <v>17710000</v>
          </cell>
          <cell r="EP28">
            <v>17710000</v>
          </cell>
          <cell r="EQ28">
            <v>17710000</v>
          </cell>
        </row>
        <row r="29">
          <cell r="EO29">
            <v>2</v>
          </cell>
          <cell r="EP29">
            <v>2</v>
          </cell>
        </row>
        <row r="30">
          <cell r="EO30">
            <v>123257000</v>
          </cell>
          <cell r="EP30">
            <v>201762000</v>
          </cell>
        </row>
        <row r="31">
          <cell r="DN31">
            <v>5.4300000000000001E-2</v>
          </cell>
          <cell r="EM31">
            <v>5.4300000000000001E-2</v>
          </cell>
          <cell r="EO31">
            <v>5.4300000000000001E-2</v>
          </cell>
          <cell r="EP31">
            <v>5.4300000000000001E-2</v>
          </cell>
          <cell r="EQ31">
            <v>5.4300000000000001E-2</v>
          </cell>
        </row>
        <row r="32">
          <cell r="DN32">
            <v>4214372000</v>
          </cell>
          <cell r="EM32">
            <v>4214372000</v>
          </cell>
          <cell r="EO32">
            <v>866552019</v>
          </cell>
          <cell r="EP32">
            <v>4214372000</v>
          </cell>
          <cell r="EQ32">
            <v>866552019</v>
          </cell>
        </row>
        <row r="34">
          <cell r="DN34">
            <v>0</v>
          </cell>
          <cell r="EM34">
            <v>0</v>
          </cell>
          <cell r="EO34">
            <v>0</v>
          </cell>
          <cell r="EP34">
            <v>0</v>
          </cell>
          <cell r="EQ34">
            <v>0</v>
          </cell>
        </row>
        <row r="35">
          <cell r="DN35">
            <v>367727197</v>
          </cell>
          <cell r="EM35">
            <v>367727197</v>
          </cell>
          <cell r="EO35">
            <v>312831672</v>
          </cell>
          <cell r="EP35">
            <v>367727197</v>
          </cell>
          <cell r="EQ35">
            <v>312831672</v>
          </cell>
        </row>
        <row r="36">
          <cell r="EO36">
            <v>5.4300000000000001E-2</v>
          </cell>
          <cell r="EP36">
            <v>5.4300000000000001E-2</v>
          </cell>
        </row>
        <row r="37">
          <cell r="EO37">
            <v>1179383691</v>
          </cell>
          <cell r="EP37">
            <v>4582099197</v>
          </cell>
        </row>
        <row r="38">
          <cell r="DN38">
            <v>2</v>
          </cell>
          <cell r="EM38">
            <v>2</v>
          </cell>
          <cell r="EO38">
            <v>2</v>
          </cell>
          <cell r="EP38">
            <v>2</v>
          </cell>
          <cell r="EQ38">
            <v>2</v>
          </cell>
        </row>
        <row r="39">
          <cell r="DN39">
            <v>326821000</v>
          </cell>
          <cell r="EM39">
            <v>326821000</v>
          </cell>
          <cell r="EO39">
            <v>220480000</v>
          </cell>
          <cell r="EP39">
            <v>326821000</v>
          </cell>
          <cell r="EQ39">
            <v>220480000</v>
          </cell>
        </row>
        <row r="41">
          <cell r="DN41">
            <v>0</v>
          </cell>
          <cell r="EM41">
            <v>0</v>
          </cell>
          <cell r="EO41">
            <v>0</v>
          </cell>
          <cell r="EP41">
            <v>0</v>
          </cell>
          <cell r="EQ41">
            <v>0</v>
          </cell>
        </row>
        <row r="42">
          <cell r="DN42">
            <v>33934667</v>
          </cell>
          <cell r="EM42">
            <v>33934667</v>
          </cell>
          <cell r="EO42">
            <v>33934667</v>
          </cell>
          <cell r="EP42">
            <v>33934667</v>
          </cell>
          <cell r="EQ42">
            <v>33934667</v>
          </cell>
        </row>
        <row r="43">
          <cell r="EO43">
            <v>2</v>
          </cell>
          <cell r="EP43">
            <v>2</v>
          </cell>
        </row>
        <row r="44">
          <cell r="EO44">
            <v>254414667</v>
          </cell>
          <cell r="EP44">
            <v>360755667</v>
          </cell>
        </row>
        <row r="45">
          <cell r="EO45">
            <v>2618476849</v>
          </cell>
          <cell r="EP45">
            <v>7561000000</v>
          </cell>
        </row>
        <row r="46">
          <cell r="EO46">
            <v>674736338</v>
          </cell>
          <cell r="EP46">
            <v>758072863</v>
          </cell>
        </row>
        <row r="47">
          <cell r="EO47">
            <v>3293213187</v>
          </cell>
          <cell r="EP47">
            <v>8319072863</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paola sierra" id="{CD58EBC1-1232-47BF-9653-8F992571876D}" userId="8dd63338e6a5e0db"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C11" dT="2023-11-08T16:47:12.43" personId="{CD58EBC1-1232-47BF-9653-8F992571876D}" id="{C9FA9BAB-6C7C-45C7-9160-51EB906D88A1}">
    <text>Traslado Presupuestal</text>
  </threadedComment>
  <threadedComment ref="DC12" dT="2023-11-08T16:49:09.23" personId="{CD58EBC1-1232-47BF-9653-8F992571876D}" id="{FD7F3F88-F964-41C9-AC81-54DFDBD0308A}">
    <text>Movimiento de saldos</text>
  </threadedComment>
  <threadedComment ref="DE18" dT="2023-12-11T19:39:20.88" personId="{CD58EBC1-1232-47BF-9653-8F992571876D}" id="{2BDAD817-F77F-455C-98CC-D7C660D8AADD}">
    <text>Traslados presupuestales 2023IE253196 y 2023IE276104</text>
  </threadedComment>
  <threadedComment ref="DE33" dT="2023-12-11T20:10:05.09" personId="{CD58EBC1-1232-47BF-9653-8F992571876D}" id="{0750FA86-2980-4483-840C-E48A6CD53F3F}">
    <text>Traslado presupuestal  interno radicado 2023IE250462  y  externo radicado 2023EE267518</text>
  </threadedComment>
  <threadedComment ref="DE39" dT="2023-12-11T20:12:34.97" personId="{CD58EBC1-1232-47BF-9653-8F992571876D}" id="{785678AB-F8FD-42AC-A1AB-EF9EE3E99E5B}">
    <text>Ingreso Traslados Internos radicado 2023IE276104 y 2023IE2023IE250462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20"/>
  <sheetViews>
    <sheetView showGridLines="0" tabSelected="1" zoomScale="46" zoomScaleNormal="46" workbookViewId="0">
      <selection activeCell="DN13" sqref="DN13"/>
    </sheetView>
  </sheetViews>
  <sheetFormatPr baseColWidth="10" defaultColWidth="14.42578125" defaultRowHeight="15" customHeight="1" x14ac:dyDescent="0.25"/>
  <cols>
    <col min="1" max="1" width="12.140625" customWidth="1"/>
    <col min="2" max="2" width="12.85546875" customWidth="1"/>
    <col min="3" max="3" width="8.85546875" customWidth="1"/>
    <col min="4" max="4" width="24.7109375" customWidth="1"/>
    <col min="5" max="5" width="7.5703125" customWidth="1"/>
    <col min="6" max="6" width="22.140625" customWidth="1"/>
    <col min="7" max="7" width="15.42578125" customWidth="1"/>
    <col min="8" max="8" width="14.85546875" customWidth="1"/>
    <col min="9" max="9" width="25.85546875" customWidth="1"/>
    <col min="10" max="12" width="15.42578125" hidden="1" customWidth="1"/>
    <col min="13" max="13" width="15.85546875" hidden="1" customWidth="1"/>
    <col min="14" max="14" width="15.42578125" hidden="1" customWidth="1"/>
    <col min="15" max="15" width="17.5703125" hidden="1" customWidth="1"/>
    <col min="16" max="16" width="15.85546875" hidden="1" customWidth="1"/>
    <col min="17" max="17" width="19.140625" hidden="1" customWidth="1"/>
    <col min="18" max="18" width="16.28515625" hidden="1" customWidth="1"/>
    <col min="19" max="19" width="16.7109375" hidden="1" customWidth="1"/>
    <col min="20" max="20" width="17.140625" hidden="1" customWidth="1"/>
    <col min="21" max="21" width="13.140625" hidden="1" customWidth="1"/>
    <col min="22" max="22" width="13" hidden="1" customWidth="1"/>
    <col min="23" max="23" width="16.140625" hidden="1" customWidth="1"/>
    <col min="24" max="27" width="17.140625" hidden="1" customWidth="1"/>
    <col min="28" max="29" width="25.28515625" customWidth="1"/>
    <col min="30" max="30" width="14.7109375" hidden="1" customWidth="1"/>
    <col min="31" max="54" width="12" hidden="1" customWidth="1"/>
    <col min="55" max="57" width="16" hidden="1" customWidth="1"/>
    <col min="58" max="59" width="23.7109375" customWidth="1"/>
    <col min="60" max="60" width="16.28515625" hidden="1" customWidth="1"/>
    <col min="61" max="71" width="12.7109375" hidden="1" customWidth="1"/>
    <col min="72" max="72" width="13.140625" hidden="1" customWidth="1"/>
    <col min="73" max="83" width="12.7109375" hidden="1" customWidth="1"/>
    <col min="84" max="87" width="16.140625" hidden="1" customWidth="1"/>
    <col min="88" max="89" width="25.7109375" customWidth="1"/>
    <col min="90" max="90" width="15.42578125" hidden="1" customWidth="1"/>
    <col min="91" max="105" width="12.7109375" hidden="1" customWidth="1"/>
    <col min="106" max="115" width="13.42578125" hidden="1" customWidth="1"/>
    <col min="116" max="117" width="19.28515625" hidden="1" customWidth="1"/>
    <col min="118" max="119" width="21.140625" customWidth="1"/>
    <col min="120" max="120" width="18.42578125" customWidth="1"/>
    <col min="121" max="130" width="14.85546875" customWidth="1"/>
    <col min="131" max="144" width="12.7109375" hidden="1" customWidth="1"/>
    <col min="145" max="145" width="18" customWidth="1"/>
    <col min="146" max="149" width="20.85546875" customWidth="1"/>
    <col min="150" max="154" width="25.5703125" customWidth="1"/>
    <col min="155" max="155" width="72.7109375" customWidth="1"/>
    <col min="156" max="156" width="17.5703125" customWidth="1"/>
    <col min="157" max="157" width="20.5703125" customWidth="1"/>
    <col min="158" max="158" width="46.7109375" customWidth="1"/>
    <col min="159" max="159" width="47.28515625" customWidth="1"/>
  </cols>
  <sheetData>
    <row r="1" spans="1:160" ht="21" customHeight="1" x14ac:dyDescent="0.25">
      <c r="C1" s="1"/>
      <c r="D1" s="1"/>
      <c r="E1" s="1"/>
      <c r="F1" s="1"/>
      <c r="G1" s="1"/>
      <c r="H1" s="1"/>
      <c r="I1" s="2"/>
      <c r="J1" s="2"/>
      <c r="K1" s="2"/>
      <c r="L1" s="2"/>
      <c r="M1" s="2"/>
      <c r="N1" s="2"/>
      <c r="O1" s="2"/>
      <c r="P1" s="2"/>
      <c r="Q1" s="2"/>
      <c r="R1" s="2"/>
      <c r="S1" s="2"/>
      <c r="T1" s="2"/>
      <c r="U1" s="2"/>
      <c r="V1" s="2"/>
      <c r="W1" s="2"/>
      <c r="X1" s="2"/>
      <c r="Y1" s="2"/>
      <c r="Z1" s="2"/>
      <c r="AA1" s="3"/>
    </row>
    <row r="2" spans="1:160" ht="56.25" customHeight="1" x14ac:dyDescent="0.25">
      <c r="A2" s="576"/>
      <c r="B2" s="577"/>
      <c r="C2" s="577"/>
      <c r="D2" s="577"/>
      <c r="E2" s="577"/>
      <c r="F2" s="577"/>
      <c r="G2" s="582" t="s">
        <v>0</v>
      </c>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583"/>
      <c r="CI2" s="583"/>
      <c r="CJ2" s="583"/>
      <c r="CK2" s="583"/>
      <c r="CL2" s="583"/>
      <c r="CM2" s="583"/>
      <c r="CN2" s="583"/>
      <c r="CO2" s="583"/>
      <c r="CP2" s="583"/>
      <c r="CQ2" s="583"/>
      <c r="CR2" s="583"/>
      <c r="CS2" s="583"/>
      <c r="CT2" s="583"/>
      <c r="CU2" s="583"/>
      <c r="CV2" s="583"/>
      <c r="CW2" s="583"/>
      <c r="CX2" s="583"/>
      <c r="CY2" s="583"/>
      <c r="CZ2" s="583"/>
      <c r="DA2" s="583"/>
      <c r="DB2" s="583"/>
      <c r="DC2" s="583"/>
      <c r="DD2" s="583"/>
      <c r="DE2" s="583"/>
      <c r="DF2" s="583"/>
      <c r="DG2" s="583"/>
      <c r="DH2" s="583"/>
      <c r="DI2" s="583"/>
      <c r="DJ2" s="583"/>
      <c r="DK2" s="583"/>
      <c r="DL2" s="583"/>
      <c r="DM2" s="583"/>
      <c r="DN2" s="583"/>
      <c r="DO2" s="583"/>
      <c r="DP2" s="583"/>
      <c r="DQ2" s="583"/>
      <c r="DR2" s="583"/>
      <c r="DS2" s="583"/>
      <c r="DT2" s="583"/>
      <c r="DU2" s="583"/>
      <c r="DV2" s="583"/>
      <c r="DW2" s="583"/>
      <c r="DX2" s="583"/>
      <c r="DY2" s="583"/>
      <c r="DZ2" s="583"/>
      <c r="EA2" s="583"/>
      <c r="EB2" s="583"/>
      <c r="EC2" s="583"/>
      <c r="ED2" s="583"/>
      <c r="EE2" s="583"/>
      <c r="EF2" s="583"/>
      <c r="EG2" s="583"/>
      <c r="EH2" s="583"/>
      <c r="EI2" s="583"/>
      <c r="EJ2" s="583"/>
      <c r="EK2" s="583"/>
      <c r="EL2" s="583"/>
      <c r="EM2" s="583"/>
      <c r="EN2" s="583"/>
      <c r="EO2" s="583"/>
      <c r="EP2" s="583"/>
      <c r="EQ2" s="583"/>
      <c r="ER2" s="583"/>
      <c r="ES2" s="583"/>
      <c r="ET2" s="583"/>
      <c r="EU2" s="583"/>
      <c r="EV2" s="583"/>
      <c r="EW2" s="583"/>
      <c r="EX2" s="583"/>
      <c r="EY2" s="583"/>
      <c r="EZ2" s="583"/>
      <c r="FA2" s="583"/>
      <c r="FB2" s="583"/>
      <c r="FC2" s="584"/>
    </row>
    <row r="3" spans="1:160" ht="48" customHeight="1" x14ac:dyDescent="0.25">
      <c r="A3" s="578"/>
      <c r="B3" s="579"/>
      <c r="C3" s="579"/>
      <c r="D3" s="579"/>
      <c r="E3" s="579"/>
      <c r="F3" s="579"/>
      <c r="G3" s="585" t="s">
        <v>1</v>
      </c>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c r="BD3" s="583"/>
      <c r="BE3" s="583"/>
      <c r="BF3" s="583"/>
      <c r="BG3" s="583"/>
      <c r="BH3" s="583"/>
      <c r="BI3" s="583"/>
      <c r="BJ3" s="583"/>
      <c r="BK3" s="583"/>
      <c r="BL3" s="583"/>
      <c r="BM3" s="583"/>
      <c r="BN3" s="583"/>
      <c r="BO3" s="583"/>
      <c r="BP3" s="583"/>
      <c r="BQ3" s="583"/>
      <c r="BR3" s="583"/>
      <c r="BS3" s="583"/>
      <c r="BT3" s="583"/>
      <c r="BU3" s="583"/>
      <c r="BV3" s="583"/>
      <c r="BW3" s="583"/>
      <c r="BX3" s="583"/>
      <c r="BY3" s="583"/>
      <c r="BZ3" s="583"/>
      <c r="CA3" s="583"/>
      <c r="CB3" s="583"/>
      <c r="CC3" s="583"/>
      <c r="CD3" s="583"/>
      <c r="CE3" s="583"/>
      <c r="CF3" s="583"/>
      <c r="CG3" s="583"/>
      <c r="CH3" s="583"/>
      <c r="CI3" s="583"/>
      <c r="CJ3" s="583"/>
      <c r="CK3" s="583"/>
      <c r="CL3" s="583"/>
      <c r="CM3" s="583"/>
      <c r="CN3" s="583"/>
      <c r="CO3" s="583"/>
      <c r="CP3" s="583"/>
      <c r="CQ3" s="583"/>
      <c r="CR3" s="583"/>
      <c r="CS3" s="583"/>
      <c r="CT3" s="583"/>
      <c r="CU3" s="583"/>
      <c r="CV3" s="583"/>
      <c r="CW3" s="583"/>
      <c r="CX3" s="583"/>
      <c r="CY3" s="583"/>
      <c r="CZ3" s="583"/>
      <c r="DA3" s="583"/>
      <c r="DB3" s="583"/>
      <c r="DC3" s="583"/>
      <c r="DD3" s="583"/>
      <c r="DE3" s="583"/>
      <c r="DF3" s="583"/>
      <c r="DG3" s="583"/>
      <c r="DH3" s="583"/>
      <c r="DI3" s="583"/>
      <c r="DJ3" s="583"/>
      <c r="DK3" s="583"/>
      <c r="DL3" s="583"/>
      <c r="DM3" s="583"/>
      <c r="DN3" s="583"/>
      <c r="DO3" s="583"/>
      <c r="DP3" s="583"/>
      <c r="DQ3" s="583"/>
      <c r="DR3" s="583"/>
      <c r="DS3" s="583"/>
      <c r="DT3" s="583"/>
      <c r="DU3" s="583"/>
      <c r="DV3" s="583"/>
      <c r="DW3" s="583"/>
      <c r="DX3" s="583"/>
      <c r="DY3" s="583"/>
      <c r="DZ3" s="583"/>
      <c r="EA3" s="583"/>
      <c r="EB3" s="583"/>
      <c r="EC3" s="583"/>
      <c r="ED3" s="583"/>
      <c r="EE3" s="583"/>
      <c r="EF3" s="583"/>
      <c r="EG3" s="583"/>
      <c r="EH3" s="583"/>
      <c r="EI3" s="583"/>
      <c r="EJ3" s="583"/>
      <c r="EK3" s="583"/>
      <c r="EL3" s="583"/>
      <c r="EM3" s="583"/>
      <c r="EN3" s="583"/>
      <c r="EO3" s="583"/>
      <c r="EP3" s="583"/>
      <c r="EQ3" s="583"/>
      <c r="ER3" s="583"/>
      <c r="ES3" s="583"/>
      <c r="ET3" s="583"/>
      <c r="EU3" s="583"/>
      <c r="EV3" s="583"/>
      <c r="EW3" s="583"/>
      <c r="EX3" s="583"/>
      <c r="EY3" s="583"/>
      <c r="EZ3" s="583"/>
      <c r="FA3" s="583"/>
      <c r="FB3" s="583"/>
      <c r="FC3" s="586"/>
    </row>
    <row r="4" spans="1:160" ht="63" customHeight="1" x14ac:dyDescent="0.25">
      <c r="A4" s="580"/>
      <c r="B4" s="581"/>
      <c r="C4" s="581"/>
      <c r="D4" s="581"/>
      <c r="E4" s="581"/>
      <c r="F4" s="581"/>
      <c r="G4" s="587" t="s">
        <v>2</v>
      </c>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c r="AW4" s="588"/>
      <c r="AX4" s="588"/>
      <c r="AY4" s="588"/>
      <c r="AZ4" s="588"/>
      <c r="BA4" s="588"/>
      <c r="BB4" s="588"/>
      <c r="BC4" s="588"/>
      <c r="BD4" s="588"/>
      <c r="BE4" s="588"/>
      <c r="BF4" s="588"/>
      <c r="BG4" s="588"/>
      <c r="BH4" s="588"/>
      <c r="BI4" s="588"/>
      <c r="BJ4" s="588"/>
      <c r="BK4" s="588"/>
      <c r="BL4" s="588"/>
      <c r="BM4" s="588"/>
      <c r="BN4" s="588"/>
      <c r="BO4" s="588"/>
      <c r="BP4" s="588"/>
      <c r="BQ4" s="588"/>
      <c r="BR4" s="588"/>
      <c r="BS4" s="588"/>
      <c r="BT4" s="588"/>
      <c r="BU4" s="588"/>
      <c r="BV4" s="588"/>
      <c r="BW4" s="588"/>
      <c r="BX4" s="588"/>
      <c r="BY4" s="588"/>
      <c r="BZ4" s="588"/>
      <c r="CA4" s="588"/>
      <c r="CB4" s="588"/>
      <c r="CC4" s="588"/>
      <c r="CD4" s="588"/>
      <c r="CE4" s="588"/>
      <c r="CF4" s="588"/>
      <c r="CG4" s="588"/>
      <c r="CH4" s="588"/>
      <c r="CI4" s="588"/>
      <c r="CJ4" s="588"/>
      <c r="CK4" s="588"/>
      <c r="CL4" s="588"/>
      <c r="CM4" s="588"/>
      <c r="CN4" s="588"/>
      <c r="CO4" s="588"/>
      <c r="CP4" s="588"/>
      <c r="CQ4" s="588"/>
      <c r="CR4" s="588"/>
      <c r="CS4" s="588"/>
      <c r="CT4" s="588"/>
      <c r="CU4" s="588"/>
      <c r="CV4" s="588"/>
      <c r="CW4" s="588"/>
      <c r="CX4" s="588"/>
      <c r="CY4" s="588"/>
      <c r="CZ4" s="588"/>
      <c r="DA4" s="588"/>
      <c r="DB4" s="588"/>
      <c r="DC4" s="588"/>
      <c r="DD4" s="588"/>
      <c r="DE4" s="588"/>
      <c r="DF4" s="588"/>
      <c r="DG4" s="588"/>
      <c r="DH4" s="588"/>
      <c r="DI4" s="588"/>
      <c r="DJ4" s="588"/>
      <c r="DK4" s="588"/>
      <c r="DL4" s="588"/>
      <c r="DM4" s="588"/>
      <c r="DN4" s="588"/>
      <c r="DO4" s="588"/>
      <c r="DP4" s="588"/>
      <c r="DQ4" s="588"/>
      <c r="DR4" s="588"/>
      <c r="DS4" s="588"/>
      <c r="DT4" s="588"/>
      <c r="DU4" s="588"/>
      <c r="DV4" s="588"/>
      <c r="DW4" s="588"/>
      <c r="DX4" s="588"/>
      <c r="DY4" s="588"/>
      <c r="DZ4" s="588"/>
      <c r="EA4" s="588"/>
      <c r="EB4" s="588"/>
      <c r="EC4" s="588"/>
      <c r="ED4" s="588"/>
      <c r="EE4" s="588"/>
      <c r="EF4" s="588"/>
      <c r="EG4" s="588"/>
      <c r="EH4" s="588"/>
      <c r="EI4" s="588"/>
      <c r="EJ4" s="588"/>
      <c r="EK4" s="588"/>
      <c r="EL4" s="588"/>
      <c r="EM4" s="588"/>
      <c r="EN4" s="589"/>
      <c r="EO4" s="590" t="s">
        <v>3</v>
      </c>
      <c r="EP4" s="588"/>
      <c r="EQ4" s="588"/>
      <c r="ER4" s="588"/>
      <c r="ES4" s="588"/>
      <c r="ET4" s="588"/>
      <c r="EU4" s="588"/>
      <c r="EV4" s="588"/>
      <c r="EW4" s="588"/>
      <c r="EX4" s="588"/>
      <c r="EY4" s="588"/>
      <c r="EZ4" s="588"/>
      <c r="FA4" s="588"/>
      <c r="FB4" s="588"/>
      <c r="FC4" s="589"/>
    </row>
    <row r="5" spans="1:160" ht="41.25" customHeight="1" x14ac:dyDescent="0.25">
      <c r="A5" s="591" t="s">
        <v>4</v>
      </c>
      <c r="B5" s="592"/>
      <c r="C5" s="592"/>
      <c r="D5" s="592"/>
      <c r="E5" s="592"/>
      <c r="F5" s="593"/>
      <c r="G5" s="594" t="s">
        <v>5</v>
      </c>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c r="BD5" s="583"/>
      <c r="BE5" s="583"/>
      <c r="BF5" s="583"/>
      <c r="BG5" s="583"/>
      <c r="BH5" s="583"/>
      <c r="BI5" s="583"/>
      <c r="BJ5" s="583"/>
      <c r="BK5" s="583"/>
      <c r="BL5" s="583"/>
      <c r="BM5" s="583"/>
      <c r="BN5" s="583"/>
      <c r="BO5" s="583"/>
      <c r="BP5" s="583"/>
      <c r="BQ5" s="583"/>
      <c r="BR5" s="583"/>
      <c r="BS5" s="583"/>
      <c r="BT5" s="583"/>
      <c r="BU5" s="583"/>
      <c r="BV5" s="583"/>
      <c r="BW5" s="583"/>
      <c r="BX5" s="583"/>
      <c r="BY5" s="583"/>
      <c r="BZ5" s="583"/>
      <c r="CA5" s="583"/>
      <c r="CB5" s="583"/>
      <c r="CC5" s="583"/>
      <c r="CD5" s="583"/>
      <c r="CE5" s="583"/>
      <c r="CF5" s="583"/>
      <c r="CG5" s="583"/>
      <c r="CH5" s="583"/>
      <c r="CI5" s="583"/>
      <c r="CJ5" s="583"/>
      <c r="CK5" s="583"/>
      <c r="CL5" s="583"/>
      <c r="CM5" s="583"/>
      <c r="CN5" s="583"/>
      <c r="CO5" s="583"/>
      <c r="CP5" s="583"/>
      <c r="CQ5" s="583"/>
      <c r="CR5" s="583"/>
      <c r="CS5" s="583"/>
      <c r="CT5" s="583"/>
      <c r="CU5" s="583"/>
      <c r="CV5" s="583"/>
      <c r="CW5" s="583"/>
      <c r="CX5" s="583"/>
      <c r="CY5" s="583"/>
      <c r="CZ5" s="583"/>
      <c r="DA5" s="583"/>
      <c r="DB5" s="583"/>
      <c r="DC5" s="583"/>
      <c r="DD5" s="583"/>
      <c r="DE5" s="583"/>
      <c r="DF5" s="583"/>
      <c r="DG5" s="583"/>
      <c r="DH5" s="583"/>
      <c r="DI5" s="583"/>
      <c r="DJ5" s="583"/>
      <c r="DK5" s="583"/>
      <c r="DL5" s="583"/>
      <c r="DM5" s="583"/>
      <c r="DN5" s="583"/>
      <c r="DO5" s="583"/>
      <c r="DP5" s="583"/>
      <c r="DQ5" s="583"/>
      <c r="DR5" s="583"/>
      <c r="DS5" s="583"/>
      <c r="DT5" s="583"/>
      <c r="DU5" s="583"/>
      <c r="DV5" s="583"/>
      <c r="DW5" s="583"/>
      <c r="DX5" s="583"/>
      <c r="DY5" s="583"/>
      <c r="DZ5" s="583"/>
      <c r="EA5" s="583"/>
      <c r="EB5" s="583"/>
      <c r="EC5" s="583"/>
      <c r="ED5" s="583"/>
      <c r="EE5" s="583"/>
      <c r="EF5" s="583"/>
      <c r="EG5" s="583"/>
      <c r="EH5" s="583"/>
      <c r="EI5" s="583"/>
      <c r="EJ5" s="583"/>
      <c r="EK5" s="583"/>
      <c r="EL5" s="583"/>
      <c r="EM5" s="583"/>
      <c r="EN5" s="583"/>
      <c r="EO5" s="583"/>
      <c r="EP5" s="583"/>
      <c r="EQ5" s="583"/>
      <c r="ER5" s="583"/>
      <c r="ES5" s="583"/>
      <c r="ET5" s="583"/>
      <c r="EU5" s="583"/>
      <c r="EV5" s="583"/>
      <c r="EW5" s="583"/>
      <c r="EX5" s="583"/>
      <c r="EY5" s="583"/>
      <c r="EZ5" s="583"/>
      <c r="FA5" s="583"/>
      <c r="FB5" s="583"/>
      <c r="FC5" s="586"/>
    </row>
    <row r="6" spans="1:160" ht="26.25" customHeight="1" x14ac:dyDescent="0.25">
      <c r="A6" s="591" t="s">
        <v>6</v>
      </c>
      <c r="B6" s="592"/>
      <c r="C6" s="592"/>
      <c r="D6" s="592"/>
      <c r="E6" s="592"/>
      <c r="F6" s="593"/>
      <c r="G6" s="594" t="s">
        <v>7</v>
      </c>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3"/>
      <c r="BA6" s="583"/>
      <c r="BB6" s="583"/>
      <c r="BC6" s="583"/>
      <c r="BD6" s="583"/>
      <c r="BE6" s="583"/>
      <c r="BF6" s="583"/>
      <c r="BG6" s="583"/>
      <c r="BH6" s="583"/>
      <c r="BI6" s="583"/>
      <c r="BJ6" s="583"/>
      <c r="BK6" s="583"/>
      <c r="BL6" s="583"/>
      <c r="BM6" s="583"/>
      <c r="BN6" s="583"/>
      <c r="BO6" s="583"/>
      <c r="BP6" s="583"/>
      <c r="BQ6" s="583"/>
      <c r="BR6" s="583"/>
      <c r="BS6" s="583"/>
      <c r="BT6" s="583"/>
      <c r="BU6" s="583"/>
      <c r="BV6" s="583"/>
      <c r="BW6" s="583"/>
      <c r="BX6" s="583"/>
      <c r="BY6" s="583"/>
      <c r="BZ6" s="583"/>
      <c r="CA6" s="583"/>
      <c r="CB6" s="583"/>
      <c r="CC6" s="583"/>
      <c r="CD6" s="583"/>
      <c r="CE6" s="583"/>
      <c r="CF6" s="583"/>
      <c r="CG6" s="583"/>
      <c r="CH6" s="583"/>
      <c r="CI6" s="583"/>
      <c r="CJ6" s="583"/>
      <c r="CK6" s="583"/>
      <c r="CL6" s="583"/>
      <c r="CM6" s="583"/>
      <c r="CN6" s="583"/>
      <c r="CO6" s="583"/>
      <c r="CP6" s="583"/>
      <c r="CQ6" s="583"/>
      <c r="CR6" s="583"/>
      <c r="CS6" s="583"/>
      <c r="CT6" s="583"/>
      <c r="CU6" s="583"/>
      <c r="CV6" s="583"/>
      <c r="CW6" s="583"/>
      <c r="CX6" s="583"/>
      <c r="CY6" s="583"/>
      <c r="CZ6" s="583"/>
      <c r="DA6" s="583"/>
      <c r="DB6" s="583"/>
      <c r="DC6" s="583"/>
      <c r="DD6" s="583"/>
      <c r="DE6" s="583"/>
      <c r="DF6" s="583"/>
      <c r="DG6" s="583"/>
      <c r="DH6" s="583"/>
      <c r="DI6" s="583"/>
      <c r="DJ6" s="583"/>
      <c r="DK6" s="583"/>
      <c r="DL6" s="583"/>
      <c r="DM6" s="583"/>
      <c r="DN6" s="583"/>
      <c r="DO6" s="583"/>
      <c r="DP6" s="583"/>
      <c r="DQ6" s="583"/>
      <c r="DR6" s="583"/>
      <c r="DS6" s="583"/>
      <c r="DT6" s="583"/>
      <c r="DU6" s="583"/>
      <c r="DV6" s="583"/>
      <c r="DW6" s="583"/>
      <c r="DX6" s="583"/>
      <c r="DY6" s="583"/>
      <c r="DZ6" s="583"/>
      <c r="EA6" s="583"/>
      <c r="EB6" s="583"/>
      <c r="EC6" s="583"/>
      <c r="ED6" s="583"/>
      <c r="EE6" s="583"/>
      <c r="EF6" s="583"/>
      <c r="EG6" s="583"/>
      <c r="EH6" s="583"/>
      <c r="EI6" s="583"/>
      <c r="EJ6" s="583"/>
      <c r="EK6" s="583"/>
      <c r="EL6" s="583"/>
      <c r="EM6" s="583"/>
      <c r="EN6" s="583"/>
      <c r="EO6" s="583"/>
      <c r="EP6" s="583"/>
      <c r="EQ6" s="583"/>
      <c r="ER6" s="583"/>
      <c r="ES6" s="583"/>
      <c r="ET6" s="583"/>
      <c r="EU6" s="583"/>
      <c r="EV6" s="583"/>
      <c r="EW6" s="583"/>
      <c r="EX6" s="583"/>
      <c r="EY6" s="583"/>
      <c r="EZ6" s="583"/>
      <c r="FA6" s="583"/>
      <c r="FB6" s="583"/>
      <c r="FC6" s="586"/>
    </row>
    <row r="7" spans="1:160" ht="30" customHeight="1" x14ac:dyDescent="0.25">
      <c r="A7" s="591" t="s">
        <v>8</v>
      </c>
      <c r="B7" s="592"/>
      <c r="C7" s="592"/>
      <c r="D7" s="592"/>
      <c r="E7" s="592"/>
      <c r="F7" s="593"/>
      <c r="G7" s="594" t="s">
        <v>9</v>
      </c>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c r="BD7" s="583"/>
      <c r="BE7" s="583"/>
      <c r="BF7" s="583"/>
      <c r="BG7" s="583"/>
      <c r="BH7" s="583"/>
      <c r="BI7" s="583"/>
      <c r="BJ7" s="583"/>
      <c r="BK7" s="583"/>
      <c r="BL7" s="583"/>
      <c r="BM7" s="583"/>
      <c r="BN7" s="583"/>
      <c r="BO7" s="583"/>
      <c r="BP7" s="583"/>
      <c r="BQ7" s="583"/>
      <c r="BR7" s="583"/>
      <c r="BS7" s="583"/>
      <c r="BT7" s="583"/>
      <c r="BU7" s="583"/>
      <c r="BV7" s="583"/>
      <c r="BW7" s="583"/>
      <c r="BX7" s="583"/>
      <c r="BY7" s="583"/>
      <c r="BZ7" s="583"/>
      <c r="CA7" s="583"/>
      <c r="CB7" s="583"/>
      <c r="CC7" s="583"/>
      <c r="CD7" s="583"/>
      <c r="CE7" s="583"/>
      <c r="CF7" s="583"/>
      <c r="CG7" s="583"/>
      <c r="CH7" s="583"/>
      <c r="CI7" s="583"/>
      <c r="CJ7" s="583"/>
      <c r="CK7" s="583"/>
      <c r="CL7" s="583"/>
      <c r="CM7" s="583"/>
      <c r="CN7" s="583"/>
      <c r="CO7" s="583"/>
      <c r="CP7" s="583"/>
      <c r="CQ7" s="583"/>
      <c r="CR7" s="583"/>
      <c r="CS7" s="583"/>
      <c r="CT7" s="583"/>
      <c r="CU7" s="583"/>
      <c r="CV7" s="583"/>
      <c r="CW7" s="583"/>
      <c r="CX7" s="583"/>
      <c r="CY7" s="583"/>
      <c r="CZ7" s="583"/>
      <c r="DA7" s="583"/>
      <c r="DB7" s="583"/>
      <c r="DC7" s="583"/>
      <c r="DD7" s="583"/>
      <c r="DE7" s="583"/>
      <c r="DF7" s="583"/>
      <c r="DG7" s="583"/>
      <c r="DH7" s="583"/>
      <c r="DI7" s="583"/>
      <c r="DJ7" s="583"/>
      <c r="DK7" s="583"/>
      <c r="DL7" s="583"/>
      <c r="DM7" s="583"/>
      <c r="DN7" s="583"/>
      <c r="DO7" s="583"/>
      <c r="DP7" s="583"/>
      <c r="DQ7" s="583"/>
      <c r="DR7" s="583"/>
      <c r="DS7" s="583"/>
      <c r="DT7" s="583"/>
      <c r="DU7" s="583"/>
      <c r="DV7" s="583"/>
      <c r="DW7" s="583"/>
      <c r="DX7" s="583"/>
      <c r="DY7" s="583"/>
      <c r="DZ7" s="583"/>
      <c r="EA7" s="583"/>
      <c r="EB7" s="583"/>
      <c r="EC7" s="583"/>
      <c r="ED7" s="583"/>
      <c r="EE7" s="583"/>
      <c r="EF7" s="583"/>
      <c r="EG7" s="583"/>
      <c r="EH7" s="583"/>
      <c r="EI7" s="583"/>
      <c r="EJ7" s="583"/>
      <c r="EK7" s="583"/>
      <c r="EL7" s="583"/>
      <c r="EM7" s="583"/>
      <c r="EN7" s="583"/>
      <c r="EO7" s="583"/>
      <c r="EP7" s="583"/>
      <c r="EQ7" s="583"/>
      <c r="ER7" s="583"/>
      <c r="ES7" s="583"/>
      <c r="ET7" s="583"/>
      <c r="EU7" s="583"/>
      <c r="EV7" s="583"/>
      <c r="EW7" s="583"/>
      <c r="EX7" s="583"/>
      <c r="EY7" s="583"/>
      <c r="EZ7" s="583"/>
      <c r="FA7" s="583"/>
      <c r="FB7" s="583"/>
      <c r="FC7" s="586"/>
    </row>
    <row r="8" spans="1:160" ht="30" customHeight="1" x14ac:dyDescent="0.25">
      <c r="A8" s="591" t="s">
        <v>10</v>
      </c>
      <c r="B8" s="592"/>
      <c r="C8" s="592"/>
      <c r="D8" s="592"/>
      <c r="E8" s="592"/>
      <c r="F8" s="593"/>
      <c r="G8" s="600" t="s">
        <v>11</v>
      </c>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81"/>
      <c r="AU8" s="581"/>
      <c r="AV8" s="581"/>
      <c r="AW8" s="581"/>
      <c r="AX8" s="581"/>
      <c r="AY8" s="581"/>
      <c r="AZ8" s="581"/>
      <c r="BA8" s="581"/>
      <c r="BB8" s="581"/>
      <c r="BC8" s="581"/>
      <c r="BD8" s="581"/>
      <c r="BE8" s="581"/>
      <c r="BF8" s="581"/>
      <c r="BG8" s="581"/>
      <c r="BH8" s="581"/>
      <c r="BI8" s="581"/>
      <c r="BJ8" s="581"/>
      <c r="BK8" s="581"/>
      <c r="BL8" s="581"/>
      <c r="BM8" s="581"/>
      <c r="BN8" s="581"/>
      <c r="BO8" s="581"/>
      <c r="BP8" s="581"/>
      <c r="BQ8" s="581"/>
      <c r="BR8" s="581"/>
      <c r="BS8" s="581"/>
      <c r="BT8" s="581"/>
      <c r="BU8" s="581"/>
      <c r="BV8" s="581"/>
      <c r="BW8" s="581"/>
      <c r="BX8" s="581"/>
      <c r="BY8" s="581"/>
      <c r="BZ8" s="581"/>
      <c r="CA8" s="581"/>
      <c r="CB8" s="581"/>
      <c r="CC8" s="581"/>
      <c r="CD8" s="581"/>
      <c r="CE8" s="581"/>
      <c r="CF8" s="581"/>
      <c r="CG8" s="581"/>
      <c r="CH8" s="581"/>
      <c r="CI8" s="581"/>
      <c r="CJ8" s="581"/>
      <c r="CK8" s="581"/>
      <c r="CL8" s="581"/>
      <c r="CM8" s="581"/>
      <c r="CN8" s="581"/>
      <c r="CO8" s="581"/>
      <c r="CP8" s="581"/>
      <c r="CQ8" s="581"/>
      <c r="CR8" s="581"/>
      <c r="CS8" s="581"/>
      <c r="CT8" s="581"/>
      <c r="CU8" s="581"/>
      <c r="CV8" s="581"/>
      <c r="CW8" s="581"/>
      <c r="CX8" s="581"/>
      <c r="CY8" s="581"/>
      <c r="CZ8" s="581"/>
      <c r="DA8" s="581"/>
      <c r="DB8" s="581"/>
      <c r="DC8" s="581"/>
      <c r="DD8" s="581"/>
      <c r="DE8" s="581"/>
      <c r="DF8" s="581"/>
      <c r="DG8" s="581"/>
      <c r="DH8" s="581"/>
      <c r="DI8" s="581"/>
      <c r="DJ8" s="581"/>
      <c r="DK8" s="581"/>
      <c r="DL8" s="581"/>
      <c r="DM8" s="581"/>
      <c r="DN8" s="581"/>
      <c r="DO8" s="581"/>
      <c r="DP8" s="581"/>
      <c r="DQ8" s="581"/>
      <c r="DR8" s="581"/>
      <c r="DS8" s="581"/>
      <c r="DT8" s="581"/>
      <c r="DU8" s="581"/>
      <c r="DV8" s="581"/>
      <c r="DW8" s="581"/>
      <c r="DX8" s="581"/>
      <c r="DY8" s="581"/>
      <c r="DZ8" s="581"/>
      <c r="EA8" s="581"/>
      <c r="EB8" s="581"/>
      <c r="EC8" s="581"/>
      <c r="ED8" s="581"/>
      <c r="EE8" s="581"/>
      <c r="EF8" s="581"/>
      <c r="EG8" s="581"/>
      <c r="EH8" s="581"/>
      <c r="EI8" s="581"/>
      <c r="EJ8" s="581"/>
      <c r="EK8" s="581"/>
      <c r="EL8" s="581"/>
      <c r="EM8" s="581"/>
      <c r="EN8" s="581"/>
      <c r="EO8" s="581"/>
      <c r="EP8" s="581"/>
      <c r="EQ8" s="581"/>
      <c r="ER8" s="581"/>
      <c r="ES8" s="581"/>
      <c r="ET8" s="581"/>
      <c r="EU8" s="581"/>
      <c r="EV8" s="581"/>
      <c r="EW8" s="581"/>
      <c r="EX8" s="581"/>
      <c r="EY8" s="581"/>
      <c r="EZ8" s="581"/>
      <c r="FA8" s="581"/>
      <c r="FB8" s="581"/>
      <c r="FC8" s="601"/>
    </row>
    <row r="9" spans="1:160" ht="20.25" customHeight="1" x14ac:dyDescent="0.25">
      <c r="A9" s="4"/>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7"/>
      <c r="EP9" s="7"/>
      <c r="EQ9" s="7"/>
      <c r="ER9" s="7"/>
      <c r="ES9" s="7"/>
      <c r="ET9" s="7"/>
      <c r="EU9" s="7"/>
      <c r="EV9" s="7"/>
      <c r="EW9" s="7"/>
      <c r="EX9" s="7"/>
      <c r="EY9" s="7"/>
      <c r="EZ9" s="7"/>
      <c r="FA9" s="7"/>
      <c r="FB9" s="7"/>
      <c r="FC9" s="8"/>
    </row>
    <row r="10" spans="1:160" ht="36" customHeight="1" x14ac:dyDescent="0.25">
      <c r="A10" s="602" t="s">
        <v>12</v>
      </c>
      <c r="B10" s="583"/>
      <c r="C10" s="583"/>
      <c r="D10" s="583"/>
      <c r="E10" s="583"/>
      <c r="F10" s="583"/>
      <c r="G10" s="583"/>
      <c r="H10" s="583"/>
      <c r="I10" s="586"/>
      <c r="J10" s="621" t="s">
        <v>13</v>
      </c>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3"/>
      <c r="BC10" s="583"/>
      <c r="BD10" s="583"/>
      <c r="BE10" s="583"/>
      <c r="BF10" s="583"/>
      <c r="BG10" s="583"/>
      <c r="BH10" s="583"/>
      <c r="BI10" s="583"/>
      <c r="BJ10" s="583"/>
      <c r="BK10" s="583"/>
      <c r="BL10" s="583"/>
      <c r="BM10" s="583"/>
      <c r="BN10" s="583"/>
      <c r="BO10" s="583"/>
      <c r="BP10" s="583"/>
      <c r="BQ10" s="583"/>
      <c r="BR10" s="583"/>
      <c r="BS10" s="583"/>
      <c r="BT10" s="583"/>
      <c r="BU10" s="583"/>
      <c r="BV10" s="583"/>
      <c r="BW10" s="583"/>
      <c r="BX10" s="583"/>
      <c r="BY10" s="583"/>
      <c r="BZ10" s="583"/>
      <c r="CA10" s="583"/>
      <c r="CB10" s="583"/>
      <c r="CC10" s="583"/>
      <c r="CD10" s="583"/>
      <c r="CE10" s="583"/>
      <c r="CF10" s="583"/>
      <c r="CG10" s="583"/>
      <c r="CH10" s="583"/>
      <c r="CI10" s="583"/>
      <c r="CJ10" s="583"/>
      <c r="CK10" s="583"/>
      <c r="CL10" s="583"/>
      <c r="CM10" s="583"/>
      <c r="CN10" s="583"/>
      <c r="CO10" s="583"/>
      <c r="CP10" s="583"/>
      <c r="CQ10" s="583"/>
      <c r="CR10" s="583"/>
      <c r="CS10" s="583"/>
      <c r="CT10" s="583"/>
      <c r="CU10" s="583"/>
      <c r="CV10" s="583"/>
      <c r="CW10" s="583"/>
      <c r="CX10" s="583"/>
      <c r="CY10" s="583"/>
      <c r="CZ10" s="583"/>
      <c r="DA10" s="583"/>
      <c r="DB10" s="583"/>
      <c r="DC10" s="583"/>
      <c r="DD10" s="583"/>
      <c r="DE10" s="583"/>
      <c r="DF10" s="583"/>
      <c r="DG10" s="583"/>
      <c r="DH10" s="583"/>
      <c r="DI10" s="583"/>
      <c r="DJ10" s="583"/>
      <c r="DK10" s="583"/>
      <c r="DL10" s="583"/>
      <c r="DM10" s="583"/>
      <c r="DN10" s="583"/>
      <c r="DO10" s="583"/>
      <c r="DP10" s="583"/>
      <c r="DQ10" s="583"/>
      <c r="DR10" s="583"/>
      <c r="DS10" s="583"/>
      <c r="DT10" s="583"/>
      <c r="DU10" s="583"/>
      <c r="DV10" s="583"/>
      <c r="DW10" s="583"/>
      <c r="DX10" s="583"/>
      <c r="DY10" s="583"/>
      <c r="DZ10" s="583"/>
      <c r="EA10" s="583"/>
      <c r="EB10" s="583"/>
      <c r="EC10" s="583"/>
      <c r="ED10" s="583"/>
      <c r="EE10" s="583"/>
      <c r="EF10" s="583"/>
      <c r="EG10" s="583"/>
      <c r="EH10" s="583"/>
      <c r="EI10" s="583"/>
      <c r="EJ10" s="583"/>
      <c r="EK10" s="583"/>
      <c r="EL10" s="583"/>
      <c r="EM10" s="583"/>
      <c r="EN10" s="583"/>
      <c r="EO10" s="583"/>
      <c r="EP10" s="583"/>
      <c r="EQ10" s="583"/>
      <c r="ER10" s="583"/>
      <c r="ES10" s="586"/>
      <c r="ET10" s="622" t="s">
        <v>14</v>
      </c>
      <c r="EU10" s="622" t="s">
        <v>15</v>
      </c>
      <c r="EV10" s="612" t="s">
        <v>16</v>
      </c>
      <c r="EW10" s="615" t="s">
        <v>17</v>
      </c>
      <c r="EX10" s="612" t="s">
        <v>18</v>
      </c>
      <c r="EY10" s="616" t="s">
        <v>19</v>
      </c>
      <c r="EZ10" s="603" t="s">
        <v>20</v>
      </c>
      <c r="FA10" s="603" t="s">
        <v>21</v>
      </c>
      <c r="FB10" s="603" t="s">
        <v>22</v>
      </c>
      <c r="FC10" s="607" t="s">
        <v>23</v>
      </c>
    </row>
    <row r="11" spans="1:160" ht="24.75" customHeight="1" x14ac:dyDescent="0.25">
      <c r="A11" s="602" t="s">
        <v>24</v>
      </c>
      <c r="B11" s="583"/>
      <c r="C11" s="583"/>
      <c r="D11" s="583"/>
      <c r="E11" s="583"/>
      <c r="F11" s="583"/>
      <c r="G11" s="583"/>
      <c r="H11" s="583"/>
      <c r="I11" s="586"/>
      <c r="J11" s="610" t="s">
        <v>25</v>
      </c>
      <c r="K11" s="583"/>
      <c r="L11" s="583"/>
      <c r="M11" s="583"/>
      <c r="N11" s="583"/>
      <c r="O11" s="583"/>
      <c r="P11" s="583"/>
      <c r="Q11" s="583"/>
      <c r="R11" s="583"/>
      <c r="S11" s="583"/>
      <c r="T11" s="583"/>
      <c r="U11" s="583"/>
      <c r="V11" s="583"/>
      <c r="W11" s="583"/>
      <c r="X11" s="583"/>
      <c r="Y11" s="583"/>
      <c r="Z11" s="583"/>
      <c r="AA11" s="583"/>
      <c r="AB11" s="583"/>
      <c r="AC11" s="586"/>
      <c r="AD11" s="610" t="s">
        <v>26</v>
      </c>
      <c r="AE11" s="583"/>
      <c r="AF11" s="583"/>
      <c r="AG11" s="583"/>
      <c r="AH11" s="583"/>
      <c r="AI11" s="583"/>
      <c r="AJ11" s="583"/>
      <c r="AK11" s="583"/>
      <c r="AL11" s="583"/>
      <c r="AM11" s="583"/>
      <c r="AN11" s="583"/>
      <c r="AO11" s="583"/>
      <c r="AP11" s="583"/>
      <c r="AQ11" s="583"/>
      <c r="AR11" s="583"/>
      <c r="AS11" s="583"/>
      <c r="AT11" s="583"/>
      <c r="AU11" s="583"/>
      <c r="AV11" s="583"/>
      <c r="AW11" s="583"/>
      <c r="AX11" s="583"/>
      <c r="AY11" s="583"/>
      <c r="AZ11" s="583"/>
      <c r="BA11" s="583"/>
      <c r="BB11" s="583"/>
      <c r="BC11" s="583"/>
      <c r="BD11" s="583"/>
      <c r="BE11" s="583"/>
      <c r="BF11" s="583"/>
      <c r="BG11" s="586"/>
      <c r="BH11" s="610" t="s">
        <v>27</v>
      </c>
      <c r="BI11" s="583"/>
      <c r="BJ11" s="583"/>
      <c r="BK11" s="583"/>
      <c r="BL11" s="583"/>
      <c r="BM11" s="583"/>
      <c r="BN11" s="583"/>
      <c r="BO11" s="583"/>
      <c r="BP11" s="583"/>
      <c r="BQ11" s="583"/>
      <c r="BR11" s="583"/>
      <c r="BS11" s="583"/>
      <c r="BT11" s="583"/>
      <c r="BU11" s="583"/>
      <c r="BV11" s="583"/>
      <c r="BW11" s="583"/>
      <c r="BX11" s="583"/>
      <c r="BY11" s="583"/>
      <c r="BZ11" s="583"/>
      <c r="CA11" s="583"/>
      <c r="CB11" s="583"/>
      <c r="CC11" s="583"/>
      <c r="CD11" s="583"/>
      <c r="CE11" s="583"/>
      <c r="CF11" s="583"/>
      <c r="CG11" s="583"/>
      <c r="CH11" s="583"/>
      <c r="CI11" s="583"/>
      <c r="CJ11" s="583"/>
      <c r="CK11" s="586"/>
      <c r="CL11" s="611" t="s">
        <v>28</v>
      </c>
      <c r="CM11" s="583"/>
      <c r="CN11" s="583"/>
      <c r="CO11" s="583"/>
      <c r="CP11" s="583"/>
      <c r="CQ11" s="583"/>
      <c r="CR11" s="583"/>
      <c r="CS11" s="583"/>
      <c r="CT11" s="583"/>
      <c r="CU11" s="583"/>
      <c r="CV11" s="583"/>
      <c r="CW11" s="583"/>
      <c r="CX11" s="583"/>
      <c r="CY11" s="583"/>
      <c r="CZ11" s="583"/>
      <c r="DA11" s="583"/>
      <c r="DB11" s="583"/>
      <c r="DC11" s="583"/>
      <c r="DD11" s="583"/>
      <c r="DE11" s="583"/>
      <c r="DF11" s="583"/>
      <c r="DG11" s="583"/>
      <c r="DH11" s="583"/>
      <c r="DI11" s="583"/>
      <c r="DJ11" s="583"/>
      <c r="DK11" s="583"/>
      <c r="DL11" s="583"/>
      <c r="DM11" s="583"/>
      <c r="DN11" s="583"/>
      <c r="DO11" s="584"/>
      <c r="DP11" s="610" t="s">
        <v>29</v>
      </c>
      <c r="DQ11" s="583"/>
      <c r="DR11" s="583"/>
      <c r="DS11" s="583"/>
      <c r="DT11" s="583"/>
      <c r="DU11" s="583"/>
      <c r="DV11" s="583"/>
      <c r="DW11" s="583"/>
      <c r="DX11" s="583"/>
      <c r="DY11" s="583"/>
      <c r="DZ11" s="583"/>
      <c r="EA11" s="583"/>
      <c r="EB11" s="583"/>
      <c r="EC11" s="583"/>
      <c r="ED11" s="583"/>
      <c r="EE11" s="583"/>
      <c r="EF11" s="583"/>
      <c r="EG11" s="583"/>
      <c r="EH11" s="583"/>
      <c r="EI11" s="583"/>
      <c r="EJ11" s="583"/>
      <c r="EK11" s="583"/>
      <c r="EL11" s="583"/>
      <c r="EM11" s="583"/>
      <c r="EN11" s="583"/>
      <c r="EO11" s="583"/>
      <c r="EP11" s="583"/>
      <c r="EQ11" s="583"/>
      <c r="ER11" s="583"/>
      <c r="ES11" s="584"/>
      <c r="ET11" s="613"/>
      <c r="EU11" s="613"/>
      <c r="EV11" s="613"/>
      <c r="EW11" s="613"/>
      <c r="EX11" s="613"/>
      <c r="EY11" s="617"/>
      <c r="EZ11" s="604"/>
      <c r="FA11" s="604"/>
      <c r="FB11" s="604"/>
      <c r="FC11" s="608"/>
    </row>
    <row r="12" spans="1:160" ht="112.5" customHeight="1" thickBot="1" x14ac:dyDescent="0.3">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16" t="s">
        <v>54</v>
      </c>
      <c r="Z12" s="17" t="s">
        <v>55</v>
      </c>
      <c r="AA12" s="18" t="s">
        <v>56</v>
      </c>
      <c r="AB12" s="19" t="s">
        <v>57</v>
      </c>
      <c r="AC12" s="18" t="s">
        <v>58</v>
      </c>
      <c r="AD12" s="12" t="s">
        <v>59</v>
      </c>
      <c r="AE12" s="13" t="s">
        <v>60</v>
      </c>
      <c r="AF12" s="14" t="s">
        <v>61</v>
      </c>
      <c r="AG12" s="13" t="s">
        <v>62</v>
      </c>
      <c r="AH12" s="14" t="s">
        <v>63</v>
      </c>
      <c r="AI12" s="13" t="s">
        <v>64</v>
      </c>
      <c r="AJ12" s="14" t="s">
        <v>65</v>
      </c>
      <c r="AK12" s="13" t="s">
        <v>66</v>
      </c>
      <c r="AL12" s="14" t="s">
        <v>67</v>
      </c>
      <c r="AM12" s="13" t="s">
        <v>68</v>
      </c>
      <c r="AN12" s="14" t="s">
        <v>69</v>
      </c>
      <c r="AO12" s="13" t="s">
        <v>70</v>
      </c>
      <c r="AP12" s="14" t="s">
        <v>71</v>
      </c>
      <c r="AQ12" s="13" t="s">
        <v>72</v>
      </c>
      <c r="AR12" s="14" t="s">
        <v>73</v>
      </c>
      <c r="AS12" s="13" t="s">
        <v>74</v>
      </c>
      <c r="AT12" s="14" t="s">
        <v>75</v>
      </c>
      <c r="AU12" s="13" t="s">
        <v>76</v>
      </c>
      <c r="AV12" s="14" t="s">
        <v>77</v>
      </c>
      <c r="AW12" s="13" t="s">
        <v>78</v>
      </c>
      <c r="AX12" s="14" t="s">
        <v>79</v>
      </c>
      <c r="AY12" s="13" t="s">
        <v>80</v>
      </c>
      <c r="AZ12" s="14" t="s">
        <v>81</v>
      </c>
      <c r="BA12" s="13" t="s">
        <v>82</v>
      </c>
      <c r="BB12" s="15" t="s">
        <v>83</v>
      </c>
      <c r="BC12" s="16" t="s">
        <v>54</v>
      </c>
      <c r="BD12" s="20" t="s">
        <v>84</v>
      </c>
      <c r="BE12" s="18" t="s">
        <v>85</v>
      </c>
      <c r="BF12" s="19" t="s">
        <v>86</v>
      </c>
      <c r="BG12" s="18" t="s">
        <v>87</v>
      </c>
      <c r="BH12" s="12" t="s">
        <v>88</v>
      </c>
      <c r="BI12" s="13" t="s">
        <v>89</v>
      </c>
      <c r="BJ12" s="14" t="s">
        <v>90</v>
      </c>
      <c r="BK12" s="13" t="s">
        <v>91</v>
      </c>
      <c r="BL12" s="14" t="s">
        <v>92</v>
      </c>
      <c r="BM12" s="13" t="s">
        <v>93</v>
      </c>
      <c r="BN12" s="14" t="s">
        <v>94</v>
      </c>
      <c r="BO12" s="13" t="s">
        <v>95</v>
      </c>
      <c r="BP12" s="14" t="s">
        <v>96</v>
      </c>
      <c r="BQ12" s="13" t="s">
        <v>97</v>
      </c>
      <c r="BR12" s="14" t="s">
        <v>98</v>
      </c>
      <c r="BS12" s="13" t="s">
        <v>99</v>
      </c>
      <c r="BT12" s="14" t="s">
        <v>100</v>
      </c>
      <c r="BU12" s="13" t="s">
        <v>101</v>
      </c>
      <c r="BV12" s="14" t="s">
        <v>102</v>
      </c>
      <c r="BW12" s="13" t="s">
        <v>103</v>
      </c>
      <c r="BX12" s="14" t="s">
        <v>104</v>
      </c>
      <c r="BY12" s="13" t="s">
        <v>105</v>
      </c>
      <c r="BZ12" s="14" t="s">
        <v>106</v>
      </c>
      <c r="CA12" s="13" t="s">
        <v>107</v>
      </c>
      <c r="CB12" s="14" t="s">
        <v>108</v>
      </c>
      <c r="CC12" s="13" t="s">
        <v>109</v>
      </c>
      <c r="CD12" s="14" t="s">
        <v>110</v>
      </c>
      <c r="CE12" s="13" t="s">
        <v>111</v>
      </c>
      <c r="CF12" s="15" t="s">
        <v>112</v>
      </c>
      <c r="CG12" s="16" t="s">
        <v>54</v>
      </c>
      <c r="CH12" s="19" t="s">
        <v>113</v>
      </c>
      <c r="CI12" s="18" t="s">
        <v>114</v>
      </c>
      <c r="CJ12" s="19" t="s">
        <v>115</v>
      </c>
      <c r="CK12" s="18" t="s">
        <v>116</v>
      </c>
      <c r="CL12" s="21" t="s">
        <v>117</v>
      </c>
      <c r="CM12" s="13" t="s">
        <v>118</v>
      </c>
      <c r="CN12" s="14" t="s">
        <v>119</v>
      </c>
      <c r="CO12" s="13" t="s">
        <v>120</v>
      </c>
      <c r="CP12" s="14" t="s">
        <v>121</v>
      </c>
      <c r="CQ12" s="13" t="s">
        <v>122</v>
      </c>
      <c r="CR12" s="14" t="s">
        <v>123</v>
      </c>
      <c r="CS12" s="13" t="s">
        <v>124</v>
      </c>
      <c r="CT12" s="14" t="s">
        <v>125</v>
      </c>
      <c r="CU12" s="13" t="s">
        <v>126</v>
      </c>
      <c r="CV12" s="14" t="s">
        <v>127</v>
      </c>
      <c r="CW12" s="13" t="s">
        <v>128</v>
      </c>
      <c r="CX12" s="14" t="s">
        <v>129</v>
      </c>
      <c r="CY12" s="13" t="s">
        <v>130</v>
      </c>
      <c r="CZ12" s="14" t="s">
        <v>131</v>
      </c>
      <c r="DA12" s="13" t="s">
        <v>132</v>
      </c>
      <c r="DB12" s="14" t="s">
        <v>133</v>
      </c>
      <c r="DC12" s="13" t="s">
        <v>134</v>
      </c>
      <c r="DD12" s="14" t="s">
        <v>135</v>
      </c>
      <c r="DE12" s="13" t="s">
        <v>136</v>
      </c>
      <c r="DF12" s="14" t="s">
        <v>137</v>
      </c>
      <c r="DG12" s="13" t="s">
        <v>138</v>
      </c>
      <c r="DH12" s="14" t="s">
        <v>139</v>
      </c>
      <c r="DI12" s="13" t="s">
        <v>140</v>
      </c>
      <c r="DJ12" s="15" t="s">
        <v>141</v>
      </c>
      <c r="DK12" s="16" t="s">
        <v>54</v>
      </c>
      <c r="DL12" s="22" t="s">
        <v>142</v>
      </c>
      <c r="DM12" s="23" t="s">
        <v>143</v>
      </c>
      <c r="DN12" s="24" t="s">
        <v>144</v>
      </c>
      <c r="DO12" s="23" t="s">
        <v>145</v>
      </c>
      <c r="DP12" s="21" t="s">
        <v>146</v>
      </c>
      <c r="DQ12" s="13" t="s">
        <v>147</v>
      </c>
      <c r="DR12" s="14" t="s">
        <v>148</v>
      </c>
      <c r="DS12" s="13" t="s">
        <v>149</v>
      </c>
      <c r="DT12" s="14" t="s">
        <v>150</v>
      </c>
      <c r="DU12" s="13" t="s">
        <v>151</v>
      </c>
      <c r="DV12" s="14" t="s">
        <v>152</v>
      </c>
      <c r="DW12" s="13" t="s">
        <v>153</v>
      </c>
      <c r="DX12" s="14" t="s">
        <v>154</v>
      </c>
      <c r="DY12" s="13" t="s">
        <v>155</v>
      </c>
      <c r="DZ12" s="14" t="s">
        <v>156</v>
      </c>
      <c r="EA12" s="13" t="s">
        <v>157</v>
      </c>
      <c r="EB12" s="14" t="s">
        <v>158</v>
      </c>
      <c r="EC12" s="13" t="s">
        <v>159</v>
      </c>
      <c r="ED12" s="14" t="s">
        <v>160</v>
      </c>
      <c r="EE12" s="13" t="s">
        <v>161</v>
      </c>
      <c r="EF12" s="14" t="s">
        <v>162</v>
      </c>
      <c r="EG12" s="13" t="s">
        <v>163</v>
      </c>
      <c r="EH12" s="14" t="s">
        <v>164</v>
      </c>
      <c r="EI12" s="13" t="s">
        <v>165</v>
      </c>
      <c r="EJ12" s="14" t="s">
        <v>166</v>
      </c>
      <c r="EK12" s="13" t="s">
        <v>167</v>
      </c>
      <c r="EL12" s="14" t="s">
        <v>168</v>
      </c>
      <c r="EM12" s="13" t="s">
        <v>169</v>
      </c>
      <c r="EN12" s="15" t="s">
        <v>170</v>
      </c>
      <c r="EO12" s="16" t="s">
        <v>54</v>
      </c>
      <c r="EP12" s="22" t="s">
        <v>171</v>
      </c>
      <c r="EQ12" s="23" t="s">
        <v>172</v>
      </c>
      <c r="ER12" s="24" t="s">
        <v>173</v>
      </c>
      <c r="ES12" s="25" t="s">
        <v>174</v>
      </c>
      <c r="ET12" s="614"/>
      <c r="EU12" s="614"/>
      <c r="EV12" s="614"/>
      <c r="EW12" s="614"/>
      <c r="EX12" s="614"/>
      <c r="EY12" s="618"/>
      <c r="EZ12" s="605"/>
      <c r="FA12" s="605"/>
      <c r="FB12" s="606"/>
      <c r="FC12" s="609"/>
    </row>
    <row r="13" spans="1:160" ht="264.75" customHeight="1" thickBot="1" x14ac:dyDescent="0.3">
      <c r="A13" s="356">
        <v>5</v>
      </c>
      <c r="B13" s="357">
        <v>53</v>
      </c>
      <c r="C13" s="358">
        <v>457</v>
      </c>
      <c r="D13" s="359" t="s">
        <v>175</v>
      </c>
      <c r="E13" s="358">
        <v>492</v>
      </c>
      <c r="F13" s="357" t="s">
        <v>176</v>
      </c>
      <c r="G13" s="357" t="s">
        <v>177</v>
      </c>
      <c r="H13" s="360" t="s">
        <v>178</v>
      </c>
      <c r="I13" s="361">
        <v>1</v>
      </c>
      <c r="J13" s="362">
        <v>0.16</v>
      </c>
      <c r="K13" s="362"/>
      <c r="L13" s="362"/>
      <c r="M13" s="362">
        <v>0.16</v>
      </c>
      <c r="N13" s="363">
        <v>1.2800000000000001E-2</v>
      </c>
      <c r="O13" s="362">
        <v>0.16</v>
      </c>
      <c r="P13" s="363">
        <v>3.3500000000000002E-2</v>
      </c>
      <c r="Q13" s="362">
        <v>0.16</v>
      </c>
      <c r="R13" s="363">
        <v>6.25E-2</v>
      </c>
      <c r="S13" s="362">
        <v>0.16</v>
      </c>
      <c r="T13" s="363">
        <v>8.2600000000000007E-2</v>
      </c>
      <c r="U13" s="362">
        <v>0.16</v>
      </c>
      <c r="V13" s="363">
        <v>0.1091</v>
      </c>
      <c r="W13" s="362">
        <v>0.16</v>
      </c>
      <c r="X13" s="363">
        <v>0.14460000000000001</v>
      </c>
      <c r="Y13" s="364">
        <v>0.16</v>
      </c>
      <c r="Z13" s="364">
        <v>0.16</v>
      </c>
      <c r="AA13" s="364">
        <v>0.14460000000000001</v>
      </c>
      <c r="AB13" s="363">
        <v>0.16</v>
      </c>
      <c r="AC13" s="361">
        <v>0.14460000000000001</v>
      </c>
      <c r="AD13" s="365">
        <f>+AE13+AG13+AI13+AK13+AM13+AO13+AQ13+AS13+AU13+AW13+AY13+BA13</f>
        <v>0.19539999999999999</v>
      </c>
      <c r="AE13" s="363">
        <v>8.2000000000000007E-3</v>
      </c>
      <c r="AF13" s="363">
        <v>8.2000000000000007E-3</v>
      </c>
      <c r="AG13" s="363">
        <v>9.300000000000001E-3</v>
      </c>
      <c r="AH13" s="363">
        <v>9.300000000000001E-3</v>
      </c>
      <c r="AI13" s="363">
        <v>1.21E-2</v>
      </c>
      <c r="AJ13" s="363">
        <v>1.21E-2</v>
      </c>
      <c r="AK13" s="363">
        <v>1.38E-2</v>
      </c>
      <c r="AL13" s="363">
        <v>1.38E-2</v>
      </c>
      <c r="AM13" s="363">
        <v>2.4299999999999999E-2</v>
      </c>
      <c r="AN13" s="363">
        <v>2.4299999999999999E-2</v>
      </c>
      <c r="AO13" s="363">
        <v>2.5499999999999998E-2</v>
      </c>
      <c r="AP13" s="363">
        <v>2.5499999999999998E-2</v>
      </c>
      <c r="AQ13" s="363">
        <v>2.6100000000000002E-2</v>
      </c>
      <c r="AR13" s="363">
        <v>2.6100000000000002E-2</v>
      </c>
      <c r="AS13" s="363">
        <v>2.4E-2</v>
      </c>
      <c r="AT13" s="363">
        <v>2.4E-2</v>
      </c>
      <c r="AU13" s="363">
        <v>0.02</v>
      </c>
      <c r="AV13" s="363">
        <v>0.02</v>
      </c>
      <c r="AW13" s="363">
        <v>1.3299999999999999E-2</v>
      </c>
      <c r="AX13" s="363">
        <v>1.3299999999999999E-2</v>
      </c>
      <c r="AY13" s="363">
        <v>1.03E-2</v>
      </c>
      <c r="AZ13" s="363">
        <v>9.5999999999999992E-3</v>
      </c>
      <c r="BA13" s="364">
        <v>8.5000000000000006E-3</v>
      </c>
      <c r="BB13" s="361">
        <v>7.4999999999999997E-3</v>
      </c>
      <c r="BC13" s="363">
        <f>+AE13+AG13+AI13+AK13+AM13+AO13+AQ13+AS13+AU13+AW13+AY13+BA13</f>
        <v>0.19539999999999999</v>
      </c>
      <c r="BD13" s="366">
        <f>+AE13+AG13+AI13+AK13+AM13+AO13+AQ13+AS13+AU13+AW13+AY13+BA13</f>
        <v>0.19539999999999999</v>
      </c>
      <c r="BE13" s="366">
        <f>+AF13+AH13+AJ13+AL13+AN13+AP13+AR13+AT13+AV13+AX13+AZ13+BB13</f>
        <v>0.19369999999999998</v>
      </c>
      <c r="BF13" s="363">
        <f>AE13+AG13+AI13+AK13+AM13+AO13+AQ13+AS13+AU13+AW13+AY13+BA13</f>
        <v>0.19539999999999999</v>
      </c>
      <c r="BG13" s="361">
        <f>AF13+AH13+AJ13+AL13+AN13+AP13+AR13+AT13+AV13+AX13+AZ13+BB13</f>
        <v>0.19369999999999998</v>
      </c>
      <c r="BH13" s="367">
        <f>+BI13+BK13+BM13+BO13+BQ13+BS13+BU13+BW13+BY13+CA13+CC13+CE13</f>
        <v>0.26169999999999999</v>
      </c>
      <c r="BI13" s="366">
        <v>7.9000000000000008E-3</v>
      </c>
      <c r="BJ13" s="363">
        <v>7.9000000000000008E-3</v>
      </c>
      <c r="BK13" s="366">
        <v>1.24E-2</v>
      </c>
      <c r="BL13" s="366">
        <v>1.24E-2</v>
      </c>
      <c r="BM13" s="366">
        <v>1.7000000000000001E-2</v>
      </c>
      <c r="BN13" s="366">
        <v>1.7000000000000001E-2</v>
      </c>
      <c r="BO13" s="366">
        <v>2.1299999999999999E-2</v>
      </c>
      <c r="BP13" s="366">
        <v>2.1299999999999999E-2</v>
      </c>
      <c r="BQ13" s="366">
        <v>2.5399999999999999E-2</v>
      </c>
      <c r="BR13" s="366">
        <v>2.5399999999999999E-2</v>
      </c>
      <c r="BS13" s="366">
        <v>2.6200000000000001E-2</v>
      </c>
      <c r="BT13" s="366">
        <v>2.6200000000000001E-2</v>
      </c>
      <c r="BU13" s="366">
        <v>2.52E-2</v>
      </c>
      <c r="BV13" s="366">
        <v>2.52E-2</v>
      </c>
      <c r="BW13" s="366">
        <v>2.6200000000000001E-2</v>
      </c>
      <c r="BX13" s="366">
        <v>2.6200000000000001E-2</v>
      </c>
      <c r="BY13" s="366">
        <v>2.7099999999999999E-2</v>
      </c>
      <c r="BZ13" s="366">
        <v>2.7099999999999999E-2</v>
      </c>
      <c r="CA13" s="366">
        <v>2.5100000000000001E-2</v>
      </c>
      <c r="CB13" s="366">
        <v>2.5100000000000001E-2</v>
      </c>
      <c r="CC13" s="366">
        <v>2.3800000000000002E-2</v>
      </c>
      <c r="CD13" s="366">
        <v>2.3800000000000002E-2</v>
      </c>
      <c r="CE13" s="366">
        <v>2.41E-2</v>
      </c>
      <c r="CF13" s="368">
        <v>4.1000000000000003E-3</v>
      </c>
      <c r="CG13" s="363">
        <f>+BI13+BK13+BM13+BO13+BQ13+BS13+BU13+BW13+BY13+CA13+CC13+CE13</f>
        <v>0.26169999999999999</v>
      </c>
      <c r="CH13" s="366">
        <f>+BI13+BK13+BM13+BO13+BQ13+BS13+BU13+BW13+BY13+CA13+CC13+CE13</f>
        <v>0.26169999999999999</v>
      </c>
      <c r="CI13" s="366">
        <f>+BJ13+BL13+BN13+BP13+BR13+BT13+BV13+BX13+BZ13+CB13+CD13+CF13</f>
        <v>0.24169999999999997</v>
      </c>
      <c r="CJ13" s="363">
        <f>+BI13+BK13+BM13+BO13+BQ13+BS13+BU13+BW13+BY13+CA13+CC13+CE13</f>
        <v>0.26169999999999999</v>
      </c>
      <c r="CK13" s="361">
        <f>BJ13+BL13+BN13+BP13+BR13+BT13+BV13+BX13+BZ13+CB13+CD13+CF13</f>
        <v>0.24169999999999997</v>
      </c>
      <c r="CL13" s="365">
        <v>0.27</v>
      </c>
      <c r="CM13" s="366">
        <v>6.7999999999999996E-3</v>
      </c>
      <c r="CN13" s="366">
        <v>6.7999999999999996E-3</v>
      </c>
      <c r="CO13" s="366">
        <v>1.11E-2</v>
      </c>
      <c r="CP13" s="366">
        <v>1.11E-2</v>
      </c>
      <c r="CQ13" s="366">
        <v>1.67E-2</v>
      </c>
      <c r="CR13" s="366">
        <v>1.67E-2</v>
      </c>
      <c r="CS13" s="366">
        <v>2.1899999999999999E-2</v>
      </c>
      <c r="CT13" s="366">
        <v>2.1899999999999999E-2</v>
      </c>
      <c r="CU13" s="366">
        <v>2.9600000000000001E-2</v>
      </c>
      <c r="CV13" s="366">
        <v>2.9600000000000001E-2</v>
      </c>
      <c r="CW13" s="366">
        <v>3.5799999999999998E-2</v>
      </c>
      <c r="CX13" s="366">
        <v>3.5799999999999998E-2</v>
      </c>
      <c r="CY13" s="366">
        <v>3.73E-2</v>
      </c>
      <c r="CZ13" s="366">
        <v>3.73E-2</v>
      </c>
      <c r="DA13" s="366">
        <v>2.92E-2</v>
      </c>
      <c r="DB13" s="366">
        <v>2.92E-2</v>
      </c>
      <c r="DC13" s="366">
        <v>2.4500000000000001E-2</v>
      </c>
      <c r="DD13" s="366">
        <v>2.4500000000000001E-2</v>
      </c>
      <c r="DE13" s="366">
        <v>2.07E-2</v>
      </c>
      <c r="DF13" s="369">
        <v>2.07E-2</v>
      </c>
      <c r="DG13" s="366">
        <v>1.84E-2</v>
      </c>
      <c r="DH13" s="369">
        <v>1.84E-2</v>
      </c>
      <c r="DI13" s="366">
        <v>1.7999999999999999E-2</v>
      </c>
      <c r="DJ13" s="370">
        <v>1.2999999999999999E-2</v>
      </c>
      <c r="DK13" s="366">
        <f>CM13+CO13+CQ13+CS13+CU13+CW13+CY13+DA13+DC13+DE13+DG13+DI13</f>
        <v>0.27</v>
      </c>
      <c r="DL13" s="366">
        <f>CM13+CO13+CQ13+CS13+CU13+CW13+CY13+DA13+DC13+DE13+DG13+DI13</f>
        <v>0.27</v>
      </c>
      <c r="DM13" s="366">
        <f>CN13+CP13+CR13+CT13+CV13+CX13+CZ13+DB13+DD13+DF13+DH13+DJ13</f>
        <v>0.26500000000000001</v>
      </c>
      <c r="DN13" s="366">
        <f>+CM13+CO13+CQ13+CS13+CU13+CW13+CY13+DA13+DC13+DE13+DG13+DI13</f>
        <v>0.27</v>
      </c>
      <c r="DO13" s="366">
        <f>CN13+CP13+CR13+CT13+CV13+CX13+CZ13+DB13+DD13+DF13+DH13+DJ13</f>
        <v>0.26500000000000001</v>
      </c>
      <c r="DP13" s="367">
        <v>0.155</v>
      </c>
      <c r="DQ13" s="363">
        <v>1.8200000000000001E-2</v>
      </c>
      <c r="DR13" s="363">
        <v>1.8200000000000001E-2</v>
      </c>
      <c r="DS13" s="363">
        <v>2.4799999999999999E-2</v>
      </c>
      <c r="DT13" s="363">
        <v>2.4799999999999999E-2</v>
      </c>
      <c r="DU13" s="363">
        <v>3.6400000000000002E-2</v>
      </c>
      <c r="DV13" s="363">
        <v>3.6400000000000002E-2</v>
      </c>
      <c r="DW13" s="363">
        <v>3.6799999999999999E-2</v>
      </c>
      <c r="DX13" s="363">
        <v>3.6799999999999999E-2</v>
      </c>
      <c r="DY13" s="363">
        <v>3.8800000000000001E-2</v>
      </c>
      <c r="DZ13" s="363">
        <v>3.8800000000000001E-2</v>
      </c>
      <c r="EA13" s="363">
        <v>0</v>
      </c>
      <c r="EB13" s="362"/>
      <c r="EC13" s="363">
        <v>0</v>
      </c>
      <c r="ED13" s="362"/>
      <c r="EE13" s="363">
        <v>0</v>
      </c>
      <c r="EF13" s="362"/>
      <c r="EG13" s="363">
        <v>0</v>
      </c>
      <c r="EH13" s="362"/>
      <c r="EI13" s="363">
        <v>0</v>
      </c>
      <c r="EJ13" s="362"/>
      <c r="EK13" s="363">
        <v>0</v>
      </c>
      <c r="EL13" s="362"/>
      <c r="EM13" s="363">
        <v>0</v>
      </c>
      <c r="EN13" s="575"/>
      <c r="EO13" s="371">
        <f>+DQ13+DS13+DU13+DW13+DY13</f>
        <v>0.155</v>
      </c>
      <c r="EP13" s="371">
        <f>+DQ13+DS13+DU13+DW13+DY13</f>
        <v>0.155</v>
      </c>
      <c r="EQ13" s="372">
        <f>+DR13+DT13+DV13+DX13+DZ13</f>
        <v>0.155</v>
      </c>
      <c r="ER13" s="363">
        <f>+DQ13+DS13+DU13+DW13+DY13</f>
        <v>0.155</v>
      </c>
      <c r="ES13" s="372">
        <f>+DR13+DT13+DV13+DX13+DZ13+EB13</f>
        <v>0.155</v>
      </c>
      <c r="ET13" s="373">
        <f>DZ13/DY13</f>
        <v>1</v>
      </c>
      <c r="EU13" s="374">
        <f>EQ13/EP13</f>
        <v>1</v>
      </c>
      <c r="EV13" s="374">
        <f>+ES13/ER13</f>
        <v>1</v>
      </c>
      <c r="EW13" s="374">
        <f>+(AC13+BG13+CK13+DO13+EQ13)/(AB13+BF13+CJ13+DN13+EP13)</f>
        <v>0.95960080606467713</v>
      </c>
      <c r="EX13" s="374">
        <f>+(BG13+AC13+CK13+DO13+ES13)/I13</f>
        <v>1</v>
      </c>
      <c r="EY13" s="375" t="s">
        <v>888</v>
      </c>
      <c r="EZ13" s="376" t="s">
        <v>179</v>
      </c>
      <c r="FA13" s="376" t="s">
        <v>179</v>
      </c>
      <c r="FB13" s="377" t="s">
        <v>889</v>
      </c>
      <c r="FC13" s="378" t="s">
        <v>890</v>
      </c>
      <c r="FD13" s="276">
        <f>+LEN(EY13)</f>
        <v>1114</v>
      </c>
    </row>
    <row r="14" spans="1:160" ht="10.5" customHeight="1" x14ac:dyDescent="0.25">
      <c r="A14" s="1"/>
      <c r="B14" s="1"/>
      <c r="C14" s="1"/>
      <c r="D14" s="1"/>
      <c r="E14" s="1"/>
      <c r="F14" s="1"/>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1"/>
      <c r="EP14" s="1"/>
      <c r="EQ14" s="1"/>
      <c r="ER14" s="1"/>
      <c r="ES14" s="1"/>
      <c r="ET14" s="1"/>
      <c r="EU14" s="1"/>
      <c r="EV14" s="1"/>
      <c r="EW14" s="1"/>
      <c r="EX14" s="1"/>
      <c r="EY14" s="1"/>
      <c r="EZ14" s="1"/>
      <c r="FA14" s="1"/>
      <c r="FB14" s="1"/>
      <c r="FC14" s="1"/>
    </row>
    <row r="15" spans="1:160" x14ac:dyDescent="0.25">
      <c r="I15" s="3"/>
      <c r="J15" s="3"/>
      <c r="K15" s="3"/>
      <c r="L15" s="3"/>
      <c r="M15" s="3"/>
      <c r="N15" s="3"/>
      <c r="O15" s="3"/>
      <c r="P15" s="3"/>
      <c r="Q15" s="3"/>
      <c r="R15" s="3"/>
      <c r="S15" s="3"/>
      <c r="T15" s="3"/>
      <c r="U15" s="3"/>
      <c r="V15" s="3"/>
      <c r="W15" s="3"/>
      <c r="X15" s="3"/>
      <c r="Y15" s="3"/>
      <c r="Z15" s="3"/>
      <c r="AA15" s="3"/>
      <c r="AB15" s="3"/>
      <c r="AC15" s="3"/>
      <c r="AD15" s="26"/>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288">
        <f>DN13-DO13</f>
        <v>5.0000000000000044E-3</v>
      </c>
      <c r="DP15" s="3"/>
      <c r="DQ15" s="3"/>
      <c r="DR15" s="3"/>
      <c r="DS15" s="3"/>
      <c r="DT15" s="3"/>
      <c r="DU15" s="3"/>
      <c r="DV15" s="3"/>
      <c r="DW15" s="3"/>
      <c r="DX15" s="3"/>
      <c r="DY15" s="3"/>
      <c r="DZ15" s="3"/>
      <c r="EA15" s="3"/>
      <c r="EB15" s="3"/>
      <c r="EC15" s="3"/>
      <c r="ED15" s="3"/>
      <c r="EE15" s="3"/>
      <c r="EF15" s="3"/>
      <c r="EG15" s="3"/>
      <c r="EH15" s="3"/>
      <c r="EI15" s="3"/>
      <c r="EJ15" s="3"/>
      <c r="EK15" s="3"/>
      <c r="EL15" s="3"/>
      <c r="EM15" s="3"/>
      <c r="EN15" s="3"/>
    </row>
    <row r="16" spans="1:160" x14ac:dyDescent="0.25">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row>
    <row r="17" spans="4:144" x14ac:dyDescent="0.25">
      <c r="D17" s="27" t="s">
        <v>180</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26"/>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row>
    <row r="18" spans="4:144" ht="15.75" customHeight="1" x14ac:dyDescent="0.25">
      <c r="D18" s="252" t="s">
        <v>181</v>
      </c>
      <c r="E18" s="619" t="s">
        <v>182</v>
      </c>
      <c r="F18" s="596"/>
      <c r="G18" s="596"/>
      <c r="H18" s="596"/>
      <c r="I18" s="596"/>
      <c r="J18" s="596"/>
      <c r="K18" s="596"/>
      <c r="L18" s="620" t="s">
        <v>183</v>
      </c>
      <c r="M18" s="598"/>
      <c r="N18" s="598"/>
      <c r="O18" s="598"/>
      <c r="P18" s="598"/>
      <c r="Q18" s="598"/>
      <c r="R18" s="599"/>
      <c r="S18" s="29"/>
      <c r="T18" s="29"/>
      <c r="U18" s="29"/>
      <c r="V18" s="29"/>
      <c r="W18" s="29"/>
      <c r="X18" s="29"/>
      <c r="Y18" s="29"/>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row>
    <row r="19" spans="4:144" ht="15.75" customHeight="1" x14ac:dyDescent="0.25">
      <c r="D19" s="253">
        <v>13</v>
      </c>
      <c r="E19" s="595" t="s">
        <v>184</v>
      </c>
      <c r="F19" s="596"/>
      <c r="G19" s="596"/>
      <c r="H19" s="596"/>
      <c r="I19" s="596"/>
      <c r="J19" s="596"/>
      <c r="K19" s="596"/>
      <c r="L19" s="597" t="s">
        <v>185</v>
      </c>
      <c r="M19" s="598"/>
      <c r="N19" s="598"/>
      <c r="O19" s="598"/>
      <c r="P19" s="598"/>
      <c r="Q19" s="598"/>
      <c r="R19" s="599"/>
      <c r="S19" s="29"/>
      <c r="T19" s="29"/>
      <c r="U19" s="29"/>
      <c r="V19" s="29"/>
      <c r="W19" s="29"/>
      <c r="X19" s="29"/>
      <c r="Y19" s="29"/>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row>
    <row r="20" spans="4:144" ht="15.75" customHeight="1" x14ac:dyDescent="0.25">
      <c r="D20" s="253">
        <v>14</v>
      </c>
      <c r="E20" s="595" t="s">
        <v>186</v>
      </c>
      <c r="F20" s="596"/>
      <c r="G20" s="596"/>
      <c r="H20" s="596"/>
      <c r="I20" s="596"/>
      <c r="J20" s="596"/>
      <c r="K20" s="596"/>
      <c r="L20" s="597" t="s">
        <v>187</v>
      </c>
      <c r="M20" s="598"/>
      <c r="N20" s="598"/>
      <c r="O20" s="598"/>
      <c r="P20" s="598"/>
      <c r="Q20" s="598"/>
      <c r="R20" s="599"/>
      <c r="S20" s="29"/>
      <c r="T20" s="29"/>
      <c r="U20" s="29"/>
      <c r="V20" s="29"/>
      <c r="W20" s="29"/>
      <c r="X20" s="29"/>
      <c r="Y20" s="29"/>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row>
    <row r="21" spans="4:144" ht="15.75" customHeight="1" x14ac:dyDescent="0.25">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row>
    <row r="22" spans="4:144" ht="15.75" customHeight="1" x14ac:dyDescent="0.25">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row>
    <row r="23" spans="4:144" ht="15.75" customHeight="1" x14ac:dyDescent="0.25">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row>
    <row r="24" spans="4:144" ht="15.75" customHeight="1" x14ac:dyDescent="0.25">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row>
    <row r="25" spans="4:144" ht="15.75" customHeight="1" x14ac:dyDescent="0.25">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row>
    <row r="26" spans="4:144" ht="15.75" customHeight="1" x14ac:dyDescent="0.25">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row>
    <row r="27" spans="4:144" ht="15.75" customHeight="1" x14ac:dyDescent="0.25">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row>
    <row r="28" spans="4:144" ht="15.75" customHeight="1" x14ac:dyDescent="0.25">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4:144" ht="15.75" customHeight="1" x14ac:dyDescent="0.25">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4:144" ht="15.75" customHeight="1" x14ac:dyDescent="0.25">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4:144" ht="15.75" customHeight="1" x14ac:dyDescent="0.25">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4:144" ht="15.75" customHeight="1" x14ac:dyDescent="0.25">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9:144" ht="15.75" customHeight="1" x14ac:dyDescent="0.25">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9:144" ht="15.75" customHeight="1" x14ac:dyDescent="0.25">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9:144" ht="15.75" customHeight="1" x14ac:dyDescent="0.25">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9:144" ht="15.75" customHeight="1" x14ac:dyDescent="0.25">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9:144" ht="15.75" customHeight="1" x14ac:dyDescent="0.25">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9:144" ht="15.75" customHeight="1" x14ac:dyDescent="0.25">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9:144" ht="15.75" customHeight="1" x14ac:dyDescent="0.25">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9:144" ht="15.75" customHeight="1" x14ac:dyDescent="0.25">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9:144" ht="15.75" customHeight="1" x14ac:dyDescent="0.25">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9:144" ht="15.75" customHeight="1" x14ac:dyDescent="0.25">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9:144" ht="15.75" customHeight="1" x14ac:dyDescent="0.25">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9:144" ht="15.75" customHeight="1" x14ac:dyDescent="0.25">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9:144" ht="15.75" customHeight="1" x14ac:dyDescent="0.25">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9:144" ht="15.75" customHeight="1" x14ac:dyDescent="0.25">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9:144" ht="15.75" customHeight="1" x14ac:dyDescent="0.2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9:144" ht="15.75" customHeight="1" x14ac:dyDescent="0.25">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9:144" ht="15.75" customHeight="1" x14ac:dyDescent="0.25">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9:144" ht="15.75" customHeight="1" x14ac:dyDescent="0.25">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9:144" ht="15.75" customHeight="1" x14ac:dyDescent="0.25">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9:144" ht="15.75" customHeight="1" x14ac:dyDescent="0.25">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9:144" ht="15.75" customHeight="1" x14ac:dyDescent="0.25">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9:144" ht="15.75" customHeight="1" x14ac:dyDescent="0.25">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9:144" ht="15.75" customHeight="1" x14ac:dyDescent="0.2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9:144" ht="15.75" customHeight="1" x14ac:dyDescent="0.25">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9:144" ht="15.75" customHeight="1" x14ac:dyDescent="0.25">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9:144" ht="15.75" customHeight="1" x14ac:dyDescent="0.25">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9:144" ht="15.75" customHeight="1" x14ac:dyDescent="0.25">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9:144" ht="15.75" customHeight="1" x14ac:dyDescent="0.25">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9:144" ht="15.75" customHeight="1" x14ac:dyDescent="0.25">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9:144" ht="15.75" customHeight="1" x14ac:dyDescent="0.25">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9:144" ht="15.75" customHeight="1" x14ac:dyDescent="0.25">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9:144" ht="15.75" customHeight="1" x14ac:dyDescent="0.25">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9:144" ht="15.75" customHeight="1" x14ac:dyDescent="0.25">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9:144" ht="15.75" customHeight="1" x14ac:dyDescent="0.25">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9:144" ht="15.75" customHeight="1" x14ac:dyDescent="0.25">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9:144" ht="15.75" customHeight="1" x14ac:dyDescent="0.25">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9:144" ht="15.75" customHeight="1" x14ac:dyDescent="0.25">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9:144" ht="15.75" customHeight="1" x14ac:dyDescent="0.25">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9:144" ht="15.75" customHeight="1" x14ac:dyDescent="0.25">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9:144" ht="15.75" customHeight="1" x14ac:dyDescent="0.25">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9:144" ht="15.75" customHeight="1" x14ac:dyDescent="0.25">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9:144" ht="15.75" customHeight="1" x14ac:dyDescent="0.25">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9:144" ht="15.75" customHeight="1" x14ac:dyDescent="0.25">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9:144" ht="15.75" customHeight="1" x14ac:dyDescent="0.25">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9:144" ht="15.75" customHeight="1" x14ac:dyDescent="0.25">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9:144" ht="15.75" customHeight="1" x14ac:dyDescent="0.25">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9:144" ht="15.75" customHeight="1" x14ac:dyDescent="0.25">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9:144" ht="15.75" customHeight="1" x14ac:dyDescent="0.25">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9:144" ht="15.75" customHeight="1" x14ac:dyDescent="0.25">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row r="82" spans="9:144" ht="15.75" customHeight="1" x14ac:dyDescent="0.25">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row>
    <row r="83" spans="9:144" ht="15.75" customHeight="1" x14ac:dyDescent="0.25">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row>
    <row r="84" spans="9:144" ht="15.75" customHeight="1" x14ac:dyDescent="0.25">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row>
    <row r="85" spans="9:144" ht="15.75" customHeight="1" x14ac:dyDescent="0.25">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row>
    <row r="86" spans="9:144" ht="15.75" customHeight="1" x14ac:dyDescent="0.25">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row>
    <row r="87" spans="9:144" ht="15.75" customHeight="1" x14ac:dyDescent="0.25">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row>
    <row r="88" spans="9:144" ht="15.75" customHeight="1" x14ac:dyDescent="0.25">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row>
    <row r="89" spans="9:144" ht="15.75" customHeight="1" x14ac:dyDescent="0.25">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row>
    <row r="90" spans="9:144" ht="15.75" customHeight="1" x14ac:dyDescent="0.25">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row>
    <row r="91" spans="9:144" ht="15.75" customHeight="1" x14ac:dyDescent="0.25">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row>
    <row r="92" spans="9:144" ht="15.75" customHeight="1" x14ac:dyDescent="0.25">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row>
    <row r="93" spans="9:144" ht="15.75" customHeight="1" x14ac:dyDescent="0.25">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row>
    <row r="94" spans="9:144" ht="15.75" customHeight="1" x14ac:dyDescent="0.25">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row>
    <row r="95" spans="9:144" ht="15.75" customHeight="1" x14ac:dyDescent="0.25">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row>
    <row r="96" spans="9:144" ht="15.75" customHeight="1" x14ac:dyDescent="0.25">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row>
    <row r="97" spans="9:144" ht="15.75" customHeight="1" x14ac:dyDescent="0.25">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row>
    <row r="98" spans="9:144" ht="15.75" customHeight="1" x14ac:dyDescent="0.25">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row>
    <row r="99" spans="9:144" ht="15.75" customHeight="1" x14ac:dyDescent="0.25">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row>
    <row r="100" spans="9:144" ht="15.75" customHeight="1" x14ac:dyDescent="0.25">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row>
    <row r="101" spans="9:144" ht="15.75" customHeight="1" x14ac:dyDescent="0.25">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row>
    <row r="102" spans="9:144" ht="15.75" customHeight="1" x14ac:dyDescent="0.25">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row>
    <row r="103" spans="9:144" ht="15.75" customHeight="1" x14ac:dyDescent="0.25">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row>
    <row r="104" spans="9:144" ht="15.75" customHeight="1" x14ac:dyDescent="0.25">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row>
    <row r="105" spans="9:144" ht="15.75" customHeight="1" x14ac:dyDescent="0.25">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row>
    <row r="106" spans="9:144" ht="15.75" customHeight="1" x14ac:dyDescent="0.25">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row>
    <row r="107" spans="9:144" ht="15.75" customHeight="1" x14ac:dyDescent="0.25">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row>
    <row r="108" spans="9:144" ht="15.75" customHeight="1" x14ac:dyDescent="0.25">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row>
    <row r="109" spans="9:144" ht="15.75" customHeight="1" x14ac:dyDescent="0.25">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row>
    <row r="110" spans="9:144" ht="15.75" customHeight="1" x14ac:dyDescent="0.25">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row>
    <row r="111" spans="9:144" ht="15.75" customHeight="1" x14ac:dyDescent="0.25">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row>
    <row r="112" spans="9:144" ht="15.75" customHeight="1" x14ac:dyDescent="0.25">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row>
    <row r="113" spans="9:144" ht="15.75" customHeight="1" x14ac:dyDescent="0.25">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row>
    <row r="114" spans="9:144" ht="15.75" customHeight="1" x14ac:dyDescent="0.25">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row>
    <row r="115" spans="9:144" ht="15.75" customHeight="1" x14ac:dyDescent="0.25">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row>
    <row r="116" spans="9:144" ht="15.75" customHeight="1" x14ac:dyDescent="0.25">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row>
    <row r="117" spans="9:144" ht="15.75" customHeight="1" x14ac:dyDescent="0.25">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row>
    <row r="118" spans="9:144" ht="15.75" customHeight="1" x14ac:dyDescent="0.25">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row>
    <row r="119" spans="9:144" ht="15.75" customHeight="1" x14ac:dyDescent="0.25">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row>
    <row r="120" spans="9:144" ht="15.75" customHeight="1" x14ac:dyDescent="0.25">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row>
    <row r="121" spans="9:144" ht="15.75" customHeight="1" x14ac:dyDescent="0.25">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row>
    <row r="122" spans="9:144" ht="15.75" customHeight="1" x14ac:dyDescent="0.25">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row>
    <row r="123" spans="9:144" ht="15.75" customHeight="1" x14ac:dyDescent="0.25">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row>
    <row r="124" spans="9:144" ht="15.75" customHeight="1" x14ac:dyDescent="0.25">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row>
    <row r="125" spans="9:144" ht="15.75" customHeight="1" x14ac:dyDescent="0.25">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row>
    <row r="126" spans="9:144" ht="15.75" customHeight="1" x14ac:dyDescent="0.25">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row>
    <row r="127" spans="9:144" ht="15.75" customHeight="1" x14ac:dyDescent="0.25">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row>
    <row r="128" spans="9:144" ht="15.75" customHeight="1" x14ac:dyDescent="0.25">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row>
    <row r="129" spans="9:144" ht="15.75" customHeight="1" x14ac:dyDescent="0.25">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row>
    <row r="130" spans="9:144" ht="15.75" customHeight="1" x14ac:dyDescent="0.25">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row>
    <row r="131" spans="9:144" ht="15.75" customHeight="1" x14ac:dyDescent="0.25">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row>
    <row r="132" spans="9:144" ht="15.75" customHeight="1" x14ac:dyDescent="0.25">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row>
    <row r="133" spans="9:144" ht="15.75" customHeight="1" x14ac:dyDescent="0.25">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row>
    <row r="134" spans="9:144" ht="15.75" customHeight="1" x14ac:dyDescent="0.25">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row>
    <row r="135" spans="9:144" ht="15.75" customHeight="1" x14ac:dyDescent="0.25">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row>
    <row r="136" spans="9:144" ht="15.75" customHeight="1" x14ac:dyDescent="0.25">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row>
    <row r="137" spans="9:144" ht="15.75" customHeight="1" x14ac:dyDescent="0.25">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row>
    <row r="138" spans="9:144" ht="15.75" customHeight="1" x14ac:dyDescent="0.25">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row>
    <row r="139" spans="9:144" ht="15.75" customHeight="1" x14ac:dyDescent="0.25">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row>
    <row r="140" spans="9:144" ht="15.75" customHeight="1" x14ac:dyDescent="0.25">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row>
    <row r="141" spans="9:144" ht="15.75" customHeight="1" x14ac:dyDescent="0.25">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9:144" ht="15.75" customHeight="1" x14ac:dyDescent="0.25">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row>
    <row r="143" spans="9:144" ht="15.75" customHeight="1" x14ac:dyDescent="0.25">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row>
    <row r="144" spans="9:144" ht="15.75" customHeight="1" x14ac:dyDescent="0.25">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row>
    <row r="145" spans="9:144" ht="15.75" customHeight="1" x14ac:dyDescent="0.25">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row>
    <row r="146" spans="9:144" ht="15.75" customHeight="1" x14ac:dyDescent="0.25">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row>
    <row r="147" spans="9:144" ht="15.75" customHeight="1" x14ac:dyDescent="0.25">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row>
    <row r="148" spans="9:144" ht="15.75" customHeight="1" x14ac:dyDescent="0.25">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row>
    <row r="149" spans="9:144" ht="15.75" customHeight="1" x14ac:dyDescent="0.25">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row>
    <row r="150" spans="9:144" ht="15.75" customHeight="1" x14ac:dyDescent="0.25">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row>
    <row r="151" spans="9:144" ht="15.75" customHeight="1" x14ac:dyDescent="0.25">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row>
    <row r="152" spans="9:144" ht="15.75" customHeight="1" x14ac:dyDescent="0.25">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row>
    <row r="153" spans="9:144" ht="15.75" customHeight="1" x14ac:dyDescent="0.25">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row>
    <row r="154" spans="9:144" ht="15.75" customHeight="1" x14ac:dyDescent="0.25">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row>
    <row r="155" spans="9:144" ht="15.75" customHeight="1" x14ac:dyDescent="0.25">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row>
    <row r="156" spans="9:144" ht="15.75" customHeight="1" x14ac:dyDescent="0.25">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row>
    <row r="157" spans="9:144" ht="15.75" customHeight="1" x14ac:dyDescent="0.25">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row>
    <row r="158" spans="9:144" ht="15.75" customHeight="1" x14ac:dyDescent="0.25">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row>
    <row r="159" spans="9:144" ht="15.75" customHeight="1" x14ac:dyDescent="0.25">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row>
    <row r="160" spans="9:144" ht="15.75" customHeight="1" x14ac:dyDescent="0.25">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row>
    <row r="161" spans="9:144" ht="15.75" customHeight="1" x14ac:dyDescent="0.25">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row>
    <row r="162" spans="9:144" ht="15.75" customHeight="1" x14ac:dyDescent="0.25">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row>
    <row r="163" spans="9:144" ht="15.75" customHeight="1" x14ac:dyDescent="0.25">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row>
    <row r="164" spans="9:144" ht="15.75" customHeight="1" x14ac:dyDescent="0.25">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row>
    <row r="165" spans="9:144" ht="15.75" customHeight="1" x14ac:dyDescent="0.25">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row>
    <row r="166" spans="9:144" ht="15.75" customHeight="1" x14ac:dyDescent="0.25">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row>
    <row r="167" spans="9:144" ht="15.75" customHeight="1" x14ac:dyDescent="0.25">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row>
    <row r="168" spans="9:144" ht="15.75" customHeight="1" x14ac:dyDescent="0.25">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row>
    <row r="169" spans="9:144" ht="15.75" customHeight="1" x14ac:dyDescent="0.25">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row>
    <row r="170" spans="9:144" ht="15.75" customHeight="1" x14ac:dyDescent="0.25">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row>
    <row r="171" spans="9:144" ht="15.75" customHeight="1" x14ac:dyDescent="0.25">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row>
    <row r="172" spans="9:144" ht="15.75" customHeight="1" x14ac:dyDescent="0.25">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row>
    <row r="173" spans="9:144" ht="15.75" customHeight="1" x14ac:dyDescent="0.25">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row>
    <row r="174" spans="9:144" ht="15.75" customHeight="1" x14ac:dyDescent="0.25">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row>
    <row r="175" spans="9:144" ht="15.75" customHeight="1" x14ac:dyDescent="0.25">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row>
    <row r="176" spans="9:144" ht="15.75" customHeight="1" x14ac:dyDescent="0.25">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row>
    <row r="177" spans="9:144" ht="15.75" customHeight="1" x14ac:dyDescent="0.25">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row>
    <row r="178" spans="9:144" ht="15.75" customHeight="1" x14ac:dyDescent="0.25">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row>
    <row r="179" spans="9:144" ht="15.75" customHeight="1" x14ac:dyDescent="0.25">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row>
    <row r="180" spans="9:144" ht="15.75" customHeight="1" x14ac:dyDescent="0.25">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row>
    <row r="181" spans="9:144" ht="15.75" customHeight="1" x14ac:dyDescent="0.25">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row>
    <row r="182" spans="9:144" ht="15.75" customHeight="1" x14ac:dyDescent="0.25">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row>
    <row r="183" spans="9:144" ht="15.75" customHeight="1" x14ac:dyDescent="0.25">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row>
    <row r="184" spans="9:144" ht="15.75" customHeight="1" x14ac:dyDescent="0.25">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row>
    <row r="185" spans="9:144" ht="15.75" customHeight="1" x14ac:dyDescent="0.25">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row>
    <row r="186" spans="9:144" ht="15.75" customHeight="1" x14ac:dyDescent="0.25">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row>
    <row r="187" spans="9:144" ht="15.75" customHeight="1" x14ac:dyDescent="0.25">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row>
    <row r="188" spans="9:144" ht="15.75" customHeight="1" x14ac:dyDescent="0.25">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row>
    <row r="189" spans="9:144" ht="15.75" customHeight="1" x14ac:dyDescent="0.25">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row>
    <row r="190" spans="9:144" ht="15.75" customHeight="1" x14ac:dyDescent="0.25">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row>
    <row r="191" spans="9:144" ht="15.75" customHeight="1" x14ac:dyDescent="0.25">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row>
    <row r="192" spans="9:144" ht="15.75" customHeight="1" x14ac:dyDescent="0.25">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row>
    <row r="193" spans="9:144" ht="15.75" customHeight="1" x14ac:dyDescent="0.25">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row>
    <row r="194" spans="9:144" ht="15.75" customHeight="1" x14ac:dyDescent="0.25">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row>
    <row r="195" spans="9:144" ht="15.75" customHeight="1" x14ac:dyDescent="0.25">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row>
    <row r="196" spans="9:144" ht="15.75" customHeight="1" x14ac:dyDescent="0.25">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row>
    <row r="197" spans="9:144" ht="15.75" customHeight="1" x14ac:dyDescent="0.25">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row>
    <row r="198" spans="9:144" ht="15.75" customHeight="1" x14ac:dyDescent="0.25">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row>
    <row r="199" spans="9:144" ht="15.75" customHeight="1" x14ac:dyDescent="0.25">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row>
    <row r="200" spans="9:144" ht="15.75" customHeight="1" x14ac:dyDescent="0.25">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row>
    <row r="201" spans="9:144" ht="15.75" customHeight="1" x14ac:dyDescent="0.25">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row>
    <row r="202" spans="9:144" ht="15.75" customHeight="1" x14ac:dyDescent="0.25">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row>
    <row r="203" spans="9:144" ht="15.75" customHeight="1" x14ac:dyDescent="0.25">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row>
    <row r="204" spans="9:144" ht="15.75" customHeight="1" x14ac:dyDescent="0.25">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row>
    <row r="205" spans="9:144" ht="15.75" customHeight="1" x14ac:dyDescent="0.25">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row>
    <row r="206" spans="9:144" ht="15.75" customHeight="1" x14ac:dyDescent="0.25">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row>
    <row r="207" spans="9:144" ht="15.75" customHeight="1" x14ac:dyDescent="0.25">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row>
    <row r="208" spans="9:144" ht="15.75" customHeight="1" x14ac:dyDescent="0.25">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row>
    <row r="209" spans="9:144" ht="15.75" customHeight="1" x14ac:dyDescent="0.25">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row>
    <row r="210" spans="9:144" ht="15.75" customHeight="1" x14ac:dyDescent="0.25">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row>
    <row r="211" spans="9:144" ht="15.75" customHeight="1" x14ac:dyDescent="0.25">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row>
    <row r="212" spans="9:144" ht="15.75" customHeight="1" x14ac:dyDescent="0.25">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row>
    <row r="213" spans="9:144" ht="15.75" customHeight="1" x14ac:dyDescent="0.25">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row>
    <row r="214" spans="9:144" ht="15.75" customHeight="1" x14ac:dyDescent="0.25">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row>
    <row r="215" spans="9:144" ht="15.75" customHeight="1" x14ac:dyDescent="0.25">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row>
    <row r="216" spans="9:144" ht="15.75" customHeight="1" x14ac:dyDescent="0.25">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row>
    <row r="217" spans="9:144" ht="15.75" customHeight="1" x14ac:dyDescent="0.25">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row>
    <row r="218" spans="9:144" ht="15.75" customHeight="1" x14ac:dyDescent="0.25">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row>
    <row r="219" spans="9:144" ht="15.75" customHeight="1" x14ac:dyDescent="0.25">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row>
    <row r="220" spans="9:144" ht="15.75" customHeight="1" x14ac:dyDescent="0.25">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row>
  </sheetData>
  <mergeCells count="37">
    <mergeCell ref="EV10:EV12"/>
    <mergeCell ref="EW10:EW12"/>
    <mergeCell ref="EX10:EX12"/>
    <mergeCell ref="EY10:EY12"/>
    <mergeCell ref="E18:K18"/>
    <mergeCell ref="L18:R18"/>
    <mergeCell ref="DP11:ES11"/>
    <mergeCell ref="J10:ES10"/>
    <mergeCell ref="ET10:ET12"/>
    <mergeCell ref="EU10:EU12"/>
    <mergeCell ref="E19:K19"/>
    <mergeCell ref="L19:R19"/>
    <mergeCell ref="E20:K20"/>
    <mergeCell ref="L20:R20"/>
    <mergeCell ref="A8:F8"/>
    <mergeCell ref="G8:FC8"/>
    <mergeCell ref="A10:I10"/>
    <mergeCell ref="EZ10:EZ12"/>
    <mergeCell ref="FA10:FA12"/>
    <mergeCell ref="FB10:FB12"/>
    <mergeCell ref="FC10:FC12"/>
    <mergeCell ref="A11:I11"/>
    <mergeCell ref="J11:AC11"/>
    <mergeCell ref="AD11:BG11"/>
    <mergeCell ref="BH11:CK11"/>
    <mergeCell ref="CL11:DO11"/>
    <mergeCell ref="A5:F5"/>
    <mergeCell ref="G5:FC5"/>
    <mergeCell ref="A6:F6"/>
    <mergeCell ref="G6:FC6"/>
    <mergeCell ref="A7:F7"/>
    <mergeCell ref="G7:FC7"/>
    <mergeCell ref="A2:F4"/>
    <mergeCell ref="G2:FC2"/>
    <mergeCell ref="G3:FC3"/>
    <mergeCell ref="G4:EN4"/>
    <mergeCell ref="EO4:FC4"/>
  </mergeCells>
  <dataValidations count="2">
    <dataValidation type="custom" allowBlank="1" showErrorMessage="1" sqref="EY13 FB13" xr:uid="{00000000-0002-0000-0000-000000000000}">
      <formula1>LT(LEN(EY13),(2000))</formula1>
    </dataValidation>
    <dataValidation type="custom" allowBlank="1" showErrorMessage="1" sqref="EZ13:FA13" xr:uid="{00000000-0002-0000-0000-000001000000}">
      <formula1>LT(LEN(EZ13),(500))</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253"/>
  <sheetViews>
    <sheetView showGridLines="0" zoomScale="51" zoomScaleNormal="51" zoomScaleSheetLayoutView="85" workbookViewId="0">
      <selection activeCell="EP45" sqref="EP45"/>
    </sheetView>
  </sheetViews>
  <sheetFormatPr baseColWidth="10" defaultColWidth="14.42578125" defaultRowHeight="15" customHeight="1" x14ac:dyDescent="0.25"/>
  <cols>
    <col min="1" max="1" width="10.42578125" customWidth="1"/>
    <col min="2" max="2" width="7.28515625" customWidth="1"/>
    <col min="3" max="3" width="14.7109375" customWidth="1"/>
    <col min="4" max="4" width="11.7109375" customWidth="1"/>
    <col min="5" max="5" width="14.140625" customWidth="1"/>
    <col min="6" max="6" width="15.42578125" customWidth="1"/>
    <col min="7" max="7" width="30.42578125" customWidth="1"/>
    <col min="8" max="8" width="22.7109375" hidden="1" customWidth="1"/>
    <col min="9" max="10" width="17" hidden="1" customWidth="1"/>
    <col min="11" max="13" width="16.28515625" hidden="1" customWidth="1"/>
    <col min="14" max="14" width="19.5703125" hidden="1" customWidth="1"/>
    <col min="15" max="20" width="16.28515625" hidden="1" customWidth="1"/>
    <col min="21" max="21" width="22.42578125" hidden="1" customWidth="1"/>
    <col min="22" max="25" width="24" hidden="1" customWidth="1"/>
    <col min="26" max="26" width="27.42578125" customWidth="1"/>
    <col min="27" max="27" width="24" customWidth="1"/>
    <col min="28" max="28" width="24.140625" hidden="1" customWidth="1"/>
    <col min="29" max="29" width="21.5703125" hidden="1" customWidth="1"/>
    <col min="30" max="30" width="18.28515625" hidden="1" customWidth="1"/>
    <col min="31" max="31" width="20.42578125" hidden="1" customWidth="1"/>
    <col min="32" max="32" width="21.85546875" hidden="1" customWidth="1"/>
    <col min="33" max="33" width="21.5703125" hidden="1" customWidth="1"/>
    <col min="34" max="34" width="20" hidden="1" customWidth="1"/>
    <col min="35" max="35" width="21" hidden="1" customWidth="1"/>
    <col min="36" max="39" width="18.28515625" hidden="1" customWidth="1"/>
    <col min="40" max="40" width="22.140625" hidden="1" customWidth="1"/>
    <col min="41" max="41" width="21.28515625" hidden="1" customWidth="1"/>
    <col min="42" max="42" width="18.28515625" hidden="1" customWidth="1"/>
    <col min="43" max="43" width="22.140625" hidden="1" customWidth="1"/>
    <col min="44" max="44" width="18.140625" hidden="1" customWidth="1"/>
    <col min="45" max="45" width="18.5703125" hidden="1" customWidth="1"/>
    <col min="46" max="46" width="18.140625" hidden="1" customWidth="1"/>
    <col min="47" max="47" width="19.5703125" hidden="1" customWidth="1"/>
    <col min="48" max="48" width="17.42578125" hidden="1" customWidth="1"/>
    <col min="49" max="49" width="20" hidden="1" customWidth="1"/>
    <col min="50" max="50" width="20.28515625" hidden="1" customWidth="1"/>
    <col min="51" max="51" width="20.7109375" hidden="1" customWidth="1"/>
    <col min="52" max="52" width="17.85546875" hidden="1" customWidth="1"/>
    <col min="53" max="53" width="22.42578125" hidden="1" customWidth="1"/>
    <col min="54" max="54" width="22.85546875" hidden="1" customWidth="1"/>
    <col min="55" max="55" width="22.42578125" hidden="1" customWidth="1"/>
    <col min="56" max="56" width="25.42578125" customWidth="1"/>
    <col min="57" max="57" width="28.28515625" customWidth="1"/>
    <col min="58" max="60" width="22.5703125" hidden="1" customWidth="1"/>
    <col min="61" max="63" width="18.28515625" hidden="1" customWidth="1"/>
    <col min="64" max="64" width="18.140625" hidden="1" customWidth="1"/>
    <col min="65" max="66" width="18.28515625" hidden="1" customWidth="1"/>
    <col min="67" max="67" width="20.85546875" hidden="1" customWidth="1"/>
    <col min="68" max="74" width="18.28515625" hidden="1" customWidth="1"/>
    <col min="75" max="75" width="20.28515625" hidden="1" customWidth="1"/>
    <col min="76" max="76" width="15.7109375" hidden="1" customWidth="1"/>
    <col min="77" max="77" width="19" hidden="1" customWidth="1"/>
    <col min="78" max="80" width="15.7109375" hidden="1" customWidth="1"/>
    <col min="81" max="81" width="20" hidden="1" customWidth="1"/>
    <col min="82" max="82" width="21.85546875" hidden="1" customWidth="1"/>
    <col min="83" max="83" width="28.5703125" hidden="1" customWidth="1"/>
    <col min="84" max="84" width="22.5703125" hidden="1" customWidth="1"/>
    <col min="85" max="85" width="21.5703125" hidden="1" customWidth="1"/>
    <col min="86" max="86" width="30" customWidth="1"/>
    <col min="87" max="87" width="26.5703125" customWidth="1"/>
    <col min="88" max="88" width="24.5703125" hidden="1" customWidth="1"/>
    <col min="89" max="90" width="23.42578125" hidden="1" customWidth="1"/>
    <col min="91" max="92" width="23.85546875" hidden="1" customWidth="1"/>
    <col min="93" max="95" width="24" hidden="1" customWidth="1"/>
    <col min="96" max="98" width="21.42578125" hidden="1" customWidth="1"/>
    <col min="99" max="99" width="25.28515625" hidden="1" customWidth="1"/>
    <col min="100" max="100" width="21.7109375" hidden="1" customWidth="1"/>
    <col min="101" max="101" width="21.42578125" hidden="1" customWidth="1"/>
    <col min="102" max="102" width="23.28515625" hidden="1" customWidth="1"/>
    <col min="103" max="112" width="23.85546875" hidden="1" customWidth="1"/>
    <col min="113" max="113" width="24.7109375" hidden="1" customWidth="1"/>
    <col min="114" max="114" width="28.42578125" hidden="1" customWidth="1"/>
    <col min="115" max="115" width="24.28515625" hidden="1" customWidth="1"/>
    <col min="116" max="116" width="25.5703125" customWidth="1"/>
    <col min="117" max="117" width="25.140625" customWidth="1"/>
    <col min="118" max="118" width="27.28515625" customWidth="1"/>
    <col min="119" max="121" width="26.7109375" customWidth="1"/>
    <col min="122" max="122" width="22.28515625" customWidth="1"/>
    <col min="123" max="123" width="20.85546875" customWidth="1"/>
    <col min="124" max="124" width="25" customWidth="1"/>
    <col min="125" max="125" width="24.85546875" customWidth="1"/>
    <col min="126" max="126" width="23.42578125" customWidth="1"/>
    <col min="127" max="127" width="26.42578125" customWidth="1"/>
    <col min="128" max="128" width="27.28515625" customWidth="1"/>
    <col min="129" max="141" width="16.28515625" hidden="1" customWidth="1"/>
    <col min="142" max="142" width="23" hidden="1" customWidth="1"/>
    <col min="143" max="144" width="29" customWidth="1"/>
    <col min="145" max="145" width="31.5703125" customWidth="1"/>
    <col min="146" max="146" width="25.42578125" customWidth="1"/>
    <col min="147" max="147" width="26.42578125" customWidth="1"/>
    <col min="148" max="152" width="28.5703125" customWidth="1"/>
    <col min="153" max="153" width="73.7109375" customWidth="1"/>
    <col min="154" max="154" width="15.28515625" customWidth="1"/>
    <col min="155" max="155" width="22.7109375" customWidth="1"/>
    <col min="156" max="156" width="56.42578125" customWidth="1"/>
    <col min="157" max="157" width="42.140625" customWidth="1"/>
    <col min="158" max="158" width="14.42578125" style="276"/>
  </cols>
  <sheetData>
    <row r="1" spans="1:158" ht="47.25" customHeight="1" thickBot="1" x14ac:dyDescent="0.3">
      <c r="A1" s="659"/>
      <c r="B1" s="577"/>
      <c r="C1" s="577"/>
      <c r="D1" s="577"/>
      <c r="E1" s="577"/>
      <c r="F1" s="582" t="s">
        <v>0</v>
      </c>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c r="BD1" s="583"/>
      <c r="BE1" s="583"/>
      <c r="BF1" s="583"/>
      <c r="BG1" s="583"/>
      <c r="BH1" s="583"/>
      <c r="BI1" s="583"/>
      <c r="BJ1" s="583"/>
      <c r="BK1" s="583"/>
      <c r="BL1" s="583"/>
      <c r="BM1" s="583"/>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H1" s="583"/>
      <c r="EI1" s="583"/>
      <c r="EJ1" s="583"/>
      <c r="EK1" s="583"/>
      <c r="EL1" s="583"/>
      <c r="EM1" s="583"/>
      <c r="EN1" s="583"/>
      <c r="EO1" s="583"/>
      <c r="EP1" s="583"/>
      <c r="EQ1" s="583"/>
      <c r="ER1" s="583"/>
      <c r="ES1" s="583"/>
      <c r="ET1" s="583"/>
      <c r="EU1" s="583"/>
      <c r="EV1" s="583"/>
      <c r="EW1" s="583"/>
      <c r="EX1" s="583"/>
      <c r="EY1" s="583"/>
      <c r="EZ1" s="583"/>
      <c r="FA1" s="586"/>
    </row>
    <row r="2" spans="1:158" ht="44.25" customHeight="1" thickBot="1" x14ac:dyDescent="0.3">
      <c r="A2" s="578"/>
      <c r="B2" s="579"/>
      <c r="C2" s="579"/>
      <c r="D2" s="579"/>
      <c r="E2" s="579"/>
      <c r="F2" s="585" t="s">
        <v>188</v>
      </c>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583"/>
      <c r="CI2" s="583"/>
      <c r="CJ2" s="583"/>
      <c r="CK2" s="583"/>
      <c r="CL2" s="583"/>
      <c r="CM2" s="583"/>
      <c r="CN2" s="583"/>
      <c r="CO2" s="583"/>
      <c r="CP2" s="583"/>
      <c r="CQ2" s="583"/>
      <c r="CR2" s="583"/>
      <c r="CS2" s="583"/>
      <c r="CT2" s="583"/>
      <c r="CU2" s="583"/>
      <c r="CV2" s="583"/>
      <c r="CW2" s="583"/>
      <c r="CX2" s="583"/>
      <c r="CY2" s="583"/>
      <c r="CZ2" s="583"/>
      <c r="DA2" s="583"/>
      <c r="DB2" s="583"/>
      <c r="DC2" s="583"/>
      <c r="DD2" s="583"/>
      <c r="DE2" s="583"/>
      <c r="DF2" s="583"/>
      <c r="DG2" s="583"/>
      <c r="DH2" s="583"/>
      <c r="DI2" s="583"/>
      <c r="DJ2" s="583"/>
      <c r="DK2" s="583"/>
      <c r="DL2" s="583"/>
      <c r="DM2" s="583"/>
      <c r="DN2" s="583"/>
      <c r="DO2" s="583"/>
      <c r="DP2" s="583"/>
      <c r="DQ2" s="583"/>
      <c r="DR2" s="583"/>
      <c r="DS2" s="583"/>
      <c r="DT2" s="583"/>
      <c r="DU2" s="583"/>
      <c r="DV2" s="583"/>
      <c r="DW2" s="583"/>
      <c r="DX2" s="583"/>
      <c r="DY2" s="583"/>
      <c r="DZ2" s="583"/>
      <c r="EA2" s="583"/>
      <c r="EB2" s="583"/>
      <c r="EC2" s="583"/>
      <c r="ED2" s="583"/>
      <c r="EE2" s="583"/>
      <c r="EF2" s="583"/>
      <c r="EG2" s="583"/>
      <c r="EH2" s="583"/>
      <c r="EI2" s="583"/>
      <c r="EJ2" s="583"/>
      <c r="EK2" s="583"/>
      <c r="EL2" s="583"/>
      <c r="EM2" s="583"/>
      <c r="EN2" s="583"/>
      <c r="EO2" s="583"/>
      <c r="EP2" s="583"/>
      <c r="EQ2" s="583"/>
      <c r="ER2" s="583"/>
      <c r="ES2" s="583"/>
      <c r="ET2" s="583"/>
      <c r="EU2" s="583"/>
      <c r="EV2" s="583"/>
      <c r="EW2" s="583"/>
      <c r="EX2" s="583"/>
      <c r="EY2" s="583"/>
      <c r="EZ2" s="583"/>
      <c r="FA2" s="586"/>
    </row>
    <row r="3" spans="1:158" ht="27" thickBot="1" x14ac:dyDescent="0.3">
      <c r="A3" s="580"/>
      <c r="B3" s="581"/>
      <c r="C3" s="581"/>
      <c r="D3" s="581"/>
      <c r="E3" s="581"/>
      <c r="F3" s="265" t="s">
        <v>2</v>
      </c>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266"/>
      <c r="BX3" s="266"/>
      <c r="BY3" s="266"/>
      <c r="BZ3" s="266"/>
      <c r="CA3" s="266"/>
      <c r="CB3" s="266"/>
      <c r="CC3" s="266"/>
      <c r="CD3" s="266"/>
      <c r="CE3" s="266"/>
      <c r="CF3" s="266"/>
      <c r="CG3" s="266"/>
      <c r="CH3" s="266"/>
      <c r="CI3" s="266"/>
      <c r="CJ3" s="266"/>
      <c r="CK3" s="266"/>
      <c r="CL3" s="266"/>
      <c r="CM3" s="266"/>
      <c r="CN3" s="266"/>
      <c r="CO3" s="266"/>
      <c r="CP3" s="266"/>
      <c r="CQ3" s="266"/>
      <c r="CR3" s="266"/>
      <c r="CS3" s="266"/>
      <c r="CT3" s="266"/>
      <c r="CU3" s="266"/>
      <c r="CV3" s="266"/>
      <c r="CW3" s="266"/>
      <c r="CX3" s="266"/>
      <c r="CY3" s="266"/>
      <c r="CZ3" s="266"/>
      <c r="DA3" s="266"/>
      <c r="DB3" s="266"/>
      <c r="DC3" s="266"/>
      <c r="DD3" s="266"/>
      <c r="DE3" s="266"/>
      <c r="DF3" s="266"/>
      <c r="DG3" s="266"/>
      <c r="DH3" s="266"/>
      <c r="DI3" s="266"/>
      <c r="DJ3" s="266"/>
      <c r="DK3" s="266"/>
      <c r="DL3" s="266"/>
      <c r="DM3" s="266"/>
      <c r="DN3" s="266"/>
      <c r="DO3" s="266"/>
      <c r="DP3" s="266"/>
      <c r="DQ3" s="266"/>
      <c r="DR3" s="266"/>
      <c r="DS3" s="266"/>
      <c r="DT3" s="266"/>
      <c r="DU3" s="266"/>
      <c r="DV3" s="266"/>
      <c r="DW3" s="266"/>
      <c r="DX3" s="266"/>
      <c r="DY3" s="266"/>
      <c r="DZ3" s="266"/>
      <c r="EA3" s="266"/>
      <c r="EB3" s="266"/>
      <c r="EC3" s="266"/>
      <c r="ED3" s="266"/>
      <c r="EE3" s="266"/>
      <c r="EF3" s="266"/>
      <c r="EG3" s="266"/>
      <c r="EH3" s="266"/>
      <c r="EI3" s="266"/>
      <c r="EJ3" s="266"/>
      <c r="EK3" s="266"/>
      <c r="EL3" s="266"/>
      <c r="EM3" s="266"/>
      <c r="EN3" s="267"/>
      <c r="EO3" s="660" t="s">
        <v>3</v>
      </c>
      <c r="EP3" s="583"/>
      <c r="EQ3" s="583"/>
      <c r="ER3" s="583"/>
      <c r="ES3" s="583"/>
      <c r="ET3" s="583"/>
      <c r="EU3" s="583"/>
      <c r="EV3" s="583"/>
      <c r="EW3" s="583"/>
      <c r="EX3" s="583"/>
      <c r="EY3" s="583"/>
      <c r="EZ3" s="583"/>
      <c r="FA3" s="586"/>
    </row>
    <row r="4" spans="1:158" ht="46.5" customHeight="1" thickBot="1" x14ac:dyDescent="0.3">
      <c r="A4" s="662" t="s">
        <v>4</v>
      </c>
      <c r="B4" s="583"/>
      <c r="C4" s="583"/>
      <c r="D4" s="583"/>
      <c r="E4" s="584"/>
      <c r="F4" s="623" t="s">
        <v>5</v>
      </c>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c r="BA4" s="624"/>
      <c r="BB4" s="624"/>
      <c r="BC4" s="624"/>
      <c r="BD4" s="624"/>
      <c r="BE4" s="624"/>
      <c r="BF4" s="624"/>
      <c r="BG4" s="624"/>
      <c r="BH4" s="624"/>
      <c r="BI4" s="624"/>
      <c r="BJ4" s="624"/>
      <c r="BK4" s="624"/>
      <c r="BL4" s="624"/>
      <c r="BM4" s="624"/>
      <c r="BN4" s="624"/>
      <c r="BO4" s="624"/>
      <c r="BP4" s="624"/>
      <c r="BQ4" s="624"/>
      <c r="BR4" s="624"/>
      <c r="BS4" s="624"/>
      <c r="BT4" s="624"/>
      <c r="BU4" s="624"/>
      <c r="BV4" s="624"/>
      <c r="BW4" s="624"/>
      <c r="BX4" s="624"/>
      <c r="BY4" s="624"/>
      <c r="BZ4" s="624"/>
      <c r="CA4" s="624"/>
      <c r="CB4" s="624"/>
      <c r="CC4" s="624"/>
      <c r="CD4" s="624"/>
      <c r="CE4" s="624"/>
      <c r="CF4" s="624"/>
      <c r="CG4" s="624"/>
      <c r="CH4" s="624"/>
      <c r="CI4" s="624"/>
      <c r="CJ4" s="624"/>
      <c r="CK4" s="624"/>
      <c r="CL4" s="624"/>
      <c r="CM4" s="624"/>
      <c r="CN4" s="624"/>
      <c r="CO4" s="624"/>
      <c r="CP4" s="624"/>
      <c r="CQ4" s="624"/>
      <c r="CR4" s="624"/>
      <c r="CS4" s="624"/>
      <c r="CT4" s="624"/>
      <c r="CU4" s="624"/>
      <c r="CV4" s="624"/>
      <c r="CW4" s="624"/>
      <c r="CX4" s="624"/>
      <c r="CY4" s="624"/>
      <c r="CZ4" s="624"/>
      <c r="DA4" s="624"/>
      <c r="DB4" s="624"/>
      <c r="DC4" s="624"/>
      <c r="DD4" s="624"/>
      <c r="DE4" s="624"/>
      <c r="DF4" s="624"/>
      <c r="DG4" s="624"/>
      <c r="DH4" s="624"/>
      <c r="DI4" s="624"/>
      <c r="DJ4" s="624"/>
      <c r="DK4" s="624"/>
      <c r="DL4" s="624"/>
      <c r="FA4" s="268"/>
    </row>
    <row r="5" spans="1:158" ht="33.75" customHeight="1" thickBot="1" x14ac:dyDescent="0.3">
      <c r="A5" s="662" t="s">
        <v>6</v>
      </c>
      <c r="B5" s="583"/>
      <c r="C5" s="583"/>
      <c r="D5" s="583"/>
      <c r="E5" s="584"/>
      <c r="F5" s="623" t="s">
        <v>189</v>
      </c>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4"/>
      <c r="AZ5" s="624"/>
      <c r="BA5" s="624"/>
      <c r="BB5" s="624"/>
      <c r="BC5" s="624"/>
      <c r="BD5" s="624"/>
      <c r="BE5" s="624"/>
      <c r="BF5" s="624"/>
      <c r="BG5" s="624"/>
      <c r="BH5" s="624"/>
      <c r="BI5" s="624"/>
      <c r="BJ5" s="624"/>
      <c r="BK5" s="624"/>
      <c r="BL5" s="624"/>
      <c r="BM5" s="624"/>
      <c r="BN5" s="624"/>
      <c r="BO5" s="624"/>
      <c r="BP5" s="624"/>
      <c r="BQ5" s="624"/>
      <c r="BR5" s="624"/>
      <c r="BS5" s="624"/>
      <c r="BT5" s="624"/>
      <c r="BU5" s="624"/>
      <c r="BV5" s="624"/>
      <c r="BW5" s="624"/>
      <c r="BX5" s="624"/>
      <c r="BY5" s="624"/>
      <c r="BZ5" s="624"/>
      <c r="CA5" s="624"/>
      <c r="CB5" s="624"/>
      <c r="CC5" s="624"/>
      <c r="CD5" s="624"/>
      <c r="CE5" s="624"/>
      <c r="CF5" s="624"/>
      <c r="CG5" s="624"/>
      <c r="CH5" s="624"/>
      <c r="CI5" s="624"/>
      <c r="CJ5" s="624"/>
      <c r="CK5" s="624"/>
      <c r="CL5" s="624"/>
      <c r="CM5" s="624"/>
      <c r="CN5" s="624"/>
      <c r="CO5" s="624"/>
      <c r="CP5" s="624"/>
      <c r="CQ5" s="624"/>
      <c r="CR5" s="624"/>
      <c r="CS5" s="624"/>
      <c r="CT5" s="624"/>
      <c r="CU5" s="624"/>
      <c r="CV5" s="624"/>
      <c r="CW5" s="624"/>
      <c r="CX5" s="624"/>
      <c r="CY5" s="624"/>
      <c r="CZ5" s="624"/>
      <c r="DA5" s="624"/>
      <c r="DB5" s="624"/>
      <c r="DC5" s="624"/>
      <c r="DD5" s="624"/>
      <c r="DE5" s="624"/>
      <c r="DF5" s="624"/>
      <c r="DG5" s="624"/>
      <c r="DH5" s="624"/>
      <c r="DI5" s="624"/>
      <c r="DJ5" s="624"/>
      <c r="DK5" s="624"/>
      <c r="DL5" s="624"/>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9"/>
    </row>
    <row r="6" spans="1:158" ht="16.5" thickBot="1" x14ac:dyDescent="0.3">
      <c r="A6" s="1"/>
      <c r="B6" s="1"/>
      <c r="C6" s="1"/>
      <c r="D6" s="32"/>
      <c r="E6" s="32"/>
      <c r="F6" s="33"/>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29"/>
      <c r="DJ6" s="34"/>
      <c r="DK6" s="35"/>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1"/>
      <c r="EN6" s="1"/>
      <c r="EO6" s="1"/>
      <c r="EP6" s="1"/>
      <c r="EQ6" s="1"/>
      <c r="ER6" s="2"/>
      <c r="ES6" s="36"/>
      <c r="ET6" s="36"/>
      <c r="EU6" s="1"/>
      <c r="EV6" s="1"/>
      <c r="EW6" s="1"/>
      <c r="EX6" s="1"/>
      <c r="EY6" s="1"/>
      <c r="EZ6" s="1"/>
      <c r="FA6" s="1"/>
    </row>
    <row r="7" spans="1:158" ht="32.25" customHeight="1" x14ac:dyDescent="0.25">
      <c r="A7" s="643" t="s">
        <v>190</v>
      </c>
      <c r="B7" s="577"/>
      <c r="C7" s="577"/>
      <c r="D7" s="577"/>
      <c r="E7" s="577"/>
      <c r="F7" s="577"/>
      <c r="G7" s="644"/>
      <c r="H7" s="667" t="s">
        <v>191</v>
      </c>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c r="BD7" s="583"/>
      <c r="BE7" s="583"/>
      <c r="BF7" s="583"/>
      <c r="BG7" s="583"/>
      <c r="BH7" s="583"/>
      <c r="BI7" s="583"/>
      <c r="BJ7" s="583"/>
      <c r="BK7" s="583"/>
      <c r="BL7" s="583"/>
      <c r="BM7" s="583"/>
      <c r="BN7" s="583"/>
      <c r="BO7" s="583"/>
      <c r="BP7" s="583"/>
      <c r="BQ7" s="583"/>
      <c r="BR7" s="583"/>
      <c r="BS7" s="583"/>
      <c r="BT7" s="583"/>
      <c r="BU7" s="583"/>
      <c r="BV7" s="583"/>
      <c r="BW7" s="583"/>
      <c r="BX7" s="583"/>
      <c r="BY7" s="583"/>
      <c r="BZ7" s="583"/>
      <c r="CA7" s="583"/>
      <c r="CB7" s="583"/>
      <c r="CC7" s="583"/>
      <c r="CD7" s="583"/>
      <c r="CE7" s="583"/>
      <c r="CF7" s="583"/>
      <c r="CG7" s="583"/>
      <c r="CH7" s="583"/>
      <c r="CI7" s="583"/>
      <c r="CJ7" s="583"/>
      <c r="CK7" s="583"/>
      <c r="CL7" s="583"/>
      <c r="CM7" s="583"/>
      <c r="CN7" s="583"/>
      <c r="CO7" s="583"/>
      <c r="CP7" s="583"/>
      <c r="CQ7" s="583"/>
      <c r="CR7" s="583"/>
      <c r="CS7" s="583"/>
      <c r="CT7" s="583"/>
      <c r="CU7" s="583"/>
      <c r="CV7" s="583"/>
      <c r="CW7" s="583"/>
      <c r="CX7" s="583"/>
      <c r="CY7" s="583"/>
      <c r="CZ7" s="583"/>
      <c r="DA7" s="583"/>
      <c r="DB7" s="583"/>
      <c r="DC7" s="583"/>
      <c r="DD7" s="583"/>
      <c r="DE7" s="583"/>
      <c r="DF7" s="583"/>
      <c r="DG7" s="583"/>
      <c r="DH7" s="583"/>
      <c r="DI7" s="583"/>
      <c r="DJ7" s="583"/>
      <c r="DK7" s="583"/>
      <c r="DL7" s="583"/>
      <c r="DM7" s="583"/>
      <c r="DN7" s="583"/>
      <c r="DO7" s="583"/>
      <c r="DP7" s="583"/>
      <c r="DQ7" s="583"/>
      <c r="DR7" s="583"/>
      <c r="DS7" s="583"/>
      <c r="DT7" s="583"/>
      <c r="DU7" s="583"/>
      <c r="DV7" s="583"/>
      <c r="DW7" s="583"/>
      <c r="DX7" s="583"/>
      <c r="DY7" s="583"/>
      <c r="DZ7" s="583"/>
      <c r="EA7" s="583"/>
      <c r="EB7" s="583"/>
      <c r="EC7" s="583"/>
      <c r="ED7" s="583"/>
      <c r="EE7" s="583"/>
      <c r="EF7" s="583"/>
      <c r="EG7" s="583"/>
      <c r="EH7" s="583"/>
      <c r="EI7" s="583"/>
      <c r="EJ7" s="583"/>
      <c r="EK7" s="583"/>
      <c r="EL7" s="583"/>
      <c r="EM7" s="583"/>
      <c r="EN7" s="583"/>
      <c r="EO7" s="583"/>
      <c r="EP7" s="583"/>
      <c r="EQ7" s="586"/>
      <c r="ER7" s="622" t="s">
        <v>14</v>
      </c>
      <c r="ES7" s="622" t="s">
        <v>15</v>
      </c>
      <c r="ET7" s="635" t="s">
        <v>16</v>
      </c>
      <c r="EU7" s="615" t="s">
        <v>192</v>
      </c>
      <c r="EV7" s="663" t="s">
        <v>18</v>
      </c>
      <c r="EW7" s="603" t="s">
        <v>856</v>
      </c>
      <c r="EX7" s="603" t="s">
        <v>193</v>
      </c>
      <c r="EY7" s="603" t="s">
        <v>194</v>
      </c>
      <c r="EZ7" s="603" t="s">
        <v>195</v>
      </c>
      <c r="FA7" s="607" t="s">
        <v>196</v>
      </c>
    </row>
    <row r="8" spans="1:158" ht="19.5" customHeight="1" thickBot="1" x14ac:dyDescent="0.3">
      <c r="A8" s="580"/>
      <c r="B8" s="581"/>
      <c r="C8" s="581"/>
      <c r="D8" s="581"/>
      <c r="E8" s="581"/>
      <c r="F8" s="581"/>
      <c r="G8" s="601"/>
      <c r="H8" s="610" t="s">
        <v>197</v>
      </c>
      <c r="I8" s="583"/>
      <c r="J8" s="583"/>
      <c r="K8" s="583"/>
      <c r="L8" s="583"/>
      <c r="M8" s="583"/>
      <c r="N8" s="583"/>
      <c r="O8" s="583"/>
      <c r="P8" s="583"/>
      <c r="Q8" s="583"/>
      <c r="R8" s="583"/>
      <c r="S8" s="583"/>
      <c r="T8" s="583"/>
      <c r="U8" s="583"/>
      <c r="V8" s="583"/>
      <c r="W8" s="583"/>
      <c r="X8" s="583"/>
      <c r="Y8" s="583"/>
      <c r="Z8" s="583"/>
      <c r="AA8" s="586"/>
      <c r="AB8" s="610" t="s">
        <v>198</v>
      </c>
      <c r="AC8" s="583"/>
      <c r="AD8" s="583"/>
      <c r="AE8" s="583"/>
      <c r="AF8" s="583"/>
      <c r="AG8" s="583"/>
      <c r="AH8" s="583"/>
      <c r="AI8" s="583"/>
      <c r="AJ8" s="583"/>
      <c r="AK8" s="583"/>
      <c r="AL8" s="583"/>
      <c r="AM8" s="583"/>
      <c r="AN8" s="583"/>
      <c r="AO8" s="583"/>
      <c r="AP8" s="583"/>
      <c r="AQ8" s="583"/>
      <c r="AR8" s="583"/>
      <c r="AS8" s="583"/>
      <c r="AT8" s="583"/>
      <c r="AU8" s="583"/>
      <c r="AV8" s="583"/>
      <c r="AW8" s="583"/>
      <c r="AX8" s="583"/>
      <c r="AY8" s="583"/>
      <c r="AZ8" s="583"/>
      <c r="BA8" s="583"/>
      <c r="BB8" s="583"/>
      <c r="BC8" s="583"/>
      <c r="BD8" s="583"/>
      <c r="BE8" s="586"/>
      <c r="BF8" s="610" t="s">
        <v>27</v>
      </c>
      <c r="BG8" s="583"/>
      <c r="BH8" s="583"/>
      <c r="BI8" s="583"/>
      <c r="BJ8" s="583"/>
      <c r="BK8" s="583"/>
      <c r="BL8" s="583"/>
      <c r="BM8" s="583"/>
      <c r="BN8" s="583"/>
      <c r="BO8" s="583"/>
      <c r="BP8" s="583"/>
      <c r="BQ8" s="583"/>
      <c r="BR8" s="583"/>
      <c r="BS8" s="583"/>
      <c r="BT8" s="583"/>
      <c r="BU8" s="583"/>
      <c r="BV8" s="583"/>
      <c r="BW8" s="583"/>
      <c r="BX8" s="583"/>
      <c r="BY8" s="583"/>
      <c r="BZ8" s="583"/>
      <c r="CA8" s="583"/>
      <c r="CB8" s="583"/>
      <c r="CC8" s="583"/>
      <c r="CD8" s="583"/>
      <c r="CE8" s="583"/>
      <c r="CF8" s="583"/>
      <c r="CG8" s="583"/>
      <c r="CH8" s="583"/>
      <c r="CI8" s="586"/>
      <c r="CJ8" s="631" t="s">
        <v>28</v>
      </c>
      <c r="CK8" s="632"/>
      <c r="CL8" s="632"/>
      <c r="CM8" s="632"/>
      <c r="CN8" s="632"/>
      <c r="CO8" s="632"/>
      <c r="CP8" s="632"/>
      <c r="CQ8" s="632"/>
      <c r="CR8" s="632"/>
      <c r="CS8" s="632"/>
      <c r="CT8" s="632"/>
      <c r="CU8" s="632"/>
      <c r="CV8" s="632"/>
      <c r="CW8" s="632"/>
      <c r="CX8" s="632"/>
      <c r="CY8" s="632"/>
      <c r="CZ8" s="632"/>
      <c r="DA8" s="632"/>
      <c r="DB8" s="632"/>
      <c r="DC8" s="632"/>
      <c r="DD8" s="632"/>
      <c r="DE8" s="632"/>
      <c r="DF8" s="632"/>
      <c r="DG8" s="632"/>
      <c r="DH8" s="632"/>
      <c r="DI8" s="632"/>
      <c r="DJ8" s="632"/>
      <c r="DK8" s="632"/>
      <c r="DL8" s="632"/>
      <c r="DM8" s="633"/>
      <c r="DN8" s="631" t="s">
        <v>29</v>
      </c>
      <c r="DO8" s="632"/>
      <c r="DP8" s="632"/>
      <c r="DQ8" s="632"/>
      <c r="DR8" s="632"/>
      <c r="DS8" s="632"/>
      <c r="DT8" s="632"/>
      <c r="DU8" s="632"/>
      <c r="DV8" s="632"/>
      <c r="DW8" s="632"/>
      <c r="DX8" s="632"/>
      <c r="DY8" s="632"/>
      <c r="DZ8" s="632"/>
      <c r="EA8" s="632"/>
      <c r="EB8" s="632"/>
      <c r="EC8" s="632"/>
      <c r="ED8" s="632"/>
      <c r="EE8" s="632"/>
      <c r="EF8" s="632"/>
      <c r="EG8" s="632"/>
      <c r="EH8" s="632"/>
      <c r="EI8" s="632"/>
      <c r="EJ8" s="632"/>
      <c r="EK8" s="632"/>
      <c r="EL8" s="632"/>
      <c r="EM8" s="632"/>
      <c r="EN8" s="632"/>
      <c r="EO8" s="632"/>
      <c r="EP8" s="632"/>
      <c r="EQ8" s="634"/>
      <c r="ER8" s="613"/>
      <c r="ES8" s="613"/>
      <c r="ET8" s="613"/>
      <c r="EU8" s="613"/>
      <c r="EV8" s="664"/>
      <c r="EW8" s="604"/>
      <c r="EX8" s="604"/>
      <c r="EY8" s="604"/>
      <c r="EZ8" s="604"/>
      <c r="FA8" s="608"/>
    </row>
    <row r="9" spans="1:158" ht="106.5" customHeight="1" thickBot="1" x14ac:dyDescent="0.3">
      <c r="A9" s="37" t="s">
        <v>199</v>
      </c>
      <c r="B9" s="38" t="s">
        <v>200</v>
      </c>
      <c r="C9" s="39" t="s">
        <v>201</v>
      </c>
      <c r="D9" s="39" t="s">
        <v>202</v>
      </c>
      <c r="E9" s="39" t="s">
        <v>203</v>
      </c>
      <c r="F9" s="39" t="s">
        <v>204</v>
      </c>
      <c r="G9" s="40" t="s">
        <v>205</v>
      </c>
      <c r="H9" s="41" t="s">
        <v>206</v>
      </c>
      <c r="I9" s="42" t="s">
        <v>207</v>
      </c>
      <c r="J9" s="43" t="s">
        <v>208</v>
      </c>
      <c r="K9" s="42" t="s">
        <v>209</v>
      </c>
      <c r="L9" s="43" t="s">
        <v>210</v>
      </c>
      <c r="M9" s="42" t="s">
        <v>211</v>
      </c>
      <c r="N9" s="43" t="s">
        <v>212</v>
      </c>
      <c r="O9" s="42" t="s">
        <v>213</v>
      </c>
      <c r="P9" s="43" t="s">
        <v>214</v>
      </c>
      <c r="Q9" s="42" t="s">
        <v>215</v>
      </c>
      <c r="R9" s="43" t="s">
        <v>216</v>
      </c>
      <c r="S9" s="42" t="s">
        <v>217</v>
      </c>
      <c r="T9" s="43" t="s">
        <v>218</v>
      </c>
      <c r="U9" s="42" t="s">
        <v>219</v>
      </c>
      <c r="V9" s="44" t="s">
        <v>220</v>
      </c>
      <c r="W9" s="45" t="s">
        <v>54</v>
      </c>
      <c r="X9" s="46" t="s">
        <v>55</v>
      </c>
      <c r="Y9" s="47" t="s">
        <v>56</v>
      </c>
      <c r="Z9" s="48" t="s">
        <v>57</v>
      </c>
      <c r="AA9" s="47" t="s">
        <v>58</v>
      </c>
      <c r="AB9" s="41" t="s">
        <v>221</v>
      </c>
      <c r="AC9" s="42" t="s">
        <v>222</v>
      </c>
      <c r="AD9" s="43" t="s">
        <v>223</v>
      </c>
      <c r="AE9" s="42" t="s">
        <v>224</v>
      </c>
      <c r="AF9" s="43" t="s">
        <v>225</v>
      </c>
      <c r="AG9" s="42" t="s">
        <v>226</v>
      </c>
      <c r="AH9" s="43" t="s">
        <v>227</v>
      </c>
      <c r="AI9" s="42" t="s">
        <v>228</v>
      </c>
      <c r="AJ9" s="43" t="s">
        <v>229</v>
      </c>
      <c r="AK9" s="42" t="s">
        <v>230</v>
      </c>
      <c r="AL9" s="43" t="s">
        <v>231</v>
      </c>
      <c r="AM9" s="42" t="s">
        <v>232</v>
      </c>
      <c r="AN9" s="43" t="s">
        <v>233</v>
      </c>
      <c r="AO9" s="42" t="s">
        <v>234</v>
      </c>
      <c r="AP9" s="43" t="s">
        <v>235</v>
      </c>
      <c r="AQ9" s="42" t="s">
        <v>236</v>
      </c>
      <c r="AR9" s="43" t="s">
        <v>237</v>
      </c>
      <c r="AS9" s="42" t="s">
        <v>238</v>
      </c>
      <c r="AT9" s="43" t="s">
        <v>239</v>
      </c>
      <c r="AU9" s="42" t="s">
        <v>240</v>
      </c>
      <c r="AV9" s="43" t="s">
        <v>241</v>
      </c>
      <c r="AW9" s="42" t="s">
        <v>242</v>
      </c>
      <c r="AX9" s="43" t="s">
        <v>243</v>
      </c>
      <c r="AY9" s="42" t="s">
        <v>244</v>
      </c>
      <c r="AZ9" s="44" t="s">
        <v>245</v>
      </c>
      <c r="BA9" s="45" t="s">
        <v>54</v>
      </c>
      <c r="BB9" s="46" t="s">
        <v>84</v>
      </c>
      <c r="BC9" s="47" t="s">
        <v>85</v>
      </c>
      <c r="BD9" s="48" t="s">
        <v>86</v>
      </c>
      <c r="BE9" s="47" t="s">
        <v>87</v>
      </c>
      <c r="BF9" s="41" t="s">
        <v>246</v>
      </c>
      <c r="BG9" s="49" t="s">
        <v>247</v>
      </c>
      <c r="BH9" s="50" t="s">
        <v>248</v>
      </c>
      <c r="BI9" s="49" t="s">
        <v>249</v>
      </c>
      <c r="BJ9" s="50" t="s">
        <v>250</v>
      </c>
      <c r="BK9" s="49" t="s">
        <v>251</v>
      </c>
      <c r="BL9" s="50" t="s">
        <v>252</v>
      </c>
      <c r="BM9" s="49" t="s">
        <v>253</v>
      </c>
      <c r="BN9" s="50" t="s">
        <v>254</v>
      </c>
      <c r="BO9" s="49" t="s">
        <v>255</v>
      </c>
      <c r="BP9" s="50" t="s">
        <v>256</v>
      </c>
      <c r="BQ9" s="49" t="s">
        <v>257</v>
      </c>
      <c r="BR9" s="50" t="s">
        <v>258</v>
      </c>
      <c r="BS9" s="49" t="s">
        <v>259</v>
      </c>
      <c r="BT9" s="50" t="s">
        <v>260</v>
      </c>
      <c r="BU9" s="49" t="s">
        <v>261</v>
      </c>
      <c r="BV9" s="50" t="s">
        <v>262</v>
      </c>
      <c r="BW9" s="49" t="s">
        <v>263</v>
      </c>
      <c r="BX9" s="50" t="s">
        <v>264</v>
      </c>
      <c r="BY9" s="49" t="s">
        <v>265</v>
      </c>
      <c r="BZ9" s="50" t="s">
        <v>266</v>
      </c>
      <c r="CA9" s="49" t="s">
        <v>267</v>
      </c>
      <c r="CB9" s="50" t="s">
        <v>268</v>
      </c>
      <c r="CC9" s="49" t="s">
        <v>269</v>
      </c>
      <c r="CD9" s="51" t="s">
        <v>270</v>
      </c>
      <c r="CE9" s="45" t="s">
        <v>54</v>
      </c>
      <c r="CF9" s="48" t="s">
        <v>113</v>
      </c>
      <c r="CG9" s="47" t="s">
        <v>114</v>
      </c>
      <c r="CH9" s="48" t="s">
        <v>115</v>
      </c>
      <c r="CI9" s="47" t="s">
        <v>116</v>
      </c>
      <c r="CJ9" s="41" t="s">
        <v>271</v>
      </c>
      <c r="CK9" s="49" t="s">
        <v>272</v>
      </c>
      <c r="CL9" s="50" t="s">
        <v>273</v>
      </c>
      <c r="CM9" s="49" t="s">
        <v>274</v>
      </c>
      <c r="CN9" s="50" t="s">
        <v>275</v>
      </c>
      <c r="CO9" s="49" t="s">
        <v>276</v>
      </c>
      <c r="CP9" s="50" t="s">
        <v>277</v>
      </c>
      <c r="CQ9" s="49" t="s">
        <v>278</v>
      </c>
      <c r="CR9" s="50" t="s">
        <v>279</v>
      </c>
      <c r="CS9" s="49" t="s">
        <v>280</v>
      </c>
      <c r="CT9" s="50" t="s">
        <v>281</v>
      </c>
      <c r="CU9" s="49" t="s">
        <v>282</v>
      </c>
      <c r="CV9" s="50" t="s">
        <v>283</v>
      </c>
      <c r="CW9" s="49" t="s">
        <v>284</v>
      </c>
      <c r="CX9" s="50" t="s">
        <v>285</v>
      </c>
      <c r="CY9" s="49" t="s">
        <v>286</v>
      </c>
      <c r="CZ9" s="50" t="s">
        <v>287</v>
      </c>
      <c r="DA9" s="49" t="s">
        <v>288</v>
      </c>
      <c r="DB9" s="50" t="s">
        <v>289</v>
      </c>
      <c r="DC9" s="49" t="s">
        <v>290</v>
      </c>
      <c r="DD9" s="50" t="s">
        <v>291</v>
      </c>
      <c r="DE9" s="49" t="s">
        <v>292</v>
      </c>
      <c r="DF9" s="50" t="s">
        <v>293</v>
      </c>
      <c r="DG9" s="49" t="s">
        <v>294</v>
      </c>
      <c r="DH9" s="50" t="s">
        <v>295</v>
      </c>
      <c r="DI9" s="52" t="s">
        <v>54</v>
      </c>
      <c r="DJ9" s="53" t="s">
        <v>142</v>
      </c>
      <c r="DK9" s="54" t="s">
        <v>143</v>
      </c>
      <c r="DL9" s="55" t="s">
        <v>144</v>
      </c>
      <c r="DM9" s="56" t="s">
        <v>145</v>
      </c>
      <c r="DN9" s="41" t="s">
        <v>296</v>
      </c>
      <c r="DO9" s="42" t="s">
        <v>297</v>
      </c>
      <c r="DP9" s="43" t="s">
        <v>298</v>
      </c>
      <c r="DQ9" s="42" t="s">
        <v>299</v>
      </c>
      <c r="DR9" s="43" t="s">
        <v>300</v>
      </c>
      <c r="DS9" s="42" t="s">
        <v>301</v>
      </c>
      <c r="DT9" s="43" t="s">
        <v>302</v>
      </c>
      <c r="DU9" s="42" t="s">
        <v>303</v>
      </c>
      <c r="DV9" s="43" t="s">
        <v>304</v>
      </c>
      <c r="DW9" s="42" t="s">
        <v>855</v>
      </c>
      <c r="DX9" s="43" t="s">
        <v>305</v>
      </c>
      <c r="DY9" s="42" t="s">
        <v>306</v>
      </c>
      <c r="DZ9" s="43" t="s">
        <v>307</v>
      </c>
      <c r="EA9" s="42" t="s">
        <v>308</v>
      </c>
      <c r="EB9" s="43" t="s">
        <v>309</v>
      </c>
      <c r="EC9" s="42" t="s">
        <v>310</v>
      </c>
      <c r="ED9" s="43" t="s">
        <v>311</v>
      </c>
      <c r="EE9" s="42" t="s">
        <v>312</v>
      </c>
      <c r="EF9" s="43" t="s">
        <v>313</v>
      </c>
      <c r="EG9" s="42" t="s">
        <v>314</v>
      </c>
      <c r="EH9" s="43" t="s">
        <v>315</v>
      </c>
      <c r="EI9" s="42" t="s">
        <v>316</v>
      </c>
      <c r="EJ9" s="43" t="s">
        <v>317</v>
      </c>
      <c r="EK9" s="42" t="s">
        <v>318</v>
      </c>
      <c r="EL9" s="43" t="s">
        <v>319</v>
      </c>
      <c r="EM9" s="57" t="s">
        <v>54</v>
      </c>
      <c r="EN9" s="53" t="s">
        <v>171</v>
      </c>
      <c r="EO9" s="56" t="s">
        <v>172</v>
      </c>
      <c r="EP9" s="55" t="s">
        <v>173</v>
      </c>
      <c r="EQ9" s="56" t="s">
        <v>174</v>
      </c>
      <c r="ER9" s="636"/>
      <c r="ES9" s="636"/>
      <c r="ET9" s="636"/>
      <c r="EU9" s="636"/>
      <c r="EV9" s="665"/>
      <c r="EW9" s="638"/>
      <c r="EX9" s="638"/>
      <c r="EY9" s="638"/>
      <c r="EZ9" s="638"/>
      <c r="FA9" s="637"/>
    </row>
    <row r="10" spans="1:158" ht="69.75" customHeight="1" x14ac:dyDescent="0.25">
      <c r="A10" s="642" t="s">
        <v>320</v>
      </c>
      <c r="B10" s="642">
        <v>1</v>
      </c>
      <c r="C10" s="645" t="s">
        <v>321</v>
      </c>
      <c r="D10" s="642" t="s">
        <v>178</v>
      </c>
      <c r="E10" s="642">
        <v>457</v>
      </c>
      <c r="F10" s="58" t="s">
        <v>322</v>
      </c>
      <c r="G10" s="379">
        <f>AA10+BE10+CI10+DL10+DN10</f>
        <v>24</v>
      </c>
      <c r="H10" s="380">
        <v>4</v>
      </c>
      <c r="I10" s="380"/>
      <c r="J10" s="380"/>
      <c r="K10" s="380">
        <v>4</v>
      </c>
      <c r="L10" s="379">
        <v>0.1</v>
      </c>
      <c r="M10" s="380">
        <v>4</v>
      </c>
      <c r="N10" s="381">
        <v>0.9</v>
      </c>
      <c r="O10" s="380">
        <v>4</v>
      </c>
      <c r="P10" s="381">
        <v>1.9</v>
      </c>
      <c r="Q10" s="380">
        <v>4</v>
      </c>
      <c r="R10" s="381">
        <v>2.65</v>
      </c>
      <c r="S10" s="380">
        <v>4</v>
      </c>
      <c r="T10" s="379">
        <v>3.5999999999999996</v>
      </c>
      <c r="U10" s="380">
        <v>4</v>
      </c>
      <c r="V10" s="382">
        <v>4</v>
      </c>
      <c r="W10" s="383">
        <v>4</v>
      </c>
      <c r="X10" s="383">
        <v>4</v>
      </c>
      <c r="Y10" s="383">
        <v>4</v>
      </c>
      <c r="Z10" s="383">
        <v>4</v>
      </c>
      <c r="AA10" s="383">
        <v>4</v>
      </c>
      <c r="AB10" s="379">
        <f>+AC10+AE10+AG10+AI10+AK10+AM10+AO10+AQ10+AS10+AU10+AW10+AY10</f>
        <v>3</v>
      </c>
      <c r="AC10" s="379">
        <v>0.13</v>
      </c>
      <c r="AD10" s="384">
        <v>0.13</v>
      </c>
      <c r="AE10" s="379">
        <v>0.15000000000000002</v>
      </c>
      <c r="AF10" s="384">
        <v>0.15000000000000002</v>
      </c>
      <c r="AG10" s="379">
        <v>0.15000000000000002</v>
      </c>
      <c r="AH10" s="379">
        <v>0.15000000000000002</v>
      </c>
      <c r="AI10" s="379">
        <v>0.24</v>
      </c>
      <c r="AJ10" s="379">
        <v>0.24</v>
      </c>
      <c r="AK10" s="379">
        <v>0.36</v>
      </c>
      <c r="AL10" s="379">
        <v>0.36</v>
      </c>
      <c r="AM10" s="379">
        <v>0.36</v>
      </c>
      <c r="AN10" s="379">
        <v>0.36</v>
      </c>
      <c r="AO10" s="379">
        <v>0.45</v>
      </c>
      <c r="AP10" s="379">
        <v>0.45</v>
      </c>
      <c r="AQ10" s="379">
        <v>0.36</v>
      </c>
      <c r="AR10" s="379">
        <v>0.36</v>
      </c>
      <c r="AS10" s="379">
        <v>0.3</v>
      </c>
      <c r="AT10" s="379">
        <v>0.3</v>
      </c>
      <c r="AU10" s="379">
        <v>0.23</v>
      </c>
      <c r="AV10" s="379">
        <v>0.23</v>
      </c>
      <c r="AW10" s="379">
        <v>0.14000000000000001</v>
      </c>
      <c r="AX10" s="379">
        <v>0.14000000000000001</v>
      </c>
      <c r="AY10" s="379">
        <v>0.13</v>
      </c>
      <c r="AZ10" s="379">
        <v>0.13</v>
      </c>
      <c r="BA10" s="385">
        <f>+AC10+AE10+AG10+AI10+AK10+AM10+AO10+AQ10+AS10+AU10+AW10+AY10</f>
        <v>3</v>
      </c>
      <c r="BB10" s="385">
        <f t="shared" ref="BB10:BC14" si="0">+AC10+AE10+AG10+AI10+AK10+AM10+AO10+AQ10+AS10+AU10+AW10+AY10</f>
        <v>3</v>
      </c>
      <c r="BC10" s="385">
        <f t="shared" si="0"/>
        <v>3</v>
      </c>
      <c r="BD10" s="385">
        <f t="shared" ref="BD10:BE14" si="1">AC10+AE10+AG10+AI10+AK10+AM10+AO10+AQ10+AS10+AU10+AW10+AY10</f>
        <v>3</v>
      </c>
      <c r="BE10" s="385">
        <f t="shared" si="1"/>
        <v>3</v>
      </c>
      <c r="BF10" s="379">
        <v>7</v>
      </c>
      <c r="BG10" s="379">
        <v>0.1</v>
      </c>
      <c r="BH10" s="379">
        <v>0.1</v>
      </c>
      <c r="BI10" s="379">
        <v>0.24</v>
      </c>
      <c r="BJ10" s="379">
        <v>0.24</v>
      </c>
      <c r="BK10" s="379">
        <v>0.38</v>
      </c>
      <c r="BL10" s="379">
        <v>0.38</v>
      </c>
      <c r="BM10" s="379">
        <v>0.56000000000000005</v>
      </c>
      <c r="BN10" s="379">
        <v>0.56000000000000005</v>
      </c>
      <c r="BO10" s="379">
        <v>0.7</v>
      </c>
      <c r="BP10" s="379">
        <v>0.7</v>
      </c>
      <c r="BQ10" s="379">
        <v>0.78</v>
      </c>
      <c r="BR10" s="379">
        <v>0.78</v>
      </c>
      <c r="BS10" s="379">
        <v>0.78</v>
      </c>
      <c r="BT10" s="379">
        <v>0.78</v>
      </c>
      <c r="BU10" s="379">
        <v>0.74</v>
      </c>
      <c r="BV10" s="379">
        <v>0.74</v>
      </c>
      <c r="BW10" s="379">
        <v>0.7</v>
      </c>
      <c r="BX10" s="379">
        <v>0.7</v>
      </c>
      <c r="BY10" s="379">
        <v>0.7</v>
      </c>
      <c r="BZ10" s="379">
        <v>0.7</v>
      </c>
      <c r="CA10" s="379">
        <v>0.66</v>
      </c>
      <c r="CB10" s="379">
        <v>0.66</v>
      </c>
      <c r="CC10" s="379">
        <v>0.66</v>
      </c>
      <c r="CD10" s="379">
        <v>0.66</v>
      </c>
      <c r="CE10" s="385">
        <f>+BG10+BI10+BK10+BM10+BO10+BQ10+BS10+BU10+BW10+BY10+CA10+CC10</f>
        <v>7.0000000000000009</v>
      </c>
      <c r="CF10" s="385">
        <f t="shared" ref="CF10:CG14" si="2">+BG10+BI10+BK10+BM10+BO10+BQ10+BS10+BU10+BW10+BY10+CA10+CC10</f>
        <v>7.0000000000000009</v>
      </c>
      <c r="CG10" s="385">
        <f t="shared" si="2"/>
        <v>7.0000000000000009</v>
      </c>
      <c r="CH10" s="385">
        <f t="shared" ref="CH10:CI14" si="3">BG10+BI10+BK10+BM10+BO10+BQ10+BS10+BU10+BW10+BY10+CA10+CC10</f>
        <v>7.0000000000000009</v>
      </c>
      <c r="CI10" s="385">
        <f t="shared" si="3"/>
        <v>7.0000000000000009</v>
      </c>
      <c r="CJ10" s="380">
        <v>6</v>
      </c>
      <c r="CK10" s="379">
        <v>0.12</v>
      </c>
      <c r="CL10" s="379">
        <v>0.12</v>
      </c>
      <c r="CM10" s="379">
        <v>0.12</v>
      </c>
      <c r="CN10" s="379">
        <v>0.12</v>
      </c>
      <c r="CO10" s="379">
        <v>0.3</v>
      </c>
      <c r="CP10" s="379">
        <v>0.3</v>
      </c>
      <c r="CQ10" s="379">
        <v>0.6</v>
      </c>
      <c r="CR10" s="379">
        <v>0.6</v>
      </c>
      <c r="CS10" s="379">
        <v>0.9</v>
      </c>
      <c r="CT10" s="379">
        <v>0.9</v>
      </c>
      <c r="CU10" s="379">
        <v>0.9</v>
      </c>
      <c r="CV10" s="379">
        <v>0.9</v>
      </c>
      <c r="CW10" s="379">
        <v>0.9</v>
      </c>
      <c r="CX10" s="379">
        <v>0.9</v>
      </c>
      <c r="CY10" s="379">
        <v>0.6</v>
      </c>
      <c r="CZ10" s="379">
        <v>0.6</v>
      </c>
      <c r="DA10" s="379">
        <v>0.6</v>
      </c>
      <c r="DB10" s="379">
        <v>0.6</v>
      </c>
      <c r="DC10" s="379">
        <v>0.36</v>
      </c>
      <c r="DD10" s="386">
        <v>0.36</v>
      </c>
      <c r="DE10" s="379">
        <v>0.3</v>
      </c>
      <c r="DF10" s="379">
        <v>0.3</v>
      </c>
      <c r="DG10" s="379">
        <v>0.3</v>
      </c>
      <c r="DH10" s="379">
        <v>0.3</v>
      </c>
      <c r="DI10" s="379">
        <f t="shared" ref="DI10:DI15" si="4">+CK10+CM10+CO10+CQ10+CS10+CU10+CW10+CY10+DA10+DC10+DE10+DG10</f>
        <v>5.9999999999999991</v>
      </c>
      <c r="DJ10" s="379">
        <f>+CK10+CM10+CO10+CQ10+CS10+CU10+CW10+CY10+DA10+DC10+DE10+DG10</f>
        <v>5.9999999999999991</v>
      </c>
      <c r="DK10" s="379">
        <f>CL10+CN10+CP10+CR10+CT10+CV10+CX10+CZ10+DB10+DD10+DF10+DH10</f>
        <v>5.9999999999999991</v>
      </c>
      <c r="DL10" s="379">
        <f>+CK10+CM10+CO10+CQ10+CS10+CU10+CW10+CY10+DA10+DC10+DE10+DG10</f>
        <v>5.9999999999999991</v>
      </c>
      <c r="DM10" s="379">
        <f>CL10+CN10+CP10+CR10+CT10+CV10+CX10+CZ10+DB10+DD10+DF10+DH10</f>
        <v>5.9999999999999991</v>
      </c>
      <c r="DN10" s="387">
        <v>4</v>
      </c>
      <c r="DO10" s="388">
        <v>0.4</v>
      </c>
      <c r="DP10" s="388">
        <v>0.4</v>
      </c>
      <c r="DQ10" s="388">
        <v>0.6</v>
      </c>
      <c r="DR10" s="388">
        <v>0.6</v>
      </c>
      <c r="DS10" s="388">
        <v>1</v>
      </c>
      <c r="DT10" s="388">
        <v>1</v>
      </c>
      <c r="DU10" s="388">
        <v>1</v>
      </c>
      <c r="DV10" s="388">
        <v>1</v>
      </c>
      <c r="DW10" s="388">
        <v>1</v>
      </c>
      <c r="DX10" s="388">
        <v>1</v>
      </c>
      <c r="DY10" s="389">
        <v>0</v>
      </c>
      <c r="DZ10" s="389"/>
      <c r="EA10" s="389">
        <v>0</v>
      </c>
      <c r="EB10" s="389"/>
      <c r="EC10" s="389">
        <v>0</v>
      </c>
      <c r="ED10" s="389"/>
      <c r="EE10" s="389">
        <v>0</v>
      </c>
      <c r="EF10" s="389"/>
      <c r="EG10" s="389">
        <v>0</v>
      </c>
      <c r="EH10" s="389"/>
      <c r="EI10" s="389">
        <v>0</v>
      </c>
      <c r="EJ10" s="389"/>
      <c r="EK10" s="389">
        <v>0</v>
      </c>
      <c r="EL10" s="389"/>
      <c r="EM10" s="390">
        <f>+DO10+DQ10+DS10+DU10+DW10+DY10+EA10+EC10+EE10+EG10+EI10+EK10</f>
        <v>4</v>
      </c>
      <c r="EN10" s="390">
        <f t="shared" ref="EN10:EO14" si="5">+DO10+DQ10+DS10+DU10+DW10</f>
        <v>4</v>
      </c>
      <c r="EO10" s="390">
        <f t="shared" si="5"/>
        <v>4</v>
      </c>
      <c r="EP10" s="390">
        <f t="shared" ref="EP10:EQ14" si="6">+DO10+DQ10+DS10+DU10+DW10+DY10+EA10+EC10+EE10+EG10+EI10+EK10</f>
        <v>4</v>
      </c>
      <c r="EQ10" s="390">
        <f t="shared" si="6"/>
        <v>4</v>
      </c>
      <c r="ER10" s="391">
        <f>IFERROR(DX10/DW10,0)</f>
        <v>1</v>
      </c>
      <c r="ES10" s="392">
        <f>EO10/EN10</f>
        <v>1</v>
      </c>
      <c r="ET10" s="392">
        <f>EQ10/EP10</f>
        <v>1</v>
      </c>
      <c r="EU10" s="393">
        <f>(AA10+BE10+CI10+DM10+EO10)/(Z10+BD10+CH10+DL10+EN10)</f>
        <v>1</v>
      </c>
      <c r="EV10" s="394">
        <f>(AA10+BE10+CI10+DM10+EQ10)/G10</f>
        <v>1</v>
      </c>
      <c r="EW10" s="639" t="s">
        <v>891</v>
      </c>
      <c r="EX10" s="626" t="s">
        <v>179</v>
      </c>
      <c r="EY10" s="626" t="s">
        <v>179</v>
      </c>
      <c r="EZ10" s="628" t="s">
        <v>892</v>
      </c>
      <c r="FA10" s="666" t="s">
        <v>893</v>
      </c>
      <c r="FB10" s="625">
        <f>+LEN(EW10)</f>
        <v>1500</v>
      </c>
    </row>
    <row r="11" spans="1:158" ht="62.25" customHeight="1" x14ac:dyDescent="0.25">
      <c r="A11" s="604"/>
      <c r="B11" s="604"/>
      <c r="C11" s="604"/>
      <c r="D11" s="604"/>
      <c r="E11" s="604"/>
      <c r="F11" s="59" t="s">
        <v>323</v>
      </c>
      <c r="G11" s="395">
        <f>AA11+BE11+CI11+DM11+EP11</f>
        <v>7101449341</v>
      </c>
      <c r="H11" s="396">
        <v>355014000</v>
      </c>
      <c r="I11" s="396"/>
      <c r="J11" s="396"/>
      <c r="K11" s="396">
        <v>355014000</v>
      </c>
      <c r="L11" s="396">
        <v>85592000</v>
      </c>
      <c r="M11" s="396">
        <v>355014000</v>
      </c>
      <c r="N11" s="397">
        <v>233828000</v>
      </c>
      <c r="O11" s="396">
        <v>355014000</v>
      </c>
      <c r="P11" s="398">
        <v>233828000</v>
      </c>
      <c r="Q11" s="396">
        <v>364736000</v>
      </c>
      <c r="R11" s="397">
        <v>233828000</v>
      </c>
      <c r="S11" s="396">
        <v>364736000</v>
      </c>
      <c r="T11" s="396">
        <v>262868000</v>
      </c>
      <c r="U11" s="396">
        <v>364736000</v>
      </c>
      <c r="V11" s="396">
        <v>354700000</v>
      </c>
      <c r="W11" s="396">
        <v>355014000</v>
      </c>
      <c r="X11" s="396">
        <v>354700000</v>
      </c>
      <c r="Y11" s="396">
        <v>354700000</v>
      </c>
      <c r="Z11" s="395">
        <v>364736000</v>
      </c>
      <c r="AA11" s="395">
        <v>354700000</v>
      </c>
      <c r="AB11" s="395">
        <v>1279585000</v>
      </c>
      <c r="AC11" s="395">
        <v>0</v>
      </c>
      <c r="AD11" s="395">
        <v>0</v>
      </c>
      <c r="AE11" s="395">
        <v>393756000</v>
      </c>
      <c r="AF11" s="395">
        <v>393756000</v>
      </c>
      <c r="AG11" s="395">
        <v>593874725</v>
      </c>
      <c r="AH11" s="395">
        <v>593874725</v>
      </c>
      <c r="AI11" s="395">
        <v>0</v>
      </c>
      <c r="AJ11" s="395">
        <v>0</v>
      </c>
      <c r="AK11" s="395">
        <f>1002610725-AG11-AE11</f>
        <v>14980000</v>
      </c>
      <c r="AL11" s="395">
        <v>14980000</v>
      </c>
      <c r="AM11" s="395">
        <v>31425000</v>
      </c>
      <c r="AN11" s="395">
        <v>0</v>
      </c>
      <c r="AO11" s="395">
        <v>0</v>
      </c>
      <c r="AP11" s="395">
        <v>0</v>
      </c>
      <c r="AQ11" s="395">
        <v>25140000</v>
      </c>
      <c r="AR11" s="395">
        <v>25140000</v>
      </c>
      <c r="AS11" s="395">
        <v>0</v>
      </c>
      <c r="AT11" s="395">
        <v>25140000</v>
      </c>
      <c r="AU11" s="395">
        <v>4280000</v>
      </c>
      <c r="AV11" s="395">
        <v>0</v>
      </c>
      <c r="AW11" s="395">
        <v>71287000</v>
      </c>
      <c r="AX11" s="395">
        <v>0</v>
      </c>
      <c r="AY11" s="395">
        <v>59634017</v>
      </c>
      <c r="AZ11" s="395">
        <v>96468189</v>
      </c>
      <c r="BA11" s="395">
        <f>AC11+AE11+AG11+AI11+AK11+AM11+AO11+AQ11+AS11+AU11+AW11+AY11</f>
        <v>1194376742</v>
      </c>
      <c r="BB11" s="395">
        <f t="shared" si="0"/>
        <v>1194376742</v>
      </c>
      <c r="BC11" s="395">
        <f t="shared" si="0"/>
        <v>1149358914</v>
      </c>
      <c r="BD11" s="395">
        <f t="shared" si="1"/>
        <v>1194376742</v>
      </c>
      <c r="BE11" s="395">
        <f t="shared" si="1"/>
        <v>1149358914</v>
      </c>
      <c r="BF11" s="395">
        <v>1226257000</v>
      </c>
      <c r="BG11" s="395">
        <v>1180647506</v>
      </c>
      <c r="BH11" s="395">
        <v>1180647506</v>
      </c>
      <c r="BI11" s="395">
        <v>0</v>
      </c>
      <c r="BJ11" s="395"/>
      <c r="BK11" s="395"/>
      <c r="BL11" s="395"/>
      <c r="BM11" s="395"/>
      <c r="BN11" s="395">
        <v>0</v>
      </c>
      <c r="BO11" s="395"/>
      <c r="BP11" s="395"/>
      <c r="BQ11" s="395"/>
      <c r="BR11" s="395"/>
      <c r="BS11" s="395">
        <v>35546000</v>
      </c>
      <c r="BT11" s="395">
        <v>35546000</v>
      </c>
      <c r="BU11" s="395">
        <v>153144667</v>
      </c>
      <c r="BV11" s="395">
        <v>112910667</v>
      </c>
      <c r="BW11" s="395">
        <v>23840600</v>
      </c>
      <c r="BX11" s="395">
        <v>46014600</v>
      </c>
      <c r="BY11" s="395">
        <v>15813800</v>
      </c>
      <c r="BZ11" s="395">
        <v>-2577000</v>
      </c>
      <c r="CA11" s="395">
        <v>84136233</v>
      </c>
      <c r="CB11" s="395">
        <v>56686100</v>
      </c>
      <c r="CC11" s="395">
        <v>52413108.666666664</v>
      </c>
      <c r="CD11" s="395">
        <v>114307375</v>
      </c>
      <c r="CE11" s="395">
        <f>BG11+BI11+BK11+BM11+BO11+BQ11+BS11+BU11+BW11+BY11+CA11+CC11</f>
        <v>1545541914.6666667</v>
      </c>
      <c r="CF11" s="395">
        <f t="shared" si="2"/>
        <v>1545541914.6666667</v>
      </c>
      <c r="CG11" s="395">
        <f t="shared" si="2"/>
        <v>1543535248</v>
      </c>
      <c r="CH11" s="395">
        <f t="shared" si="3"/>
        <v>1545541914.6666667</v>
      </c>
      <c r="CI11" s="395">
        <f t="shared" si="3"/>
        <v>1543535248</v>
      </c>
      <c r="CJ11" s="395">
        <v>1580418000</v>
      </c>
      <c r="CK11" s="395"/>
      <c r="CL11" s="395"/>
      <c r="CM11" s="395">
        <v>1039261984</v>
      </c>
      <c r="CN11" s="395">
        <v>1039261984</v>
      </c>
      <c r="CO11" s="395">
        <v>203163000</v>
      </c>
      <c r="CP11" s="395">
        <v>203163000</v>
      </c>
      <c r="CQ11" s="395">
        <v>221644000</v>
      </c>
      <c r="CR11" s="395">
        <v>68752000</v>
      </c>
      <c r="CS11" s="395">
        <v>102592000</v>
      </c>
      <c r="CT11" s="395">
        <v>42199000</v>
      </c>
      <c r="CU11" s="395">
        <v>46656000</v>
      </c>
      <c r="CV11" s="395">
        <v>106340000</v>
      </c>
      <c r="CW11" s="395"/>
      <c r="CX11" s="395">
        <v>40911000</v>
      </c>
      <c r="CY11" s="395"/>
      <c r="CZ11" s="395">
        <v>0</v>
      </c>
      <c r="DA11" s="395"/>
      <c r="DB11" s="395">
        <v>8245000</v>
      </c>
      <c r="DC11" s="395">
        <v>-69527000</v>
      </c>
      <c r="DD11" s="399">
        <v>0</v>
      </c>
      <c r="DE11" s="400">
        <v>239585457</v>
      </c>
      <c r="DF11" s="395">
        <v>5016667</v>
      </c>
      <c r="DG11" s="395"/>
      <c r="DH11" s="395">
        <v>241033528</v>
      </c>
      <c r="DI11" s="395">
        <f>+CK11+CM11+CO11+CQ11+CS11+CU11+CW11+CY11+DA11+DC11+DE11+DG11</f>
        <v>1783375441</v>
      </c>
      <c r="DJ11" s="401">
        <f>+CK11+CM11+CO11+CQ11+CS11+CU11+CW11+CY11++DA11+DC11+DE1+DE11+DG11</f>
        <v>1783375441</v>
      </c>
      <c r="DK11" s="395">
        <f>CL11+CN11+CP11+CR11+CT11+CV11+CX11+CZ11+DB11+DD11+DF11+DH11</f>
        <v>1754922179</v>
      </c>
      <c r="DL11" s="395">
        <f>+CK11+CM11+CO11+CQ11+CS11+CU11+CW11+CY11+DA11+DC11+DE11+DG11</f>
        <v>1783375441</v>
      </c>
      <c r="DM11" s="395">
        <f>CL11+CN11+CP11+CR11+CT11+CV11+CX11+CZ11+DB11+DD11+DF11+DH11</f>
        <v>1754922179</v>
      </c>
      <c r="DN11" s="395">
        <v>2298933000</v>
      </c>
      <c r="DO11" s="397">
        <v>820877000</v>
      </c>
      <c r="DP11" s="397">
        <v>192733000</v>
      </c>
      <c r="DQ11" s="397">
        <v>650000000</v>
      </c>
      <c r="DR11" s="397">
        <v>93498000</v>
      </c>
      <c r="DS11" s="397"/>
      <c r="DT11" s="397"/>
      <c r="DU11" s="397">
        <v>828056000</v>
      </c>
      <c r="DV11" s="397">
        <v>269718000</v>
      </c>
      <c r="DW11" s="397">
        <v>0</v>
      </c>
      <c r="DX11" s="397">
        <v>635841830</v>
      </c>
      <c r="DY11" s="397">
        <v>0</v>
      </c>
      <c r="DZ11" s="397"/>
      <c r="EA11" s="397">
        <v>0</v>
      </c>
      <c r="EB11" s="397"/>
      <c r="EC11" s="397">
        <v>0</v>
      </c>
      <c r="ED11" s="397"/>
      <c r="EE11" s="397">
        <v>0</v>
      </c>
      <c r="EF11" s="397"/>
      <c r="EG11" s="397">
        <v>0</v>
      </c>
      <c r="EH11" s="397"/>
      <c r="EI11" s="397">
        <v>0</v>
      </c>
      <c r="EJ11" s="397"/>
      <c r="EK11" s="397">
        <v>0</v>
      </c>
      <c r="EL11" s="397"/>
      <c r="EM11" s="390">
        <f>+DO11+DQ11+DS11+DU11+DW11+DY11+EA11+EC11+EE11+EG11+EI11+EK11</f>
        <v>2298933000</v>
      </c>
      <c r="EN11" s="390">
        <f t="shared" si="5"/>
        <v>2298933000</v>
      </c>
      <c r="EO11" s="390">
        <f t="shared" si="5"/>
        <v>1191790830</v>
      </c>
      <c r="EP11" s="390">
        <f t="shared" si="6"/>
        <v>2298933000</v>
      </c>
      <c r="EQ11" s="390">
        <f t="shared" si="6"/>
        <v>1191790830</v>
      </c>
      <c r="ER11" s="391">
        <f t="shared" ref="ER11:ER43" si="7">IFERROR(DX11/DW11,0)</f>
        <v>0</v>
      </c>
      <c r="ES11" s="392">
        <f t="shared" ref="ES11:ES44" si="8">EO11/EN11</f>
        <v>0.51841042344426735</v>
      </c>
      <c r="ET11" s="392">
        <f t="shared" ref="ET11:ET44" si="9">EQ11/EP11</f>
        <v>0.51841042344426735</v>
      </c>
      <c r="EU11" s="393">
        <f>(AA11+BE11+CI11+DM11+EO11)/(Z11+BD11+CH11+DL11+EN11)</f>
        <v>0.83405286621634711</v>
      </c>
      <c r="EV11" s="394">
        <f t="shared" ref="EV11:EV43" si="10">(AA11+BE11+CI11+DM11+EQ11)/G11</f>
        <v>0.8440963081144649</v>
      </c>
      <c r="EW11" s="640"/>
      <c r="EX11" s="627"/>
      <c r="EY11" s="627"/>
      <c r="EZ11" s="629"/>
      <c r="FA11" s="666"/>
      <c r="FB11" s="625"/>
    </row>
    <row r="12" spans="1:158" ht="62.25" customHeight="1" x14ac:dyDescent="0.25">
      <c r="A12" s="604"/>
      <c r="B12" s="604"/>
      <c r="C12" s="604"/>
      <c r="D12" s="604"/>
      <c r="E12" s="604"/>
      <c r="F12" s="60" t="s">
        <v>324</v>
      </c>
      <c r="G12" s="395"/>
      <c r="H12" s="396"/>
      <c r="I12" s="396"/>
      <c r="J12" s="396"/>
      <c r="K12" s="396"/>
      <c r="L12" s="396"/>
      <c r="M12" s="396"/>
      <c r="N12" s="397"/>
      <c r="O12" s="396"/>
      <c r="P12" s="398"/>
      <c r="Q12" s="396"/>
      <c r="R12" s="397"/>
      <c r="S12" s="396"/>
      <c r="T12" s="396"/>
      <c r="U12" s="396"/>
      <c r="V12" s="396"/>
      <c r="W12" s="396"/>
      <c r="X12" s="396"/>
      <c r="Y12" s="396"/>
      <c r="Z12" s="395"/>
      <c r="AA12" s="395"/>
      <c r="AB12" s="395">
        <f>+AC12+AE12+AG12+AI12+AK12+AM12+AO12+AQ12+AS12+AU12+AW12+AY12</f>
        <v>1194376742</v>
      </c>
      <c r="AC12" s="395">
        <v>0</v>
      </c>
      <c r="AD12" s="395">
        <v>0</v>
      </c>
      <c r="AE12" s="395">
        <v>0</v>
      </c>
      <c r="AF12" s="395">
        <v>0</v>
      </c>
      <c r="AG12" s="395">
        <v>16760400</v>
      </c>
      <c r="AH12" s="395">
        <v>16760400</v>
      </c>
      <c r="AI12" s="395">
        <v>88882756</v>
      </c>
      <c r="AJ12" s="395">
        <v>88882756</v>
      </c>
      <c r="AK12" s="395">
        <v>58365467</v>
      </c>
      <c r="AL12" s="395">
        <v>58365467</v>
      </c>
      <c r="AM12" s="395">
        <v>148440312</v>
      </c>
      <c r="AN12" s="395">
        <f>305007935-164008623</f>
        <v>140999312</v>
      </c>
      <c r="AO12" s="395">
        <v>103806656</v>
      </c>
      <c r="AP12" s="395">
        <v>98737856</v>
      </c>
      <c r="AQ12" s="395">
        <v>103806656</v>
      </c>
      <c r="AR12" s="395">
        <v>106884456</v>
      </c>
      <c r="AS12" s="395">
        <v>104644656</v>
      </c>
      <c r="AT12" s="395">
        <v>103806656</v>
      </c>
      <c r="AU12" s="395">
        <v>114910156</v>
      </c>
      <c r="AV12" s="395">
        <v>112316656</v>
      </c>
      <c r="AW12" s="395">
        <v>118516656</v>
      </c>
      <c r="AX12" s="395">
        <v>104459656</v>
      </c>
      <c r="AY12" s="395">
        <v>336243027</v>
      </c>
      <c r="AZ12" s="395">
        <v>112504423</v>
      </c>
      <c r="BA12" s="395">
        <f>AC12+AE12+AG12+AI12+AK12+AM12+AO12+AQ12+AS12+AU12+AW12+AY12</f>
        <v>1194376742</v>
      </c>
      <c r="BB12" s="395">
        <f t="shared" si="0"/>
        <v>1194376742</v>
      </c>
      <c r="BC12" s="395">
        <f t="shared" si="0"/>
        <v>943717638</v>
      </c>
      <c r="BD12" s="395">
        <f t="shared" si="1"/>
        <v>1194376742</v>
      </c>
      <c r="BE12" s="395">
        <f t="shared" si="1"/>
        <v>943717638</v>
      </c>
      <c r="BF12" s="395">
        <v>1226257000</v>
      </c>
      <c r="BG12" s="395"/>
      <c r="BH12" s="395"/>
      <c r="BI12" s="395">
        <v>43432455</v>
      </c>
      <c r="BJ12" s="395">
        <v>1608700</v>
      </c>
      <c r="BK12" s="395">
        <v>117389455</v>
      </c>
      <c r="BL12" s="395">
        <v>103771042</v>
      </c>
      <c r="BM12" s="395">
        <v>117389455</v>
      </c>
      <c r="BN12" s="395">
        <v>122876542</v>
      </c>
      <c r="BO12" s="395">
        <v>117389455</v>
      </c>
      <c r="BP12" s="395">
        <v>108298942</v>
      </c>
      <c r="BQ12" s="395">
        <v>116056455</v>
      </c>
      <c r="BR12" s="395">
        <v>121120942</v>
      </c>
      <c r="BS12" s="395">
        <v>116056455</v>
      </c>
      <c r="BT12" s="395">
        <v>114709942</v>
      </c>
      <c r="BU12" s="395">
        <v>121134455</v>
      </c>
      <c r="BV12" s="395">
        <v>115387009</v>
      </c>
      <c r="BW12" s="395">
        <v>150718455</v>
      </c>
      <c r="BX12" s="395">
        <v>135353602</v>
      </c>
      <c r="BY12" s="395">
        <v>151573255</v>
      </c>
      <c r="BZ12" s="395">
        <v>143158608</v>
      </c>
      <c r="CA12" s="395">
        <v>148141455</v>
      </c>
      <c r="CB12" s="395">
        <v>144568942</v>
      </c>
      <c r="CC12" s="395">
        <v>346260564.66666675</v>
      </c>
      <c r="CD12" s="395">
        <v>214143942</v>
      </c>
      <c r="CE12" s="395">
        <f>BG12+BI12+BK12+BM12+BO12+BQ12+BS12+BU12+BW12+BY12+CA12+CC12</f>
        <v>1545541914.6666667</v>
      </c>
      <c r="CF12" s="395">
        <f t="shared" si="2"/>
        <v>1545541914.6666667</v>
      </c>
      <c r="CG12" s="395">
        <f t="shared" si="2"/>
        <v>1324998213</v>
      </c>
      <c r="CH12" s="395">
        <f t="shared" si="3"/>
        <v>1545541914.6666667</v>
      </c>
      <c r="CI12" s="395">
        <f t="shared" si="3"/>
        <v>1324998213</v>
      </c>
      <c r="CJ12" s="395">
        <v>1580418000</v>
      </c>
      <c r="CK12" s="395"/>
      <c r="CL12" s="395"/>
      <c r="CM12" s="395"/>
      <c r="CN12" s="395"/>
      <c r="CO12" s="395">
        <v>22999933</v>
      </c>
      <c r="CP12" s="395">
        <v>22999933</v>
      </c>
      <c r="CQ12" s="395">
        <v>156138863</v>
      </c>
      <c r="CR12" s="395">
        <v>153249930</v>
      </c>
      <c r="CS12" s="395">
        <v>146086098</v>
      </c>
      <c r="CT12" s="395">
        <v>125674098</v>
      </c>
      <c r="CU12" s="395">
        <v>160742098</v>
      </c>
      <c r="CV12" s="395">
        <v>130891965</v>
      </c>
      <c r="CW12" s="395">
        <v>146086098</v>
      </c>
      <c r="CX12" s="395">
        <v>140578498</v>
      </c>
      <c r="CY12" s="395">
        <v>146086098</v>
      </c>
      <c r="CZ12" s="395">
        <v>176563898</v>
      </c>
      <c r="DA12" s="395">
        <v>146086098</v>
      </c>
      <c r="DB12" s="395">
        <v>161330098</v>
      </c>
      <c r="DC12" s="395">
        <v>119517098</v>
      </c>
      <c r="DD12" s="399">
        <v>158164098</v>
      </c>
      <c r="DE12" s="395">
        <v>160742098</v>
      </c>
      <c r="DF12" s="395">
        <v>173486098</v>
      </c>
      <c r="DG12" s="395">
        <f>512020598+43968000+22902361</f>
        <v>578890959</v>
      </c>
      <c r="DH12" s="395">
        <v>231328798</v>
      </c>
      <c r="DI12" s="395">
        <f t="shared" si="4"/>
        <v>1783375441</v>
      </c>
      <c r="DJ12" s="401">
        <f>+CK12+CM12+CO12+CQ12+CS12+CU12+CW12+CY12+DA12+DC12+DE12+DG12</f>
        <v>1783375441</v>
      </c>
      <c r="DK12" s="395">
        <f>CL12+CN12+CP12+CR12+CT12+CV12+CX12+CZ12+DB12+DD12+DF12+DH12</f>
        <v>1474267414</v>
      </c>
      <c r="DL12" s="395">
        <f>+CK12+CM12+CO12+CQ12+CS12+CU12+CW12+CY12+DA12+DC12+DE12+DG12</f>
        <v>1783375441</v>
      </c>
      <c r="DM12" s="395">
        <f>CL12+CN12+CP12+CR12+CT12+CV12+CX12+CZ12+DB12+DD12+DF12+DH12</f>
        <v>1474267414</v>
      </c>
      <c r="DN12" s="395">
        <v>2298933000</v>
      </c>
      <c r="DO12" s="397"/>
      <c r="DP12" s="397">
        <v>0</v>
      </c>
      <c r="DQ12" s="397">
        <v>45157367</v>
      </c>
      <c r="DR12" s="397">
        <v>17324001</v>
      </c>
      <c r="DS12" s="397">
        <v>149903000</v>
      </c>
      <c r="DT12" s="397">
        <v>77130333</v>
      </c>
      <c r="DU12" s="397">
        <v>149903000</v>
      </c>
      <c r="DV12" s="397">
        <v>79979267</v>
      </c>
      <c r="DW12" s="397">
        <v>204903000</v>
      </c>
      <c r="DX12" s="397">
        <v>74841832</v>
      </c>
      <c r="DY12" s="397">
        <v>204903000</v>
      </c>
      <c r="DZ12" s="397"/>
      <c r="EA12" s="397">
        <v>204903000</v>
      </c>
      <c r="EB12" s="397"/>
      <c r="EC12" s="397">
        <v>204903000</v>
      </c>
      <c r="ED12" s="397"/>
      <c r="EE12" s="397">
        <v>204903000</v>
      </c>
      <c r="EF12" s="397"/>
      <c r="EG12" s="397">
        <v>204903000</v>
      </c>
      <c r="EH12" s="397"/>
      <c r="EI12" s="397">
        <v>204903000</v>
      </c>
      <c r="EJ12" s="397"/>
      <c r="EK12" s="397">
        <f>309648633+210000000</f>
        <v>519648633</v>
      </c>
      <c r="EL12" s="397"/>
      <c r="EM12" s="390">
        <f>+DO12+DQ12+DS12+DU12+DW12+DY12+EA12+EC12+EE12+EG12+EI12+EK12</f>
        <v>2298933000</v>
      </c>
      <c r="EN12" s="390">
        <f t="shared" si="5"/>
        <v>549866367</v>
      </c>
      <c r="EO12" s="390">
        <f t="shared" si="5"/>
        <v>249275433</v>
      </c>
      <c r="EP12" s="390">
        <f t="shared" si="6"/>
        <v>2298933000</v>
      </c>
      <c r="EQ12" s="390">
        <f>+DP12+DR12+DT12+DV12+DX12+DZ12+EB12+ED12+EF12+EH12+EJ12+EL12</f>
        <v>249275433</v>
      </c>
      <c r="ER12" s="391">
        <f t="shared" si="7"/>
        <v>0.36525493526205083</v>
      </c>
      <c r="ES12" s="392">
        <f t="shared" si="8"/>
        <v>0.45333820717207096</v>
      </c>
      <c r="ET12" s="392">
        <f>EQ12/EP12</f>
        <v>0.10843092556416389</v>
      </c>
      <c r="EU12" s="393">
        <f t="shared" ref="EU12:EU44" si="11">(AA12+BE12+CI12+DM12+EO12)/(Z12+BD12+CH12+DL12+EN12)</f>
        <v>0.7869372013373348</v>
      </c>
      <c r="EV12" s="394">
        <f>IFERROR((AA12+BE12+CI12+DM12+EQ12)/G12,0)</f>
        <v>0</v>
      </c>
      <c r="EW12" s="640"/>
      <c r="EX12" s="627"/>
      <c r="EY12" s="627"/>
      <c r="EZ12" s="629"/>
      <c r="FA12" s="666"/>
      <c r="FB12" s="625"/>
    </row>
    <row r="13" spans="1:158" ht="62.25" customHeight="1" x14ac:dyDescent="0.25">
      <c r="A13" s="604"/>
      <c r="B13" s="604"/>
      <c r="C13" s="604"/>
      <c r="D13" s="604"/>
      <c r="E13" s="604"/>
      <c r="F13" s="58" t="s">
        <v>325</v>
      </c>
      <c r="G13" s="379">
        <f>AA13+BE13+CI13+DL13+DN13</f>
        <v>0</v>
      </c>
      <c r="H13" s="402"/>
      <c r="I13" s="402"/>
      <c r="J13" s="402"/>
      <c r="K13" s="402"/>
      <c r="L13" s="403"/>
      <c r="M13" s="402"/>
      <c r="N13" s="403"/>
      <c r="O13" s="402"/>
      <c r="P13" s="403"/>
      <c r="Q13" s="402"/>
      <c r="R13" s="403"/>
      <c r="S13" s="402"/>
      <c r="T13" s="402"/>
      <c r="U13" s="402"/>
      <c r="V13" s="402"/>
      <c r="W13" s="402"/>
      <c r="X13" s="402"/>
      <c r="Y13" s="402"/>
      <c r="Z13" s="402"/>
      <c r="AA13" s="402"/>
      <c r="AB13" s="384">
        <f>+AC13+AE13+AG13+AI13+AK13+AM13+AO13+AQ13+AS13+AU13+AW13+AY13</f>
        <v>0</v>
      </c>
      <c r="AC13" s="404"/>
      <c r="AD13" s="384"/>
      <c r="AE13" s="404"/>
      <c r="AF13" s="384"/>
      <c r="AG13" s="404"/>
      <c r="AH13" s="402"/>
      <c r="AI13" s="404"/>
      <c r="AJ13" s="402"/>
      <c r="AK13" s="402"/>
      <c r="AL13" s="402"/>
      <c r="AM13" s="402"/>
      <c r="AN13" s="402"/>
      <c r="AO13" s="402"/>
      <c r="AP13" s="402"/>
      <c r="AQ13" s="402"/>
      <c r="AR13" s="402"/>
      <c r="AS13" s="402"/>
      <c r="AT13" s="402"/>
      <c r="AU13" s="402"/>
      <c r="AV13" s="402"/>
      <c r="AW13" s="402">
        <v>0</v>
      </c>
      <c r="AX13" s="402"/>
      <c r="AY13" s="402"/>
      <c r="AZ13" s="405"/>
      <c r="BA13" s="406">
        <f>AC13+AE13+AG13+AI13+AK13+AM13+AO13+AQ13+AS13+AU13+AW13+AY13</f>
        <v>0</v>
      </c>
      <c r="BB13" s="385">
        <f t="shared" si="0"/>
        <v>0</v>
      </c>
      <c r="BC13" s="407">
        <f t="shared" si="0"/>
        <v>0</v>
      </c>
      <c r="BD13" s="406">
        <f t="shared" si="1"/>
        <v>0</v>
      </c>
      <c r="BE13" s="407">
        <f t="shared" si="1"/>
        <v>0</v>
      </c>
      <c r="BF13" s="406"/>
      <c r="BG13" s="402"/>
      <c r="BH13" s="402"/>
      <c r="BI13" s="402"/>
      <c r="BJ13" s="402"/>
      <c r="BK13" s="402"/>
      <c r="BL13" s="402"/>
      <c r="BM13" s="402"/>
      <c r="BN13" s="402"/>
      <c r="BO13" s="402"/>
      <c r="BP13" s="402"/>
      <c r="BQ13" s="402"/>
      <c r="BR13" s="402"/>
      <c r="BS13" s="402"/>
      <c r="BT13" s="402"/>
      <c r="BU13" s="402"/>
      <c r="BV13" s="402"/>
      <c r="BW13" s="402"/>
      <c r="BX13" s="402"/>
      <c r="BY13" s="402"/>
      <c r="BZ13" s="402"/>
      <c r="CA13" s="402"/>
      <c r="CB13" s="402"/>
      <c r="CC13" s="405"/>
      <c r="CD13" s="402"/>
      <c r="CE13" s="407"/>
      <c r="CF13" s="407">
        <f t="shared" si="2"/>
        <v>0</v>
      </c>
      <c r="CG13" s="406">
        <f t="shared" si="2"/>
        <v>0</v>
      </c>
      <c r="CH13" s="407">
        <f t="shared" si="3"/>
        <v>0</v>
      </c>
      <c r="CI13" s="406">
        <f t="shared" si="3"/>
        <v>0</v>
      </c>
      <c r="CJ13" s="402"/>
      <c r="CK13" s="402"/>
      <c r="CL13" s="402"/>
      <c r="CM13" s="402"/>
      <c r="CN13" s="402"/>
      <c r="CO13" s="402"/>
      <c r="CP13" s="402"/>
      <c r="CQ13" s="402"/>
      <c r="CR13" s="402"/>
      <c r="CS13" s="402"/>
      <c r="CT13" s="406">
        <v>0</v>
      </c>
      <c r="CU13" s="402"/>
      <c r="CV13" s="395">
        <v>0</v>
      </c>
      <c r="CW13" s="402"/>
      <c r="CX13" s="402">
        <v>0</v>
      </c>
      <c r="CY13" s="402"/>
      <c r="CZ13" s="402">
        <v>0</v>
      </c>
      <c r="DA13" s="402"/>
      <c r="DB13" s="402">
        <v>0</v>
      </c>
      <c r="DC13" s="402"/>
      <c r="DD13" s="408">
        <v>0</v>
      </c>
      <c r="DE13" s="402"/>
      <c r="DF13" s="402">
        <v>0</v>
      </c>
      <c r="DG13" s="402"/>
      <c r="DH13" s="402">
        <v>0</v>
      </c>
      <c r="DI13" s="406">
        <f t="shared" si="4"/>
        <v>0</v>
      </c>
      <c r="DJ13" s="379">
        <f>CK13+CM13+CO13+CQ13+CS13+CU13+CW13+CY13+DA13+DC13+DE13+DG13</f>
        <v>0</v>
      </c>
      <c r="DK13" s="385">
        <f>CL13+CN13+CP13+CR13+CT13+CV13+CX13+CZ13+DB13+DD13+DF13+DH13</f>
        <v>0</v>
      </c>
      <c r="DL13" s="406">
        <f>+CK13+CM13+CO13+CQ13+CS13+CU13+CW13+CY13+DA13+DC13+DE13+DG13</f>
        <v>0</v>
      </c>
      <c r="DM13" s="385">
        <f>CL13+CN13+CP13+CR13+CT13+CV13+CX13+CX13+CX13+CZ13+DB13+DD13+DF13+DH13</f>
        <v>0</v>
      </c>
      <c r="DN13" s="406">
        <v>0</v>
      </c>
      <c r="DO13" s="406"/>
      <c r="DP13" s="406">
        <v>0</v>
      </c>
      <c r="DQ13" s="402"/>
      <c r="DR13" s="406">
        <v>0</v>
      </c>
      <c r="DS13" s="402"/>
      <c r="DT13" s="402">
        <v>0</v>
      </c>
      <c r="DU13" s="402"/>
      <c r="DV13" s="402">
        <v>0</v>
      </c>
      <c r="DW13" s="402"/>
      <c r="DX13" s="402">
        <v>0</v>
      </c>
      <c r="DY13" s="402"/>
      <c r="DZ13" s="402"/>
      <c r="EA13" s="402"/>
      <c r="EB13" s="402"/>
      <c r="EC13" s="402"/>
      <c r="ED13" s="402"/>
      <c r="EE13" s="402"/>
      <c r="EF13" s="402"/>
      <c r="EG13" s="402"/>
      <c r="EH13" s="402"/>
      <c r="EI13" s="402"/>
      <c r="EJ13" s="402"/>
      <c r="EK13" s="402"/>
      <c r="EL13" s="402"/>
      <c r="EM13" s="390">
        <f>+DO13+DQ13+DS13+DU13+DW13+DY13+EA13+EC13+EE13+EG13+EI13+EK13</f>
        <v>0</v>
      </c>
      <c r="EN13" s="390">
        <f t="shared" si="5"/>
        <v>0</v>
      </c>
      <c r="EO13" s="390">
        <f t="shared" si="5"/>
        <v>0</v>
      </c>
      <c r="EP13" s="390">
        <f t="shared" si="6"/>
        <v>0</v>
      </c>
      <c r="EQ13" s="390">
        <f t="shared" si="6"/>
        <v>0</v>
      </c>
      <c r="ER13" s="391">
        <f t="shared" si="7"/>
        <v>0</v>
      </c>
      <c r="ES13" s="392">
        <f>IFERROR(EO13/EN13,0)</f>
        <v>0</v>
      </c>
      <c r="ET13" s="392">
        <f>IFERROR(EQ13/EP13,0)</f>
        <v>0</v>
      </c>
      <c r="EU13" s="393">
        <f>IFERROR((AA13+BE13+CI13+DM13+EO13)/(Z13+BD13+CH13+DL13+EN13),0)</f>
        <v>0</v>
      </c>
      <c r="EV13" s="394">
        <f>IFERROR((AA13+BE13+CI13+DM13+EQ13)/G13,0)</f>
        <v>0</v>
      </c>
      <c r="EW13" s="640"/>
      <c r="EX13" s="627"/>
      <c r="EY13" s="627"/>
      <c r="EZ13" s="629"/>
      <c r="FA13" s="666"/>
      <c r="FB13" s="625"/>
    </row>
    <row r="14" spans="1:158" ht="62.25" customHeight="1" x14ac:dyDescent="0.25">
      <c r="A14" s="604"/>
      <c r="B14" s="604"/>
      <c r="C14" s="604"/>
      <c r="D14" s="604"/>
      <c r="E14" s="604"/>
      <c r="F14" s="59" t="s">
        <v>326</v>
      </c>
      <c r="G14" s="395">
        <f>AA14+BE14+CI14+DM14+EP14</f>
        <v>762036803</v>
      </c>
      <c r="H14" s="396"/>
      <c r="I14" s="396"/>
      <c r="J14" s="396"/>
      <c r="K14" s="396"/>
      <c r="L14" s="396"/>
      <c r="M14" s="396"/>
      <c r="N14" s="397"/>
      <c r="O14" s="396"/>
      <c r="P14" s="398"/>
      <c r="Q14" s="396"/>
      <c r="R14" s="397"/>
      <c r="S14" s="396"/>
      <c r="T14" s="396"/>
      <c r="U14" s="396"/>
      <c r="V14" s="396"/>
      <c r="W14" s="396"/>
      <c r="X14" s="396"/>
      <c r="Y14" s="396"/>
      <c r="Z14" s="395"/>
      <c r="AA14" s="395"/>
      <c r="AB14" s="395">
        <f>+AC14+AE14+AG14+AI14+AK14+AM14+AO14+AQ14+AS14+AU14+AW14+AY14</f>
        <v>111261701</v>
      </c>
      <c r="AC14" s="395">
        <v>22135533</v>
      </c>
      <c r="AD14" s="395">
        <v>22135533</v>
      </c>
      <c r="AE14" s="395">
        <v>50305801</v>
      </c>
      <c r="AF14" s="395">
        <v>50305801</v>
      </c>
      <c r="AG14" s="395">
        <v>38820367</v>
      </c>
      <c r="AH14" s="395">
        <v>38820367</v>
      </c>
      <c r="AI14" s="395">
        <v>0</v>
      </c>
      <c r="AJ14" s="395">
        <v>0</v>
      </c>
      <c r="AK14" s="395"/>
      <c r="AL14" s="395"/>
      <c r="AM14" s="395"/>
      <c r="AN14" s="395"/>
      <c r="AO14" s="395"/>
      <c r="AP14" s="395"/>
      <c r="AQ14" s="395"/>
      <c r="AR14" s="395"/>
      <c r="AS14" s="395"/>
      <c r="AT14" s="395"/>
      <c r="AU14" s="395"/>
      <c r="AV14" s="395"/>
      <c r="AW14" s="395"/>
      <c r="AX14" s="395"/>
      <c r="AY14" s="395"/>
      <c r="AZ14" s="395"/>
      <c r="BA14" s="395">
        <f>AC14+AE14+AG14+AI14+AK14+AM14+AO14+AQ14+AS14+AU14+AW14+AY14</f>
        <v>111261701</v>
      </c>
      <c r="BB14" s="395">
        <f t="shared" si="0"/>
        <v>111261701</v>
      </c>
      <c r="BC14" s="395">
        <f t="shared" si="0"/>
        <v>111261701</v>
      </c>
      <c r="BD14" s="395">
        <f t="shared" si="1"/>
        <v>111261701</v>
      </c>
      <c r="BE14" s="395">
        <f t="shared" si="1"/>
        <v>111261701</v>
      </c>
      <c r="BF14" s="395">
        <v>179192543</v>
      </c>
      <c r="BG14" s="395">
        <v>46384200</v>
      </c>
      <c r="BH14" s="395">
        <v>46384200</v>
      </c>
      <c r="BI14" s="395">
        <v>77962855</v>
      </c>
      <c r="BJ14" s="395">
        <v>60814736</v>
      </c>
      <c r="BK14" s="395">
        <v>7441000</v>
      </c>
      <c r="BL14" s="395">
        <v>17709800</v>
      </c>
      <c r="BM14" s="395">
        <v>7441000</v>
      </c>
      <c r="BN14" s="395">
        <v>7441000</v>
      </c>
      <c r="BO14" s="395">
        <f>7441000-19572733</f>
        <v>-12131733</v>
      </c>
      <c r="BP14" s="395">
        <v>7441000</v>
      </c>
      <c r="BQ14" s="395">
        <v>7441000</v>
      </c>
      <c r="BR14" s="395">
        <v>7441000</v>
      </c>
      <c r="BS14" s="395">
        <v>7441000</v>
      </c>
      <c r="BT14" s="395">
        <v>7441000</v>
      </c>
      <c r="BU14" s="395">
        <v>4960667</v>
      </c>
      <c r="BV14" s="395">
        <v>4960667</v>
      </c>
      <c r="BW14" s="395">
        <v>-6876000</v>
      </c>
      <c r="BX14" s="395"/>
      <c r="BY14" s="395"/>
      <c r="BZ14" s="395"/>
      <c r="CA14" s="395"/>
      <c r="CB14" s="395"/>
      <c r="CC14" s="395">
        <v>19569414</v>
      </c>
      <c r="CD14" s="395"/>
      <c r="CE14" s="395">
        <f>BG14+BI14+BK14+BM14+BO14+BQ14+BS14+BU14+BW14+BY14+CA14+CC14</f>
        <v>159633403</v>
      </c>
      <c r="CF14" s="395">
        <f t="shared" si="2"/>
        <v>159633403</v>
      </c>
      <c r="CG14" s="395">
        <f t="shared" si="2"/>
        <v>159633403</v>
      </c>
      <c r="CH14" s="395">
        <f t="shared" si="3"/>
        <v>159633403</v>
      </c>
      <c r="CI14" s="395">
        <f t="shared" si="3"/>
        <v>159633403</v>
      </c>
      <c r="CJ14" s="395">
        <v>218537035</v>
      </c>
      <c r="CK14" s="395">
        <v>68003943</v>
      </c>
      <c r="CL14" s="395">
        <v>68003943</v>
      </c>
      <c r="CM14" s="395">
        <v>99719258</v>
      </c>
      <c r="CN14" s="395">
        <v>99719258</v>
      </c>
      <c r="CO14" s="395">
        <v>30551033</v>
      </c>
      <c r="CP14" s="395">
        <v>30551033</v>
      </c>
      <c r="CQ14" s="395">
        <v>17912100</v>
      </c>
      <c r="CR14" s="395">
        <v>3010000</v>
      </c>
      <c r="CS14" s="395"/>
      <c r="CT14" s="395">
        <v>2595633</v>
      </c>
      <c r="CU14" s="395"/>
      <c r="CV14" s="395">
        <v>6607067</v>
      </c>
      <c r="CW14" s="395">
        <v>-1</v>
      </c>
      <c r="CX14" s="395"/>
      <c r="CY14" s="395"/>
      <c r="CZ14" s="395">
        <v>0</v>
      </c>
      <c r="DA14" s="395">
        <v>-5699399</v>
      </c>
      <c r="DB14" s="395"/>
      <c r="DC14" s="395"/>
      <c r="DD14" s="399">
        <v>0</v>
      </c>
      <c r="DE14" s="395"/>
      <c r="DF14" s="395">
        <v>0</v>
      </c>
      <c r="DG14" s="395"/>
      <c r="DH14" s="395">
        <v>0</v>
      </c>
      <c r="DI14" s="395">
        <f>+CK14+CM14+CO14+CQ14+CS14+CU14+CW14+CY14+DA14+DC14+DE14+DG14</f>
        <v>210486934</v>
      </c>
      <c r="DJ14" s="401">
        <f>+CK14+CM14+CO14+CQ14+CS14+CU14+CW14+CY14+DA14+DC14+DE14+DG14</f>
        <v>210486934</v>
      </c>
      <c r="DK14" s="395">
        <f>CL14+CN14+CP14+CR14+CT14+CV14+CX14+CX14+CX14+CZ14+DB14+DD14+DF14+DH14</f>
        <v>210486934</v>
      </c>
      <c r="DL14" s="395">
        <f>+CK14+CM14+CO14+CQ14+CS14+CU14+CW14+CY14+DA14+DC14+DE14+DG14</f>
        <v>210486934</v>
      </c>
      <c r="DM14" s="395">
        <f>CL14+CN14+CP14+CR14+CT14+CV14+CX14+CX14+CX14+CZ14+DB14+DD14+DF14+DH14</f>
        <v>210486934</v>
      </c>
      <c r="DN14" s="395">
        <v>280654765</v>
      </c>
      <c r="DO14" s="397">
        <v>91660000</v>
      </c>
      <c r="DP14" s="397">
        <v>82271098</v>
      </c>
      <c r="DQ14" s="397">
        <v>134720466</v>
      </c>
      <c r="DR14" s="397">
        <v>119625734</v>
      </c>
      <c r="DS14" s="397">
        <v>54274299</v>
      </c>
      <c r="DT14" s="397">
        <v>5705834</v>
      </c>
      <c r="DU14" s="397"/>
      <c r="DV14" s="397">
        <v>44611099</v>
      </c>
      <c r="DW14" s="397"/>
      <c r="DX14" s="397">
        <v>0</v>
      </c>
      <c r="DY14" s="397"/>
      <c r="DZ14" s="397"/>
      <c r="EA14" s="397"/>
      <c r="EB14" s="397"/>
      <c r="EC14" s="397"/>
      <c r="ED14" s="397"/>
      <c r="EE14" s="397"/>
      <c r="EF14" s="397"/>
      <c r="EG14" s="397"/>
      <c r="EH14" s="397"/>
      <c r="EI14" s="397"/>
      <c r="EJ14" s="397"/>
      <c r="EK14" s="397"/>
      <c r="EL14" s="397"/>
      <c r="EM14" s="390">
        <f>+DO14+DQ14+DS14+DU14+DW14+DY14+EA14+EC14+EE14+EG14+EI14+EK14</f>
        <v>280654765</v>
      </c>
      <c r="EN14" s="390">
        <f t="shared" si="5"/>
        <v>280654765</v>
      </c>
      <c r="EO14" s="390">
        <f t="shared" si="5"/>
        <v>252213765</v>
      </c>
      <c r="EP14" s="390">
        <f t="shared" si="6"/>
        <v>280654765</v>
      </c>
      <c r="EQ14" s="390">
        <f t="shared" si="6"/>
        <v>252213765</v>
      </c>
      <c r="ER14" s="391">
        <f t="shared" si="7"/>
        <v>0</v>
      </c>
      <c r="ES14" s="392">
        <f t="shared" si="8"/>
        <v>0.89866197354603972</v>
      </c>
      <c r="ET14" s="392">
        <f t="shared" si="9"/>
        <v>0.89866197354603972</v>
      </c>
      <c r="EU14" s="393">
        <f t="shared" si="11"/>
        <v>0.96267765560923968</v>
      </c>
      <c r="EV14" s="394">
        <f t="shared" si="10"/>
        <v>0.96267765560923968</v>
      </c>
      <c r="EW14" s="640"/>
      <c r="EX14" s="627"/>
      <c r="EY14" s="627"/>
      <c r="EZ14" s="629"/>
      <c r="FA14" s="666"/>
      <c r="FB14" s="625"/>
    </row>
    <row r="15" spans="1:158" ht="75.75" customHeight="1" thickBot="1" x14ac:dyDescent="0.3">
      <c r="A15" s="604"/>
      <c r="B15" s="604"/>
      <c r="C15" s="604"/>
      <c r="D15" s="604"/>
      <c r="E15" s="604"/>
      <c r="F15" s="58" t="s">
        <v>327</v>
      </c>
      <c r="G15" s="419">
        <f>G10+G13</f>
        <v>24</v>
      </c>
      <c r="H15" s="422">
        <f>+H10+H13</f>
        <v>4</v>
      </c>
      <c r="I15" s="422"/>
      <c r="J15" s="422"/>
      <c r="K15" s="422">
        <v>4</v>
      </c>
      <c r="L15" s="423">
        <v>0.1</v>
      </c>
      <c r="M15" s="422">
        <v>4</v>
      </c>
      <c r="N15" s="423">
        <v>0.9</v>
      </c>
      <c r="O15" s="422">
        <v>4</v>
      </c>
      <c r="P15" s="423">
        <v>1.9</v>
      </c>
      <c r="Q15" s="422">
        <v>4</v>
      </c>
      <c r="R15" s="423">
        <v>2.65</v>
      </c>
      <c r="S15" s="422">
        <v>4</v>
      </c>
      <c r="T15" s="409">
        <v>3.5999999999999996</v>
      </c>
      <c r="U15" s="422">
        <v>4</v>
      </c>
      <c r="V15" s="422">
        <v>4</v>
      </c>
      <c r="W15" s="425">
        <v>4</v>
      </c>
      <c r="X15" s="425">
        <v>4</v>
      </c>
      <c r="Y15" s="425">
        <v>4</v>
      </c>
      <c r="Z15" s="425">
        <v>4</v>
      </c>
      <c r="AA15" s="425">
        <v>4</v>
      </c>
      <c r="AB15" s="409">
        <f t="shared" ref="AB15:AZ15" si="12">+AB10+AB13</f>
        <v>3</v>
      </c>
      <c r="AC15" s="409">
        <f t="shared" si="12"/>
        <v>0.13</v>
      </c>
      <c r="AD15" s="409">
        <f t="shared" si="12"/>
        <v>0.13</v>
      </c>
      <c r="AE15" s="409">
        <f t="shared" si="12"/>
        <v>0.15000000000000002</v>
      </c>
      <c r="AF15" s="409">
        <f t="shared" si="12"/>
        <v>0.15000000000000002</v>
      </c>
      <c r="AG15" s="409">
        <f t="shared" si="12"/>
        <v>0.15000000000000002</v>
      </c>
      <c r="AH15" s="409">
        <f t="shared" si="12"/>
        <v>0.15000000000000002</v>
      </c>
      <c r="AI15" s="409">
        <f t="shared" si="12"/>
        <v>0.24</v>
      </c>
      <c r="AJ15" s="409">
        <f t="shared" si="12"/>
        <v>0.24</v>
      </c>
      <c r="AK15" s="409">
        <f t="shared" si="12"/>
        <v>0.36</v>
      </c>
      <c r="AL15" s="409">
        <f t="shared" si="12"/>
        <v>0.36</v>
      </c>
      <c r="AM15" s="409">
        <f t="shared" si="12"/>
        <v>0.36</v>
      </c>
      <c r="AN15" s="409">
        <f t="shared" si="12"/>
        <v>0.36</v>
      </c>
      <c r="AO15" s="409">
        <f t="shared" si="12"/>
        <v>0.45</v>
      </c>
      <c r="AP15" s="409">
        <f t="shared" si="12"/>
        <v>0.45</v>
      </c>
      <c r="AQ15" s="409">
        <f t="shared" si="12"/>
        <v>0.36</v>
      </c>
      <c r="AR15" s="409">
        <f t="shared" si="12"/>
        <v>0.36</v>
      </c>
      <c r="AS15" s="409">
        <f t="shared" si="12"/>
        <v>0.3</v>
      </c>
      <c r="AT15" s="409">
        <f t="shared" si="12"/>
        <v>0.3</v>
      </c>
      <c r="AU15" s="409">
        <f t="shared" si="12"/>
        <v>0.23</v>
      </c>
      <c r="AV15" s="409">
        <f t="shared" si="12"/>
        <v>0.23</v>
      </c>
      <c r="AW15" s="409">
        <f t="shared" si="12"/>
        <v>0.14000000000000001</v>
      </c>
      <c r="AX15" s="409">
        <f t="shared" si="12"/>
        <v>0.14000000000000001</v>
      </c>
      <c r="AY15" s="409">
        <f t="shared" si="12"/>
        <v>0.13</v>
      </c>
      <c r="AZ15" s="409">
        <f t="shared" si="12"/>
        <v>0.13</v>
      </c>
      <c r="BA15" s="419">
        <f>AC15+AE15+AG15+AI15+AK15+AM15+AO15+AQ15+AS15+AU15+AW15+AY15</f>
        <v>3</v>
      </c>
      <c r="BB15" s="419">
        <f>+BB10+BB13</f>
        <v>3</v>
      </c>
      <c r="BC15" s="419">
        <f>+BC10+BC13</f>
        <v>3</v>
      </c>
      <c r="BD15" s="419">
        <f>BD10+BD13</f>
        <v>3</v>
      </c>
      <c r="BE15" s="419">
        <f>BE10+BE13</f>
        <v>3</v>
      </c>
      <c r="BF15" s="466">
        <f>+BG15+BI15+BK15+BM15+BO15+BQ15+BS15+BU15+BW15+BY15+CA15+CC15</f>
        <v>7.0000000000000009</v>
      </c>
      <c r="BG15" s="409">
        <f t="shared" ref="BG15:CD15" si="13">BG10+BG13</f>
        <v>0.1</v>
      </c>
      <c r="BH15" s="409">
        <f t="shared" si="13"/>
        <v>0.1</v>
      </c>
      <c r="BI15" s="409">
        <f t="shared" si="13"/>
        <v>0.24</v>
      </c>
      <c r="BJ15" s="409">
        <f t="shared" si="13"/>
        <v>0.24</v>
      </c>
      <c r="BK15" s="409">
        <f t="shared" si="13"/>
        <v>0.38</v>
      </c>
      <c r="BL15" s="409">
        <f t="shared" si="13"/>
        <v>0.38</v>
      </c>
      <c r="BM15" s="409">
        <f t="shared" si="13"/>
        <v>0.56000000000000005</v>
      </c>
      <c r="BN15" s="409">
        <f t="shared" si="13"/>
        <v>0.56000000000000005</v>
      </c>
      <c r="BO15" s="409">
        <f t="shared" si="13"/>
        <v>0.7</v>
      </c>
      <c r="BP15" s="409">
        <f t="shared" si="13"/>
        <v>0.7</v>
      </c>
      <c r="BQ15" s="409">
        <f t="shared" si="13"/>
        <v>0.78</v>
      </c>
      <c r="BR15" s="409">
        <f t="shared" si="13"/>
        <v>0.78</v>
      </c>
      <c r="BS15" s="409">
        <f t="shared" si="13"/>
        <v>0.78</v>
      </c>
      <c r="BT15" s="409">
        <f t="shared" si="13"/>
        <v>0.78</v>
      </c>
      <c r="BU15" s="409">
        <f t="shared" si="13"/>
        <v>0.74</v>
      </c>
      <c r="BV15" s="409">
        <f t="shared" si="13"/>
        <v>0.74</v>
      </c>
      <c r="BW15" s="409">
        <f t="shared" si="13"/>
        <v>0.7</v>
      </c>
      <c r="BX15" s="409">
        <f t="shared" si="13"/>
        <v>0.7</v>
      </c>
      <c r="BY15" s="409">
        <f t="shared" si="13"/>
        <v>0.7</v>
      </c>
      <c r="BZ15" s="409">
        <f t="shared" si="13"/>
        <v>0.7</v>
      </c>
      <c r="CA15" s="409">
        <f t="shared" si="13"/>
        <v>0.66</v>
      </c>
      <c r="CB15" s="409">
        <f t="shared" si="13"/>
        <v>0.66</v>
      </c>
      <c r="CC15" s="409">
        <f t="shared" si="13"/>
        <v>0.66</v>
      </c>
      <c r="CD15" s="466">
        <f t="shared" si="13"/>
        <v>0.66</v>
      </c>
      <c r="CE15" s="419">
        <f>BG15+BI15+BK15+BM15+BO15+BQ15+BS15+BU15+BW15+BY15+CA15+CC15</f>
        <v>7.0000000000000009</v>
      </c>
      <c r="CF15" s="419">
        <f>+CF10+CF13</f>
        <v>7.0000000000000009</v>
      </c>
      <c r="CG15" s="419">
        <f>+CG10+CG13</f>
        <v>7.0000000000000009</v>
      </c>
      <c r="CH15" s="419">
        <f>CH10+CH13</f>
        <v>7.0000000000000009</v>
      </c>
      <c r="CI15" s="419">
        <f>CI10+CI13</f>
        <v>7.0000000000000009</v>
      </c>
      <c r="CJ15" s="422">
        <f>+CJ10+CJ13</f>
        <v>6</v>
      </c>
      <c r="CK15" s="409">
        <f>CK10+CK13</f>
        <v>0.12</v>
      </c>
      <c r="CL15" s="409">
        <f t="shared" ref="CL15:DG15" si="14">+CL10+CL13</f>
        <v>0.12</v>
      </c>
      <c r="CM15" s="409">
        <f t="shared" si="14"/>
        <v>0.12</v>
      </c>
      <c r="CN15" s="409">
        <f t="shared" si="14"/>
        <v>0.12</v>
      </c>
      <c r="CO15" s="409">
        <f t="shared" si="14"/>
        <v>0.3</v>
      </c>
      <c r="CP15" s="409">
        <f t="shared" si="14"/>
        <v>0.3</v>
      </c>
      <c r="CQ15" s="409">
        <f t="shared" si="14"/>
        <v>0.6</v>
      </c>
      <c r="CR15" s="409">
        <f t="shared" si="14"/>
        <v>0.6</v>
      </c>
      <c r="CS15" s="409">
        <f t="shared" si="14"/>
        <v>0.9</v>
      </c>
      <c r="CT15" s="409">
        <f t="shared" si="14"/>
        <v>0.9</v>
      </c>
      <c r="CU15" s="409">
        <f t="shared" si="14"/>
        <v>0.9</v>
      </c>
      <c r="CV15" s="409">
        <f t="shared" si="14"/>
        <v>0.9</v>
      </c>
      <c r="CW15" s="409">
        <f t="shared" si="14"/>
        <v>0.9</v>
      </c>
      <c r="CX15" s="409">
        <f t="shared" si="14"/>
        <v>0.9</v>
      </c>
      <c r="CY15" s="409">
        <f t="shared" si="14"/>
        <v>0.6</v>
      </c>
      <c r="CZ15" s="409">
        <f t="shared" si="14"/>
        <v>0.6</v>
      </c>
      <c r="DA15" s="409">
        <f t="shared" si="14"/>
        <v>0.6</v>
      </c>
      <c r="DB15" s="409">
        <f t="shared" si="14"/>
        <v>0.6</v>
      </c>
      <c r="DC15" s="409">
        <f t="shared" si="14"/>
        <v>0.36</v>
      </c>
      <c r="DD15" s="426">
        <f t="shared" si="14"/>
        <v>0.36</v>
      </c>
      <c r="DE15" s="409">
        <f t="shared" si="14"/>
        <v>0.3</v>
      </c>
      <c r="DF15" s="409">
        <f t="shared" si="14"/>
        <v>0.3</v>
      </c>
      <c r="DG15" s="409">
        <f t="shared" si="14"/>
        <v>0.3</v>
      </c>
      <c r="DH15" s="409">
        <f>+DH10+DH13</f>
        <v>0.3</v>
      </c>
      <c r="DI15" s="422">
        <f t="shared" si="4"/>
        <v>5.9999999999999991</v>
      </c>
      <c r="DJ15" s="409">
        <f>DJ10+DJ13</f>
        <v>5.9999999999999991</v>
      </c>
      <c r="DK15" s="409">
        <f>+DK10+DK13</f>
        <v>5.9999999999999991</v>
      </c>
      <c r="DL15" s="422">
        <f>DL10+DL13</f>
        <v>5.9999999999999991</v>
      </c>
      <c r="DM15" s="409">
        <f>DM10+DM13</f>
        <v>5.9999999999999991</v>
      </c>
      <c r="DN15" s="409">
        <f>+DN10+DN13</f>
        <v>4</v>
      </c>
      <c r="DO15" s="409">
        <f t="shared" ref="DO15:DX15" si="15">+DO10+DO13</f>
        <v>0.4</v>
      </c>
      <c r="DP15" s="409">
        <f t="shared" si="15"/>
        <v>0.4</v>
      </c>
      <c r="DQ15" s="409">
        <f t="shared" si="15"/>
        <v>0.6</v>
      </c>
      <c r="DR15" s="409">
        <f t="shared" si="15"/>
        <v>0.6</v>
      </c>
      <c r="DS15" s="409">
        <f t="shared" si="15"/>
        <v>1</v>
      </c>
      <c r="DT15" s="409">
        <f t="shared" si="15"/>
        <v>1</v>
      </c>
      <c r="DU15" s="409">
        <f t="shared" si="15"/>
        <v>1</v>
      </c>
      <c r="DV15" s="409">
        <f t="shared" si="15"/>
        <v>1</v>
      </c>
      <c r="DW15" s="409">
        <f t="shared" si="15"/>
        <v>1</v>
      </c>
      <c r="DX15" s="409">
        <f t="shared" si="15"/>
        <v>1</v>
      </c>
      <c r="DY15" s="422">
        <f t="shared" ref="DY15:EL15" si="16">+DY10+DY13</f>
        <v>0</v>
      </c>
      <c r="DZ15" s="422">
        <f t="shared" si="16"/>
        <v>0</v>
      </c>
      <c r="EA15" s="422">
        <f t="shared" si="16"/>
        <v>0</v>
      </c>
      <c r="EB15" s="422">
        <f t="shared" si="16"/>
        <v>0</v>
      </c>
      <c r="EC15" s="422">
        <f t="shared" si="16"/>
        <v>0</v>
      </c>
      <c r="ED15" s="422">
        <f t="shared" si="16"/>
        <v>0</v>
      </c>
      <c r="EE15" s="422">
        <f t="shared" si="16"/>
        <v>0</v>
      </c>
      <c r="EF15" s="422">
        <f t="shared" si="16"/>
        <v>0</v>
      </c>
      <c r="EG15" s="422">
        <f t="shared" si="16"/>
        <v>0</v>
      </c>
      <c r="EH15" s="422">
        <f t="shared" si="16"/>
        <v>0</v>
      </c>
      <c r="EI15" s="422">
        <f t="shared" si="16"/>
        <v>0</v>
      </c>
      <c r="EJ15" s="422">
        <f t="shared" si="16"/>
        <v>0</v>
      </c>
      <c r="EK15" s="422">
        <f t="shared" si="16"/>
        <v>0</v>
      </c>
      <c r="EL15" s="422">
        <f t="shared" si="16"/>
        <v>0</v>
      </c>
      <c r="EM15" s="409">
        <f>+EM10+EM13</f>
        <v>4</v>
      </c>
      <c r="EN15" s="409">
        <f>+EN10+EN13</f>
        <v>4</v>
      </c>
      <c r="EO15" s="409">
        <f>+EO10+EO13</f>
        <v>4</v>
      </c>
      <c r="EP15" s="409">
        <f>+EP10+EP13</f>
        <v>4</v>
      </c>
      <c r="EQ15" s="409">
        <f>+EQ10+EQ13</f>
        <v>4</v>
      </c>
      <c r="ER15" s="467">
        <f t="shared" si="7"/>
        <v>1</v>
      </c>
      <c r="ES15" s="468">
        <f t="shared" si="8"/>
        <v>1</v>
      </c>
      <c r="ET15" s="468">
        <f t="shared" si="9"/>
        <v>1</v>
      </c>
      <c r="EU15" s="469">
        <f t="shared" si="11"/>
        <v>1</v>
      </c>
      <c r="EV15" s="470">
        <f t="shared" si="10"/>
        <v>1</v>
      </c>
      <c r="EW15" s="640"/>
      <c r="EX15" s="627"/>
      <c r="EY15" s="627"/>
      <c r="EZ15" s="629"/>
      <c r="FA15" s="666"/>
      <c r="FB15" s="625"/>
    </row>
    <row r="16" spans="1:158" ht="64.5" customHeight="1" thickBot="1" x14ac:dyDescent="0.3">
      <c r="A16" s="606"/>
      <c r="B16" s="606"/>
      <c r="C16" s="606"/>
      <c r="D16" s="606"/>
      <c r="E16" s="606"/>
      <c r="F16" s="61" t="s">
        <v>328</v>
      </c>
      <c r="G16" s="477">
        <f>G11+G14</f>
        <v>7863486144</v>
      </c>
      <c r="H16" s="275">
        <f t="shared" ref="H16:DM16" si="17">H11+H14</f>
        <v>355014000</v>
      </c>
      <c r="I16" s="275">
        <f t="shared" si="17"/>
        <v>0</v>
      </c>
      <c r="J16" s="275">
        <f t="shared" si="17"/>
        <v>0</v>
      </c>
      <c r="K16" s="275">
        <f t="shared" si="17"/>
        <v>355014000</v>
      </c>
      <c r="L16" s="275">
        <f t="shared" si="17"/>
        <v>85592000</v>
      </c>
      <c r="M16" s="275">
        <f t="shared" si="17"/>
        <v>355014000</v>
      </c>
      <c r="N16" s="275">
        <f t="shared" si="17"/>
        <v>233828000</v>
      </c>
      <c r="O16" s="275">
        <f t="shared" si="17"/>
        <v>355014000</v>
      </c>
      <c r="P16" s="275">
        <f t="shared" si="17"/>
        <v>233828000</v>
      </c>
      <c r="Q16" s="275">
        <f t="shared" si="17"/>
        <v>364736000</v>
      </c>
      <c r="R16" s="275">
        <f t="shared" si="17"/>
        <v>233828000</v>
      </c>
      <c r="S16" s="275">
        <f t="shared" si="17"/>
        <v>364736000</v>
      </c>
      <c r="T16" s="275">
        <f t="shared" si="17"/>
        <v>262868000</v>
      </c>
      <c r="U16" s="275">
        <f t="shared" si="17"/>
        <v>364736000</v>
      </c>
      <c r="V16" s="275">
        <f t="shared" si="17"/>
        <v>354700000</v>
      </c>
      <c r="W16" s="275">
        <f t="shared" si="17"/>
        <v>355014000</v>
      </c>
      <c r="X16" s="275">
        <f t="shared" si="17"/>
        <v>354700000</v>
      </c>
      <c r="Y16" s="275">
        <f t="shared" si="17"/>
        <v>354700000</v>
      </c>
      <c r="Z16" s="275">
        <f t="shared" si="17"/>
        <v>364736000</v>
      </c>
      <c r="AA16" s="275">
        <f t="shared" si="17"/>
        <v>354700000</v>
      </c>
      <c r="AB16" s="275">
        <f t="shared" si="17"/>
        <v>1390846701</v>
      </c>
      <c r="AC16" s="275">
        <f t="shared" si="17"/>
        <v>22135533</v>
      </c>
      <c r="AD16" s="275">
        <f t="shared" si="17"/>
        <v>22135533</v>
      </c>
      <c r="AE16" s="275">
        <f t="shared" si="17"/>
        <v>444061801</v>
      </c>
      <c r="AF16" s="275">
        <f t="shared" si="17"/>
        <v>444061801</v>
      </c>
      <c r="AG16" s="275">
        <f t="shared" si="17"/>
        <v>632695092</v>
      </c>
      <c r="AH16" s="275">
        <f t="shared" si="17"/>
        <v>632695092</v>
      </c>
      <c r="AI16" s="275">
        <f t="shared" si="17"/>
        <v>0</v>
      </c>
      <c r="AJ16" s="275">
        <f t="shared" si="17"/>
        <v>0</v>
      </c>
      <c r="AK16" s="275">
        <f t="shared" si="17"/>
        <v>14980000</v>
      </c>
      <c r="AL16" s="275">
        <f t="shared" si="17"/>
        <v>14980000</v>
      </c>
      <c r="AM16" s="275">
        <f t="shared" si="17"/>
        <v>31425000</v>
      </c>
      <c r="AN16" s="275">
        <f t="shared" si="17"/>
        <v>0</v>
      </c>
      <c r="AO16" s="275">
        <f t="shared" si="17"/>
        <v>0</v>
      </c>
      <c r="AP16" s="275">
        <f t="shared" si="17"/>
        <v>0</v>
      </c>
      <c r="AQ16" s="275">
        <f t="shared" si="17"/>
        <v>25140000</v>
      </c>
      <c r="AR16" s="275">
        <f t="shared" si="17"/>
        <v>25140000</v>
      </c>
      <c r="AS16" s="275">
        <f t="shared" si="17"/>
        <v>0</v>
      </c>
      <c r="AT16" s="275">
        <f t="shared" si="17"/>
        <v>25140000</v>
      </c>
      <c r="AU16" s="275">
        <f t="shared" si="17"/>
        <v>4280000</v>
      </c>
      <c r="AV16" s="275">
        <f t="shared" si="17"/>
        <v>0</v>
      </c>
      <c r="AW16" s="275">
        <f t="shared" si="17"/>
        <v>71287000</v>
      </c>
      <c r="AX16" s="275">
        <f t="shared" si="17"/>
        <v>0</v>
      </c>
      <c r="AY16" s="275">
        <f t="shared" si="17"/>
        <v>59634017</v>
      </c>
      <c r="AZ16" s="275">
        <f t="shared" si="17"/>
        <v>96468189</v>
      </c>
      <c r="BA16" s="275">
        <f t="shared" si="17"/>
        <v>1305638443</v>
      </c>
      <c r="BB16" s="275">
        <f t="shared" si="17"/>
        <v>1305638443</v>
      </c>
      <c r="BC16" s="275">
        <f t="shared" si="17"/>
        <v>1260620615</v>
      </c>
      <c r="BD16" s="275">
        <f t="shared" si="17"/>
        <v>1305638443</v>
      </c>
      <c r="BE16" s="275">
        <f t="shared" si="17"/>
        <v>1260620615</v>
      </c>
      <c r="BF16" s="275">
        <f t="shared" si="17"/>
        <v>1405449543</v>
      </c>
      <c r="BG16" s="275">
        <f t="shared" si="17"/>
        <v>1227031706</v>
      </c>
      <c r="BH16" s="275">
        <f t="shared" si="17"/>
        <v>1227031706</v>
      </c>
      <c r="BI16" s="275">
        <f t="shared" si="17"/>
        <v>77962855</v>
      </c>
      <c r="BJ16" s="275">
        <f t="shared" si="17"/>
        <v>60814736</v>
      </c>
      <c r="BK16" s="275">
        <f t="shared" si="17"/>
        <v>7441000</v>
      </c>
      <c r="BL16" s="275">
        <f t="shared" si="17"/>
        <v>17709800</v>
      </c>
      <c r="BM16" s="275">
        <f t="shared" si="17"/>
        <v>7441000</v>
      </c>
      <c r="BN16" s="275">
        <f t="shared" si="17"/>
        <v>7441000</v>
      </c>
      <c r="BO16" s="275">
        <f t="shared" si="17"/>
        <v>-12131733</v>
      </c>
      <c r="BP16" s="275">
        <f t="shared" si="17"/>
        <v>7441000</v>
      </c>
      <c r="BQ16" s="275">
        <f t="shared" si="17"/>
        <v>7441000</v>
      </c>
      <c r="BR16" s="275">
        <f t="shared" si="17"/>
        <v>7441000</v>
      </c>
      <c r="BS16" s="275">
        <f t="shared" si="17"/>
        <v>42987000</v>
      </c>
      <c r="BT16" s="275">
        <f t="shared" si="17"/>
        <v>42987000</v>
      </c>
      <c r="BU16" s="275">
        <f t="shared" si="17"/>
        <v>158105334</v>
      </c>
      <c r="BV16" s="275">
        <f t="shared" si="17"/>
        <v>117871334</v>
      </c>
      <c r="BW16" s="275">
        <f t="shared" si="17"/>
        <v>16964600</v>
      </c>
      <c r="BX16" s="275">
        <f t="shared" si="17"/>
        <v>46014600</v>
      </c>
      <c r="BY16" s="275">
        <f t="shared" si="17"/>
        <v>15813800</v>
      </c>
      <c r="BZ16" s="275">
        <f t="shared" si="17"/>
        <v>-2577000</v>
      </c>
      <c r="CA16" s="275">
        <f t="shared" si="17"/>
        <v>84136233</v>
      </c>
      <c r="CB16" s="275">
        <f t="shared" si="17"/>
        <v>56686100</v>
      </c>
      <c r="CC16" s="275">
        <f t="shared" si="17"/>
        <v>71982522.666666657</v>
      </c>
      <c r="CD16" s="275">
        <f t="shared" si="17"/>
        <v>114307375</v>
      </c>
      <c r="CE16" s="275">
        <f t="shared" si="17"/>
        <v>1705175317.6666667</v>
      </c>
      <c r="CF16" s="275">
        <f t="shared" si="17"/>
        <v>1705175317.6666667</v>
      </c>
      <c r="CG16" s="275">
        <f t="shared" si="17"/>
        <v>1703168651</v>
      </c>
      <c r="CH16" s="275">
        <f t="shared" si="17"/>
        <v>1705175317.6666667</v>
      </c>
      <c r="CI16" s="275">
        <f t="shared" si="17"/>
        <v>1703168651</v>
      </c>
      <c r="CJ16" s="275">
        <f t="shared" si="17"/>
        <v>1798955035</v>
      </c>
      <c r="CK16" s="275">
        <f t="shared" si="17"/>
        <v>68003943</v>
      </c>
      <c r="CL16" s="275">
        <f t="shared" si="17"/>
        <v>68003943</v>
      </c>
      <c r="CM16" s="275">
        <f t="shared" si="17"/>
        <v>1138981242</v>
      </c>
      <c r="CN16" s="275">
        <f t="shared" si="17"/>
        <v>1138981242</v>
      </c>
      <c r="CO16" s="275">
        <f t="shared" si="17"/>
        <v>233714033</v>
      </c>
      <c r="CP16" s="275">
        <f t="shared" si="17"/>
        <v>233714033</v>
      </c>
      <c r="CQ16" s="275">
        <f t="shared" si="17"/>
        <v>239556100</v>
      </c>
      <c r="CR16" s="275">
        <f t="shared" si="17"/>
        <v>71762000</v>
      </c>
      <c r="CS16" s="275">
        <f t="shared" si="17"/>
        <v>102592000</v>
      </c>
      <c r="CT16" s="275">
        <f t="shared" si="17"/>
        <v>44794633</v>
      </c>
      <c r="CU16" s="275">
        <f t="shared" si="17"/>
        <v>46656000</v>
      </c>
      <c r="CV16" s="275">
        <f t="shared" si="17"/>
        <v>112947067</v>
      </c>
      <c r="CW16" s="275">
        <f t="shared" si="17"/>
        <v>-1</v>
      </c>
      <c r="CX16" s="275">
        <f t="shared" si="17"/>
        <v>40911000</v>
      </c>
      <c r="CY16" s="275">
        <f t="shared" si="17"/>
        <v>0</v>
      </c>
      <c r="CZ16" s="275">
        <f t="shared" si="17"/>
        <v>0</v>
      </c>
      <c r="DA16" s="275">
        <f t="shared" si="17"/>
        <v>-5699399</v>
      </c>
      <c r="DB16" s="275">
        <f t="shared" si="17"/>
        <v>8245000</v>
      </c>
      <c r="DC16" s="275">
        <f t="shared" si="17"/>
        <v>-69527000</v>
      </c>
      <c r="DD16" s="478">
        <f t="shared" si="17"/>
        <v>0</v>
      </c>
      <c r="DE16" s="275">
        <f t="shared" si="17"/>
        <v>239585457</v>
      </c>
      <c r="DF16" s="275">
        <f t="shared" si="17"/>
        <v>5016667</v>
      </c>
      <c r="DG16" s="275">
        <f t="shared" si="17"/>
        <v>0</v>
      </c>
      <c r="DH16" s="275">
        <f t="shared" si="17"/>
        <v>241033528</v>
      </c>
      <c r="DI16" s="275">
        <f>DI11+DI14</f>
        <v>1993862375</v>
      </c>
      <c r="DJ16" s="275">
        <f>DJ11+DJ14</f>
        <v>1993862375</v>
      </c>
      <c r="DK16" s="275">
        <f>DK11+DK14</f>
        <v>1965409113</v>
      </c>
      <c r="DL16" s="275">
        <f t="shared" si="17"/>
        <v>1993862375</v>
      </c>
      <c r="DM16" s="275">
        <f t="shared" si="17"/>
        <v>1965409113</v>
      </c>
      <c r="DN16" s="275">
        <f>DN11+DN14</f>
        <v>2579587765</v>
      </c>
      <c r="DO16" s="275">
        <f t="shared" ref="DO16:DW16" si="18">DO11+DO14</f>
        <v>912537000</v>
      </c>
      <c r="DP16" s="275">
        <f t="shared" si="18"/>
        <v>275004098</v>
      </c>
      <c r="DQ16" s="275">
        <f t="shared" si="18"/>
        <v>784720466</v>
      </c>
      <c r="DR16" s="275">
        <f t="shared" si="18"/>
        <v>213123734</v>
      </c>
      <c r="DS16" s="275">
        <f t="shared" si="18"/>
        <v>54274299</v>
      </c>
      <c r="DT16" s="275">
        <f t="shared" si="18"/>
        <v>5705834</v>
      </c>
      <c r="DU16" s="275">
        <f t="shared" si="18"/>
        <v>828056000</v>
      </c>
      <c r="DV16" s="275">
        <f t="shared" si="18"/>
        <v>314329099</v>
      </c>
      <c r="DW16" s="275">
        <f t="shared" si="18"/>
        <v>0</v>
      </c>
      <c r="DX16" s="275">
        <f>DX11+DX14</f>
        <v>635841830</v>
      </c>
      <c r="DY16" s="275">
        <f t="shared" ref="DY16:EL16" si="19">DY11+DY14</f>
        <v>0</v>
      </c>
      <c r="DZ16" s="275">
        <f t="shared" si="19"/>
        <v>0</v>
      </c>
      <c r="EA16" s="275">
        <f t="shared" si="19"/>
        <v>0</v>
      </c>
      <c r="EB16" s="275">
        <f t="shared" si="19"/>
        <v>0</v>
      </c>
      <c r="EC16" s="275">
        <f t="shared" si="19"/>
        <v>0</v>
      </c>
      <c r="ED16" s="275">
        <f t="shared" si="19"/>
        <v>0</v>
      </c>
      <c r="EE16" s="275">
        <f t="shared" si="19"/>
        <v>0</v>
      </c>
      <c r="EF16" s="275">
        <f t="shared" si="19"/>
        <v>0</v>
      </c>
      <c r="EG16" s="275">
        <f t="shared" si="19"/>
        <v>0</v>
      </c>
      <c r="EH16" s="275">
        <f t="shared" si="19"/>
        <v>0</v>
      </c>
      <c r="EI16" s="275">
        <f t="shared" si="19"/>
        <v>0</v>
      </c>
      <c r="EJ16" s="275">
        <f t="shared" si="19"/>
        <v>0</v>
      </c>
      <c r="EK16" s="275">
        <f t="shared" si="19"/>
        <v>0</v>
      </c>
      <c r="EL16" s="275">
        <f t="shared" si="19"/>
        <v>0</v>
      </c>
      <c r="EM16" s="275">
        <f>EM11+EM14</f>
        <v>2579587765</v>
      </c>
      <c r="EN16" s="479">
        <f>EN11+EN14</f>
        <v>2579587765</v>
      </c>
      <c r="EO16" s="477">
        <f>EO11+EO14</f>
        <v>1444004595</v>
      </c>
      <c r="EP16" s="275">
        <f>EP11+EP14</f>
        <v>2579587765</v>
      </c>
      <c r="EQ16" s="479">
        <f>EQ11+EQ14</f>
        <v>1444004595</v>
      </c>
      <c r="ER16" s="480">
        <f>IFERROR(DX16/DW16,0)</f>
        <v>0</v>
      </c>
      <c r="ES16" s="481">
        <f t="shared" si="8"/>
        <v>0.55978114588398198</v>
      </c>
      <c r="ET16" s="481">
        <f t="shared" si="9"/>
        <v>0.55978114588398198</v>
      </c>
      <c r="EU16" s="482">
        <f t="shared" si="11"/>
        <v>0.8463835775662476</v>
      </c>
      <c r="EV16" s="483">
        <f t="shared" si="10"/>
        <v>0.8555878208208616</v>
      </c>
      <c r="EW16" s="641"/>
      <c r="EX16" s="627"/>
      <c r="EY16" s="627"/>
      <c r="EZ16" s="629"/>
      <c r="FA16" s="666"/>
      <c r="FB16" s="625"/>
    </row>
    <row r="17" spans="1:158" ht="55.5" customHeight="1" x14ac:dyDescent="0.25">
      <c r="A17" s="642" t="s">
        <v>329</v>
      </c>
      <c r="B17" s="642">
        <v>2</v>
      </c>
      <c r="C17" s="645" t="s">
        <v>330</v>
      </c>
      <c r="D17" s="642" t="s">
        <v>178</v>
      </c>
      <c r="E17" s="642">
        <v>457</v>
      </c>
      <c r="F17" s="62" t="s">
        <v>322</v>
      </c>
      <c r="G17" s="412">
        <f>AA17+BE17+CI17+DL17+DN17</f>
        <v>15</v>
      </c>
      <c r="H17" s="429">
        <v>2</v>
      </c>
      <c r="I17" s="429"/>
      <c r="J17" s="429"/>
      <c r="K17" s="429">
        <v>2</v>
      </c>
      <c r="L17" s="412">
        <v>0.1</v>
      </c>
      <c r="M17" s="429">
        <v>2</v>
      </c>
      <c r="N17" s="471">
        <v>0.5</v>
      </c>
      <c r="O17" s="429">
        <v>2</v>
      </c>
      <c r="P17" s="471">
        <v>1</v>
      </c>
      <c r="Q17" s="429">
        <v>2</v>
      </c>
      <c r="R17" s="471">
        <v>1.3</v>
      </c>
      <c r="S17" s="429">
        <v>2</v>
      </c>
      <c r="T17" s="412">
        <v>1.9</v>
      </c>
      <c r="U17" s="429">
        <v>2</v>
      </c>
      <c r="V17" s="429">
        <v>2</v>
      </c>
      <c r="W17" s="429">
        <v>2</v>
      </c>
      <c r="X17" s="429">
        <v>2</v>
      </c>
      <c r="Y17" s="429">
        <v>2</v>
      </c>
      <c r="Z17" s="429">
        <v>2</v>
      </c>
      <c r="AA17" s="429">
        <v>2</v>
      </c>
      <c r="AB17" s="412">
        <f>+AC17+AE17+AG17+AI17+AK17+AM17+AO17+AQ17+AS17+AU17+AW17+AY17</f>
        <v>2</v>
      </c>
      <c r="AC17" s="412">
        <v>0.06</v>
      </c>
      <c r="AD17" s="414">
        <v>0.06</v>
      </c>
      <c r="AE17" s="412">
        <v>0.1</v>
      </c>
      <c r="AF17" s="414">
        <v>0.1</v>
      </c>
      <c r="AG17" s="412">
        <v>0.1</v>
      </c>
      <c r="AH17" s="412">
        <v>0.1</v>
      </c>
      <c r="AI17" s="412">
        <v>9.9999999999999978E-2</v>
      </c>
      <c r="AJ17" s="412">
        <v>9.9999999999999978E-2</v>
      </c>
      <c r="AK17" s="412">
        <v>0.3</v>
      </c>
      <c r="AL17" s="412">
        <v>0.3</v>
      </c>
      <c r="AM17" s="412">
        <v>0.3</v>
      </c>
      <c r="AN17" s="412">
        <v>0.3</v>
      </c>
      <c r="AO17" s="412">
        <v>0.3</v>
      </c>
      <c r="AP17" s="412">
        <v>0.3</v>
      </c>
      <c r="AQ17" s="412">
        <v>0.3</v>
      </c>
      <c r="AR17" s="412">
        <v>0.3</v>
      </c>
      <c r="AS17" s="412">
        <v>0.2</v>
      </c>
      <c r="AT17" s="412">
        <v>0.2</v>
      </c>
      <c r="AU17" s="412">
        <v>0.08</v>
      </c>
      <c r="AV17" s="412">
        <v>0.08</v>
      </c>
      <c r="AW17" s="412">
        <v>0.08</v>
      </c>
      <c r="AX17" s="412">
        <v>0.08</v>
      </c>
      <c r="AY17" s="412">
        <v>0.08</v>
      </c>
      <c r="AZ17" s="429">
        <v>0.08</v>
      </c>
      <c r="BA17" s="432">
        <f>+AC17+AE17+AG17+AI17+AK17+AM17+AO17+AQ17+AS17+AU17+AW17+AY17</f>
        <v>2</v>
      </c>
      <c r="BB17" s="432">
        <f t="shared" ref="BB17:BC21" si="20">+AC17+AE17+AG17+AI17+AK17+AM17+AO17+AQ17+AS17+AU17+AW17+AY17</f>
        <v>2</v>
      </c>
      <c r="BC17" s="432">
        <f t="shared" si="20"/>
        <v>2</v>
      </c>
      <c r="BD17" s="432">
        <f t="shared" ref="BD17:BE21" si="21">AC17+AE17+AG17+AI17+AK17+AM17+AO17+AQ17+AS17+AU17+AW17+AY17</f>
        <v>2</v>
      </c>
      <c r="BE17" s="432">
        <f t="shared" si="21"/>
        <v>2</v>
      </c>
      <c r="BF17" s="412">
        <v>4</v>
      </c>
      <c r="BG17" s="412">
        <v>0.04</v>
      </c>
      <c r="BH17" s="412">
        <v>0.04</v>
      </c>
      <c r="BI17" s="412">
        <v>0.16</v>
      </c>
      <c r="BJ17" s="412">
        <v>0.16</v>
      </c>
      <c r="BK17" s="412">
        <v>0.24</v>
      </c>
      <c r="BL17" s="412">
        <v>0.24</v>
      </c>
      <c r="BM17" s="412">
        <v>0.36</v>
      </c>
      <c r="BN17" s="412">
        <v>0.36</v>
      </c>
      <c r="BO17" s="412">
        <v>0.44</v>
      </c>
      <c r="BP17" s="412">
        <v>0.44</v>
      </c>
      <c r="BQ17" s="412">
        <v>0.48</v>
      </c>
      <c r="BR17" s="412">
        <v>0.48</v>
      </c>
      <c r="BS17" s="412">
        <v>0.4</v>
      </c>
      <c r="BT17" s="412">
        <v>0.4</v>
      </c>
      <c r="BU17" s="412">
        <v>0.4</v>
      </c>
      <c r="BV17" s="412">
        <v>0.4</v>
      </c>
      <c r="BW17" s="412">
        <v>0.4</v>
      </c>
      <c r="BX17" s="412">
        <v>0.4</v>
      </c>
      <c r="BY17" s="412">
        <v>0.4</v>
      </c>
      <c r="BZ17" s="412">
        <v>0.4</v>
      </c>
      <c r="CA17" s="412">
        <v>0.36</v>
      </c>
      <c r="CB17" s="412">
        <v>0.36</v>
      </c>
      <c r="CC17" s="412">
        <v>0.32</v>
      </c>
      <c r="CD17" s="412">
        <v>0.32</v>
      </c>
      <c r="CE17" s="432">
        <f>+BG17+BI17+BK17+BM17+BO17+BQ17+BS17+BU17+BW17+BY17+CA17+CC17</f>
        <v>3.9999999999999996</v>
      </c>
      <c r="CF17" s="432">
        <f t="shared" ref="CF17:CG19" si="22">+BG17+BI17+BK17+BM17+BO17+BQ17+BS17+BU17+BW17+BY17+CA17+CC17</f>
        <v>3.9999999999999996</v>
      </c>
      <c r="CG17" s="432">
        <f t="shared" si="22"/>
        <v>3.9999999999999996</v>
      </c>
      <c r="CH17" s="432">
        <f t="shared" ref="CH17:CI21" si="23">BG17+BI17+BK17+BM17+BO17+BQ17+BS17+BU17+BW17+BY17+CA17+CC17</f>
        <v>3.9999999999999996</v>
      </c>
      <c r="CI17" s="432">
        <f t="shared" si="23"/>
        <v>3.9999999999999996</v>
      </c>
      <c r="CJ17" s="429">
        <v>5</v>
      </c>
      <c r="CK17" s="412">
        <v>0.15</v>
      </c>
      <c r="CL17" s="412">
        <v>0.15</v>
      </c>
      <c r="CM17" s="412">
        <v>0.2</v>
      </c>
      <c r="CN17" s="412">
        <v>0.2</v>
      </c>
      <c r="CO17" s="412">
        <v>0.3</v>
      </c>
      <c r="CP17" s="412">
        <v>0.3</v>
      </c>
      <c r="CQ17" s="412">
        <v>0.35</v>
      </c>
      <c r="CR17" s="412">
        <v>0.35</v>
      </c>
      <c r="CS17" s="412">
        <v>0.55000000000000004</v>
      </c>
      <c r="CT17" s="412">
        <v>0.55000000000000004</v>
      </c>
      <c r="CU17" s="412">
        <v>0.8</v>
      </c>
      <c r="CV17" s="412">
        <v>0.8</v>
      </c>
      <c r="CW17" s="412">
        <v>0.85</v>
      </c>
      <c r="CX17" s="412">
        <v>0.85</v>
      </c>
      <c r="CY17" s="412">
        <v>0.6</v>
      </c>
      <c r="CZ17" s="412">
        <v>0.6</v>
      </c>
      <c r="DA17" s="412">
        <v>0.4</v>
      </c>
      <c r="DB17" s="412">
        <v>0.4</v>
      </c>
      <c r="DC17" s="412">
        <v>0.35</v>
      </c>
      <c r="DD17" s="434">
        <v>0.35</v>
      </c>
      <c r="DE17" s="412">
        <v>0.25</v>
      </c>
      <c r="DF17" s="412">
        <v>0.25</v>
      </c>
      <c r="DG17" s="412">
        <v>0.2</v>
      </c>
      <c r="DH17" s="412">
        <v>0.2</v>
      </c>
      <c r="DI17" s="429">
        <f t="shared" ref="DI17:DI22" si="24">+CK17+CM17+CO17+CQ17+CS17+CU17+CW17+CY17+DA17+DC17+DE17+DG17</f>
        <v>5</v>
      </c>
      <c r="DJ17" s="412">
        <f>+CK17+CM17+CO17+CQ17+CS17+CU17+CW17+CY17+DA17+DC17+DE17+DG17</f>
        <v>5</v>
      </c>
      <c r="DK17" s="412">
        <f>CL17+CN17+CP17+CR17+CT17+CV17+CX17+CZ17+DB17+DD17+DF17+DH17</f>
        <v>5</v>
      </c>
      <c r="DL17" s="412">
        <f>+CK17+CM17+CO17+CQ17+CS17+CU17+CW17+CY17+DA17+DC17+DE17+DG17</f>
        <v>5</v>
      </c>
      <c r="DM17" s="412">
        <f>CL17+CN17+CP17+CR17+CT17+CV17+CX17+CZ17+DB17+DD17+DF17+DH17</f>
        <v>5</v>
      </c>
      <c r="DN17" s="472">
        <v>2</v>
      </c>
      <c r="DO17" s="435">
        <v>0.2</v>
      </c>
      <c r="DP17" s="435">
        <v>0.2</v>
      </c>
      <c r="DQ17" s="435">
        <v>0.3</v>
      </c>
      <c r="DR17" s="435">
        <v>0.3</v>
      </c>
      <c r="DS17" s="435">
        <v>0.5</v>
      </c>
      <c r="DT17" s="435">
        <v>0.5</v>
      </c>
      <c r="DU17" s="435">
        <v>0.5</v>
      </c>
      <c r="DV17" s="435">
        <v>0.5</v>
      </c>
      <c r="DW17" s="435">
        <v>0.5</v>
      </c>
      <c r="DX17" s="435">
        <v>0.5</v>
      </c>
      <c r="DY17" s="436">
        <v>0</v>
      </c>
      <c r="DZ17" s="436"/>
      <c r="EA17" s="436">
        <v>0</v>
      </c>
      <c r="EB17" s="436"/>
      <c r="EC17" s="436">
        <v>0</v>
      </c>
      <c r="ED17" s="436"/>
      <c r="EE17" s="436">
        <v>0</v>
      </c>
      <c r="EF17" s="436"/>
      <c r="EG17" s="436">
        <v>0</v>
      </c>
      <c r="EH17" s="436"/>
      <c r="EI17" s="436">
        <v>0</v>
      </c>
      <c r="EJ17" s="436"/>
      <c r="EK17" s="436">
        <v>0</v>
      </c>
      <c r="EL17" s="436"/>
      <c r="EM17" s="437">
        <f>+DO17+DQ17+DS17+DU17+DW17+DY17+EA17+EC17+EE17+EG17+EI17+EK17</f>
        <v>2</v>
      </c>
      <c r="EN17" s="437">
        <f t="shared" ref="EN17:EO21" si="25">+DO17+DQ17+DS17+DU17+DW17</f>
        <v>2</v>
      </c>
      <c r="EO17" s="437">
        <f t="shared" si="25"/>
        <v>2</v>
      </c>
      <c r="EP17" s="414">
        <f t="shared" ref="EP17:EQ21" si="26">+DO17+DQ17+DS17+DU17+DW17+DY17+EA17+EC17+EE17+EG17+EI17+EK17</f>
        <v>2</v>
      </c>
      <c r="EQ17" s="414">
        <f t="shared" si="26"/>
        <v>2</v>
      </c>
      <c r="ER17" s="473">
        <f>IFERROR(DX17/DW17,0)</f>
        <v>1</v>
      </c>
      <c r="ES17" s="474">
        <f t="shared" si="8"/>
        <v>1</v>
      </c>
      <c r="ET17" s="474">
        <f t="shared" si="9"/>
        <v>1</v>
      </c>
      <c r="EU17" s="475">
        <f t="shared" si="11"/>
        <v>1</v>
      </c>
      <c r="EV17" s="476">
        <f t="shared" si="10"/>
        <v>1</v>
      </c>
      <c r="EW17" s="628" t="s">
        <v>921</v>
      </c>
      <c r="EX17" s="626" t="s">
        <v>179</v>
      </c>
      <c r="EY17" s="626" t="s">
        <v>179</v>
      </c>
      <c r="EZ17" s="628" t="s">
        <v>894</v>
      </c>
      <c r="FA17" s="630" t="s">
        <v>922</v>
      </c>
      <c r="FB17" s="625">
        <f>+LEN(EW17)</f>
        <v>792</v>
      </c>
    </row>
    <row r="18" spans="1:158" ht="55.5" customHeight="1" x14ac:dyDescent="0.25">
      <c r="A18" s="604"/>
      <c r="B18" s="604"/>
      <c r="C18" s="604"/>
      <c r="D18" s="604"/>
      <c r="E18" s="604"/>
      <c r="F18" s="59" t="s">
        <v>323</v>
      </c>
      <c r="G18" s="395">
        <f>AA18+BE18+CI18+DM18+EP18</f>
        <v>1640936132.3333333</v>
      </c>
      <c r="H18" s="395">
        <v>183030000</v>
      </c>
      <c r="I18" s="395"/>
      <c r="J18" s="395"/>
      <c r="K18" s="395">
        <v>183030000</v>
      </c>
      <c r="L18" s="395">
        <v>16888000</v>
      </c>
      <c r="M18" s="395">
        <v>183030000</v>
      </c>
      <c r="N18" s="395">
        <v>105132000</v>
      </c>
      <c r="O18" s="395">
        <v>183030000</v>
      </c>
      <c r="P18" s="395">
        <v>105132000</v>
      </c>
      <c r="Q18" s="395">
        <v>183030000</v>
      </c>
      <c r="R18" s="395">
        <v>105132000</v>
      </c>
      <c r="S18" s="395">
        <v>183030000</v>
      </c>
      <c r="T18" s="395">
        <v>105132000</v>
      </c>
      <c r="U18" s="395">
        <v>183030000</v>
      </c>
      <c r="V18" s="395">
        <v>139406000</v>
      </c>
      <c r="W18" s="395">
        <v>183030000</v>
      </c>
      <c r="X18" s="395">
        <v>139406000</v>
      </c>
      <c r="Y18" s="395">
        <v>139406000</v>
      </c>
      <c r="Z18" s="395">
        <v>183030000</v>
      </c>
      <c r="AA18" s="395">
        <v>139406000</v>
      </c>
      <c r="AB18" s="395">
        <v>389090000</v>
      </c>
      <c r="AC18" s="395">
        <v>0</v>
      </c>
      <c r="AD18" s="395">
        <v>0</v>
      </c>
      <c r="AE18" s="395">
        <v>0</v>
      </c>
      <c r="AF18" s="395">
        <v>0</v>
      </c>
      <c r="AG18" s="395">
        <v>157932000</v>
      </c>
      <c r="AH18" s="395">
        <v>157932000</v>
      </c>
      <c r="AI18" s="395">
        <v>0</v>
      </c>
      <c r="AJ18" s="395">
        <v>0</v>
      </c>
      <c r="AK18" s="395">
        <f>236167000-AH18</f>
        <v>78235000</v>
      </c>
      <c r="AL18" s="395">
        <v>78235000</v>
      </c>
      <c r="AM18" s="395">
        <v>0</v>
      </c>
      <c r="AN18" s="395">
        <v>0</v>
      </c>
      <c r="AO18" s="395">
        <v>0</v>
      </c>
      <c r="AP18" s="395"/>
      <c r="AQ18" s="395">
        <v>0</v>
      </c>
      <c r="AR18" s="395"/>
      <c r="AS18" s="395">
        <v>0</v>
      </c>
      <c r="AT18" s="395">
        <v>0</v>
      </c>
      <c r="AU18" s="395">
        <v>0</v>
      </c>
      <c r="AV18" s="395">
        <v>0</v>
      </c>
      <c r="AW18" s="395">
        <v>10658500</v>
      </c>
      <c r="AX18" s="395">
        <v>0</v>
      </c>
      <c r="AY18" s="395">
        <v>20609667</v>
      </c>
      <c r="AZ18" s="395">
        <v>11157833</v>
      </c>
      <c r="BA18" s="395">
        <f>AC18+AE18+AG18+AI18+AK18+AM18+AO18+AQ18+AS18+AU18+AW18+AY18</f>
        <v>267435167</v>
      </c>
      <c r="BB18" s="395">
        <f t="shared" si="20"/>
        <v>267435167</v>
      </c>
      <c r="BC18" s="395">
        <f t="shared" si="20"/>
        <v>247324833</v>
      </c>
      <c r="BD18" s="395">
        <f t="shared" si="21"/>
        <v>267435167</v>
      </c>
      <c r="BE18" s="395">
        <f t="shared" si="21"/>
        <v>247324833</v>
      </c>
      <c r="BF18" s="395">
        <v>281130000</v>
      </c>
      <c r="BG18" s="395">
        <v>280168000</v>
      </c>
      <c r="BH18" s="395">
        <v>280168000</v>
      </c>
      <c r="BI18" s="395"/>
      <c r="BJ18" s="395"/>
      <c r="BK18" s="395"/>
      <c r="BL18" s="395"/>
      <c r="BM18" s="395"/>
      <c r="BN18" s="395"/>
      <c r="BO18" s="395"/>
      <c r="BP18" s="395"/>
      <c r="BQ18" s="395"/>
      <c r="BR18" s="395"/>
      <c r="BS18" s="395"/>
      <c r="BT18" s="395"/>
      <c r="BU18" s="395"/>
      <c r="BV18" s="395"/>
      <c r="BW18" s="395"/>
      <c r="BX18" s="395"/>
      <c r="BY18" s="395">
        <v>5603033</v>
      </c>
      <c r="BZ18" s="395">
        <v>0</v>
      </c>
      <c r="CA18" s="395">
        <v>45291066.333333328</v>
      </c>
      <c r="CB18" s="395">
        <v>31447399.333333336</v>
      </c>
      <c r="CC18" s="395"/>
      <c r="CD18" s="395">
        <v>19446700</v>
      </c>
      <c r="CE18" s="395">
        <f>BG18+BI18+BK18+BM18+BO18+BQ18+BS18+BU18+BW18+BY18+CA18+CC18</f>
        <v>331062099.33333331</v>
      </c>
      <c r="CF18" s="395">
        <f t="shared" si="22"/>
        <v>331062099.33333331</v>
      </c>
      <c r="CG18" s="395">
        <f t="shared" si="22"/>
        <v>331062099.33333331</v>
      </c>
      <c r="CH18" s="395">
        <f t="shared" si="23"/>
        <v>331062099.33333331</v>
      </c>
      <c r="CI18" s="395">
        <f t="shared" si="23"/>
        <v>331062099.33333331</v>
      </c>
      <c r="CJ18" s="395">
        <v>282381000</v>
      </c>
      <c r="CK18" s="395"/>
      <c r="CL18" s="395"/>
      <c r="CM18" s="395">
        <v>199010000</v>
      </c>
      <c r="CN18" s="395">
        <v>199010000</v>
      </c>
      <c r="CO18" s="395">
        <v>59328000</v>
      </c>
      <c r="CP18" s="395">
        <v>59328000</v>
      </c>
      <c r="CQ18" s="395"/>
      <c r="CR18" s="395"/>
      <c r="CS18" s="395"/>
      <c r="CT18" s="395">
        <v>0</v>
      </c>
      <c r="CU18" s="395">
        <v>91788000</v>
      </c>
      <c r="CV18" s="395">
        <v>34470000</v>
      </c>
      <c r="CW18" s="395"/>
      <c r="CX18" s="395">
        <v>57318000</v>
      </c>
      <c r="CY18" s="395"/>
      <c r="CZ18" s="395">
        <v>0</v>
      </c>
      <c r="DA18" s="395"/>
      <c r="DB18" s="395">
        <v>0</v>
      </c>
      <c r="DC18" s="395"/>
      <c r="DD18" s="399">
        <v>0</v>
      </c>
      <c r="DE18" s="395">
        <v>36195200</v>
      </c>
      <c r="DF18" s="395">
        <v>0</v>
      </c>
      <c r="DG18" s="395">
        <v>0</v>
      </c>
      <c r="DH18" s="395">
        <v>36195200</v>
      </c>
      <c r="DI18" s="395">
        <f>+CK18+CM18+CO18+CQ18+CS18+CU18+CW18+CY18+DA18+DC18+DE18+DG18</f>
        <v>386321200</v>
      </c>
      <c r="DJ18" s="415">
        <f>+CK18+CM18+CO18+CQ18+CS18+CU18+CW18+CY18+DA18+DC18+DE18+DG18</f>
        <v>386321200</v>
      </c>
      <c r="DK18" s="395">
        <f>CL18+CN18+CP18+CR18+CT18+CV18+CX18+CZ18+DB18+DD18+DF18+DH18</f>
        <v>386321200</v>
      </c>
      <c r="DL18" s="395">
        <f>+CK18+CM18+CO18+CQ18+CS18+CU18+CW18+CY18+DA18+DC18+DE18+DG18</f>
        <v>386321200</v>
      </c>
      <c r="DM18" s="395">
        <f>CL18+CN18+CP18+CR18+CT18+CV18+CX18+CZ18+DB18+DD18+DF18+DH18</f>
        <v>386321200</v>
      </c>
      <c r="DN18" s="395">
        <v>536822000</v>
      </c>
      <c r="DO18" s="397">
        <v>286982000</v>
      </c>
      <c r="DP18" s="397">
        <v>33391000</v>
      </c>
      <c r="DQ18" s="397">
        <v>0</v>
      </c>
      <c r="DR18" s="397">
        <v>84305000</v>
      </c>
      <c r="DS18" s="397">
        <v>0</v>
      </c>
      <c r="DT18" s="397">
        <v>12030000</v>
      </c>
      <c r="DU18" s="397">
        <v>249840000</v>
      </c>
      <c r="DV18" s="397">
        <v>86716000</v>
      </c>
      <c r="DW18" s="397">
        <v>0</v>
      </c>
      <c r="DX18" s="397">
        <v>17665000</v>
      </c>
      <c r="DY18" s="397">
        <v>0</v>
      </c>
      <c r="DZ18" s="397"/>
      <c r="EA18" s="397">
        <v>0</v>
      </c>
      <c r="EB18" s="397"/>
      <c r="EC18" s="397">
        <v>0</v>
      </c>
      <c r="ED18" s="397"/>
      <c r="EE18" s="397">
        <v>0</v>
      </c>
      <c r="EF18" s="397"/>
      <c r="EG18" s="397">
        <v>0</v>
      </c>
      <c r="EH18" s="397"/>
      <c r="EI18" s="397">
        <v>0</v>
      </c>
      <c r="EJ18" s="397"/>
      <c r="EK18" s="397">
        <v>0</v>
      </c>
      <c r="EL18" s="397"/>
      <c r="EM18" s="416">
        <f>+DO18+DQ18+DS18+DU18+DW18+DY18+EA18+EC18+EE18+EG18+EI18+EK18</f>
        <v>536822000</v>
      </c>
      <c r="EN18" s="416">
        <f t="shared" si="25"/>
        <v>536822000</v>
      </c>
      <c r="EO18" s="416">
        <f t="shared" si="25"/>
        <v>234107000</v>
      </c>
      <c r="EP18" s="397">
        <f t="shared" si="26"/>
        <v>536822000</v>
      </c>
      <c r="EQ18" s="397">
        <f t="shared" si="26"/>
        <v>234107000</v>
      </c>
      <c r="ER18" s="391">
        <f t="shared" si="7"/>
        <v>0</v>
      </c>
      <c r="ES18" s="392">
        <f t="shared" si="8"/>
        <v>0.43609799896427492</v>
      </c>
      <c r="ET18" s="392">
        <f t="shared" si="9"/>
        <v>0.43609799896427492</v>
      </c>
      <c r="EU18" s="393">
        <f t="shared" si="11"/>
        <v>0.78503215651514424</v>
      </c>
      <c r="EV18" s="394">
        <f t="shared" si="10"/>
        <v>0.81552298469438078</v>
      </c>
      <c r="EW18" s="629"/>
      <c r="EX18" s="627"/>
      <c r="EY18" s="627"/>
      <c r="EZ18" s="629"/>
      <c r="FA18" s="661"/>
      <c r="FB18" s="625"/>
    </row>
    <row r="19" spans="1:158" ht="55.5" customHeight="1" x14ac:dyDescent="0.25">
      <c r="A19" s="604"/>
      <c r="B19" s="604"/>
      <c r="C19" s="604"/>
      <c r="D19" s="604"/>
      <c r="E19" s="604"/>
      <c r="F19" s="60" t="s">
        <v>324</v>
      </c>
      <c r="G19" s="395"/>
      <c r="H19" s="395"/>
      <c r="I19" s="395"/>
      <c r="J19" s="395"/>
      <c r="K19" s="395"/>
      <c r="L19" s="395"/>
      <c r="M19" s="395"/>
      <c r="N19" s="395"/>
      <c r="O19" s="395"/>
      <c r="P19" s="395"/>
      <c r="Q19" s="395"/>
      <c r="R19" s="395"/>
      <c r="S19" s="395"/>
      <c r="T19" s="395"/>
      <c r="U19" s="395"/>
      <c r="V19" s="395"/>
      <c r="W19" s="395"/>
      <c r="X19" s="395"/>
      <c r="Y19" s="395"/>
      <c r="Z19" s="395"/>
      <c r="AA19" s="395"/>
      <c r="AB19" s="395">
        <f>+AC19+AE19+AG19+AI19+AK19+AM19+AO19+AQ19+AS19+AU19+AW19+AY19</f>
        <v>267435167</v>
      </c>
      <c r="AC19" s="395">
        <v>0</v>
      </c>
      <c r="AD19" s="395">
        <v>0</v>
      </c>
      <c r="AE19" s="395">
        <v>0</v>
      </c>
      <c r="AF19" s="395">
        <v>0</v>
      </c>
      <c r="AG19" s="395">
        <v>0</v>
      </c>
      <c r="AH19" s="395">
        <v>0</v>
      </c>
      <c r="AI19" s="395">
        <v>6944667</v>
      </c>
      <c r="AJ19" s="395">
        <v>6944667</v>
      </c>
      <c r="AK19" s="395">
        <v>17548000</v>
      </c>
      <c r="AL19" s="395">
        <v>17548000</v>
      </c>
      <c r="AM19" s="395">
        <v>24595833</v>
      </c>
      <c r="AN19" s="395">
        <v>20615333</v>
      </c>
      <c r="AO19" s="395">
        <v>28113000</v>
      </c>
      <c r="AP19" s="395">
        <v>32093500</v>
      </c>
      <c r="AQ19" s="395">
        <v>34398000</v>
      </c>
      <c r="AR19" s="395">
        <v>28113000</v>
      </c>
      <c r="AS19" s="395">
        <v>28113000</v>
      </c>
      <c r="AT19" s="395">
        <v>28113000</v>
      </c>
      <c r="AU19" s="395">
        <v>21828000</v>
      </c>
      <c r="AV19" s="395">
        <v>28113000</v>
      </c>
      <c r="AW19" s="395">
        <v>28113000</v>
      </c>
      <c r="AX19" s="395">
        <v>28113000</v>
      </c>
      <c r="AY19" s="395">
        <v>77781667</v>
      </c>
      <c r="AZ19" s="395">
        <v>28113000</v>
      </c>
      <c r="BA19" s="395">
        <f>AC19+AE19+AG19+AI19+AK19+AM19+AO19+AQ19+AS19+AU19+AW19+AY19</f>
        <v>267435167</v>
      </c>
      <c r="BB19" s="395">
        <f t="shared" si="20"/>
        <v>267435167</v>
      </c>
      <c r="BC19" s="395">
        <f t="shared" si="20"/>
        <v>217766500</v>
      </c>
      <c r="BD19" s="395">
        <f t="shared" si="21"/>
        <v>267435167</v>
      </c>
      <c r="BE19" s="395">
        <f t="shared" si="21"/>
        <v>217766500</v>
      </c>
      <c r="BF19" s="395">
        <v>281130000</v>
      </c>
      <c r="BG19" s="395"/>
      <c r="BH19" s="395"/>
      <c r="BI19" s="395"/>
      <c r="BJ19" s="395">
        <v>1651767</v>
      </c>
      <c r="BK19" s="395">
        <v>28676000</v>
      </c>
      <c r="BL19" s="395">
        <v>26992633</v>
      </c>
      <c r="BM19" s="395">
        <v>28676000</v>
      </c>
      <c r="BN19" s="395">
        <v>28676000</v>
      </c>
      <c r="BO19" s="395">
        <v>28676000</v>
      </c>
      <c r="BP19" s="395">
        <v>28676000</v>
      </c>
      <c r="BQ19" s="395">
        <v>28676000</v>
      </c>
      <c r="BR19" s="395">
        <v>20082000</v>
      </c>
      <c r="BS19" s="395">
        <v>28676000</v>
      </c>
      <c r="BT19" s="395">
        <v>36833400</v>
      </c>
      <c r="BU19" s="395">
        <v>28676000</v>
      </c>
      <c r="BV19" s="395">
        <v>28676000</v>
      </c>
      <c r="BW19" s="395">
        <v>28676000</v>
      </c>
      <c r="BX19" s="395">
        <v>29112600</v>
      </c>
      <c r="BY19" s="395">
        <v>28676000</v>
      </c>
      <c r="BZ19" s="395">
        <v>28676000</v>
      </c>
      <c r="CA19" s="395">
        <v>30859000</v>
      </c>
      <c r="CB19" s="395">
        <v>28676000</v>
      </c>
      <c r="CC19" s="395">
        <v>70795099.333333343</v>
      </c>
      <c r="CD19" s="395">
        <v>57352000</v>
      </c>
      <c r="CE19" s="395">
        <f>BG19+BI19+BK19+BM19+BO19+BQ19+BS19+BU19+BW19+BY19+CA19+CC19</f>
        <v>331062099.33333337</v>
      </c>
      <c r="CF19" s="395">
        <f t="shared" si="22"/>
        <v>331062099.33333337</v>
      </c>
      <c r="CG19" s="395">
        <f t="shared" si="22"/>
        <v>315404400</v>
      </c>
      <c r="CH19" s="395">
        <f t="shared" si="23"/>
        <v>331062099.33333337</v>
      </c>
      <c r="CI19" s="395">
        <f t="shared" si="23"/>
        <v>315404400</v>
      </c>
      <c r="CJ19" s="395">
        <v>282381000</v>
      </c>
      <c r="CK19" s="395"/>
      <c r="CL19" s="395"/>
      <c r="CM19" s="395"/>
      <c r="CN19" s="395"/>
      <c r="CO19" s="395">
        <v>5293633</v>
      </c>
      <c r="CP19" s="395">
        <v>5293633</v>
      </c>
      <c r="CQ19" s="395">
        <v>22379367</v>
      </c>
      <c r="CR19" s="395">
        <v>19901000</v>
      </c>
      <c r="CS19" s="417">
        <v>26493000</v>
      </c>
      <c r="CT19" s="395">
        <v>25908000</v>
      </c>
      <c r="CU19" s="395">
        <v>26493000</v>
      </c>
      <c r="CV19" s="395">
        <v>26493000</v>
      </c>
      <c r="CW19" s="395">
        <v>26493000</v>
      </c>
      <c r="CX19" s="395">
        <v>26493000</v>
      </c>
      <c r="CY19" s="395">
        <v>26493000</v>
      </c>
      <c r="CZ19" s="395">
        <v>40390333</v>
      </c>
      <c r="DA19" s="395">
        <v>26493000</v>
      </c>
      <c r="DB19" s="395">
        <v>41791000</v>
      </c>
      <c r="DC19" s="395">
        <v>26493000</v>
      </c>
      <c r="DD19" s="399">
        <v>41791000</v>
      </c>
      <c r="DE19" s="395">
        <v>26493000</v>
      </c>
      <c r="DF19" s="395">
        <v>41791000</v>
      </c>
      <c r="DG19" s="395">
        <v>173197200</v>
      </c>
      <c r="DH19" s="395">
        <v>58423000</v>
      </c>
      <c r="DI19" s="395">
        <f t="shared" si="24"/>
        <v>386321200</v>
      </c>
      <c r="DJ19" s="415">
        <f>+CK19+CM19+CO19+CQ19+CS19+CU19+CW19+CY19+DA19+DC19+DE19+DG19</f>
        <v>386321200</v>
      </c>
      <c r="DK19" s="395">
        <f>CL19+CN19+CP19+CR19+CT19+CV19+CX19+CZ19+DB19+DD19+DF19+DH19</f>
        <v>328274966</v>
      </c>
      <c r="DL19" s="395">
        <f>+CK19+CM19+CO19+CQ19+CS19+CU19+CW19+CY19+DA19+DC19+DE19+DG19</f>
        <v>386321200</v>
      </c>
      <c r="DM19" s="395">
        <f>CL19+CN19+CP19+CR19+CT19+CV19+CX19+CZ19+DB19+DD19+DF19+DH19</f>
        <v>328274966</v>
      </c>
      <c r="DN19" s="395">
        <v>536822000</v>
      </c>
      <c r="DO19" s="397"/>
      <c r="DP19" s="397"/>
      <c r="DQ19" s="397">
        <v>10647000</v>
      </c>
      <c r="DR19" s="397">
        <v>4496666</v>
      </c>
      <c r="DS19" s="397">
        <v>48802000</v>
      </c>
      <c r="DT19" s="397">
        <v>24168634</v>
      </c>
      <c r="DU19" s="397">
        <v>48802000</v>
      </c>
      <c r="DV19" s="397">
        <v>29354733</v>
      </c>
      <c r="DW19" s="397">
        <v>48802000</v>
      </c>
      <c r="DX19" s="397">
        <v>29445600</v>
      </c>
      <c r="DY19" s="397">
        <v>48802000</v>
      </c>
      <c r="DZ19" s="397"/>
      <c r="EA19" s="397">
        <v>48802000</v>
      </c>
      <c r="EB19" s="397"/>
      <c r="EC19" s="397">
        <v>48802000</v>
      </c>
      <c r="ED19" s="397"/>
      <c r="EE19" s="397">
        <v>48802000</v>
      </c>
      <c r="EF19" s="397"/>
      <c r="EG19" s="397">
        <v>48802000</v>
      </c>
      <c r="EH19" s="397"/>
      <c r="EI19" s="397">
        <v>48802000</v>
      </c>
      <c r="EJ19" s="397"/>
      <c r="EK19" s="397">
        <v>86957000</v>
      </c>
      <c r="EL19" s="397"/>
      <c r="EM19" s="416">
        <f>+DO19+DQ19+DS19+DU19+DW19+DY19+EA19+EC19+EE19+EG19+EI19+EK19</f>
        <v>536822000</v>
      </c>
      <c r="EN19" s="416">
        <f t="shared" si="25"/>
        <v>157053000</v>
      </c>
      <c r="EO19" s="416">
        <f t="shared" si="25"/>
        <v>87465633</v>
      </c>
      <c r="EP19" s="397">
        <f t="shared" si="26"/>
        <v>536822000</v>
      </c>
      <c r="EQ19" s="397">
        <f t="shared" si="26"/>
        <v>87465633</v>
      </c>
      <c r="ER19" s="391">
        <f t="shared" si="7"/>
        <v>0.60336871439695094</v>
      </c>
      <c r="ES19" s="392">
        <f t="shared" si="8"/>
        <v>0.55691793853030502</v>
      </c>
      <c r="ET19" s="392">
        <f t="shared" si="9"/>
        <v>0.16293228109131147</v>
      </c>
      <c r="EU19" s="393">
        <f t="shared" si="11"/>
        <v>0.83101428398684152</v>
      </c>
      <c r="EV19" s="394">
        <f>IFERROR((AA19+BE19+CI19+DM19+EQ19)/G19,0)</f>
        <v>0</v>
      </c>
      <c r="EW19" s="629"/>
      <c r="EX19" s="627"/>
      <c r="EY19" s="627"/>
      <c r="EZ19" s="629"/>
      <c r="FA19" s="661"/>
      <c r="FB19" s="625"/>
    </row>
    <row r="20" spans="1:158" ht="55.5" customHeight="1" x14ac:dyDescent="0.25">
      <c r="A20" s="604"/>
      <c r="B20" s="604"/>
      <c r="C20" s="604"/>
      <c r="D20" s="604"/>
      <c r="E20" s="604"/>
      <c r="F20" s="58" t="s">
        <v>325</v>
      </c>
      <c r="G20" s="379">
        <f>AA20+BE20+CI20+DL20+DN20</f>
        <v>0</v>
      </c>
      <c r="H20" s="402"/>
      <c r="I20" s="402"/>
      <c r="J20" s="402"/>
      <c r="K20" s="402"/>
      <c r="L20" s="403"/>
      <c r="M20" s="402"/>
      <c r="N20" s="403"/>
      <c r="O20" s="402"/>
      <c r="P20" s="403"/>
      <c r="Q20" s="402"/>
      <c r="R20" s="403"/>
      <c r="S20" s="402"/>
      <c r="T20" s="402"/>
      <c r="U20" s="402"/>
      <c r="V20" s="402"/>
      <c r="W20" s="402"/>
      <c r="X20" s="402"/>
      <c r="Y20" s="402"/>
      <c r="Z20" s="402"/>
      <c r="AA20" s="402"/>
      <c r="AB20" s="384">
        <f>+AC20+AE20+AG20+AI20+AK20+AM20+AO20+AQ20+AS20+AU20+AW20+AY20</f>
        <v>0</v>
      </c>
      <c r="AC20" s="404"/>
      <c r="AD20" s="384"/>
      <c r="AE20" s="404"/>
      <c r="AF20" s="384"/>
      <c r="AG20" s="404"/>
      <c r="AH20" s="402"/>
      <c r="AI20" s="404"/>
      <c r="AJ20" s="402"/>
      <c r="AK20" s="402"/>
      <c r="AL20" s="402"/>
      <c r="AM20" s="402"/>
      <c r="AN20" s="402"/>
      <c r="AO20" s="402"/>
      <c r="AP20" s="402"/>
      <c r="AQ20" s="402"/>
      <c r="AR20" s="402"/>
      <c r="AS20" s="402"/>
      <c r="AT20" s="402"/>
      <c r="AU20" s="402"/>
      <c r="AV20" s="402"/>
      <c r="AW20" s="402"/>
      <c r="AX20" s="402"/>
      <c r="AY20" s="402"/>
      <c r="AZ20" s="402"/>
      <c r="BA20" s="406">
        <f>AC20+AE20+AG20+AI20+AK20+AM20+AO20+AQ20+AS20+AU20+AW20+AY20</f>
        <v>0</v>
      </c>
      <c r="BB20" s="385">
        <f t="shared" si="20"/>
        <v>0</v>
      </c>
      <c r="BC20" s="406">
        <f t="shared" si="20"/>
        <v>0</v>
      </c>
      <c r="BD20" s="406">
        <f t="shared" si="21"/>
        <v>0</v>
      </c>
      <c r="BE20" s="406">
        <f t="shared" si="21"/>
        <v>0</v>
      </c>
      <c r="BF20" s="406"/>
      <c r="BG20" s="402"/>
      <c r="BH20" s="402"/>
      <c r="BI20" s="402"/>
      <c r="BJ20" s="402"/>
      <c r="BK20" s="402"/>
      <c r="BL20" s="402"/>
      <c r="BM20" s="402"/>
      <c r="BN20" s="402"/>
      <c r="BO20" s="402"/>
      <c r="BP20" s="402"/>
      <c r="BQ20" s="402"/>
      <c r="BR20" s="402"/>
      <c r="BS20" s="402"/>
      <c r="BT20" s="402"/>
      <c r="BU20" s="402"/>
      <c r="BV20" s="402"/>
      <c r="BW20" s="402"/>
      <c r="BX20" s="402"/>
      <c r="BY20" s="402"/>
      <c r="BZ20" s="402"/>
      <c r="CA20" s="402"/>
      <c r="CB20" s="402"/>
      <c r="CC20" s="402"/>
      <c r="CD20" s="402"/>
      <c r="CE20" s="406">
        <f>BG20+BI20+BK20+BM20+BO20+BQ20+BS20+BU20+BW20+BY20+CA20+CC20</f>
        <v>0</v>
      </c>
      <c r="CF20" s="406">
        <f>+BG20+BI20+BK20+BM20+BO20+BQ20+BS20+BU20+BW20+BY20+CA20</f>
        <v>0</v>
      </c>
      <c r="CG20" s="406">
        <f>+BH20+BJ20+BL20+BN20+BP20+BR20+BT20+BV20+BX20+BZ20+CB20+CD20</f>
        <v>0</v>
      </c>
      <c r="CH20" s="406">
        <f t="shared" si="23"/>
        <v>0</v>
      </c>
      <c r="CI20" s="406">
        <f t="shared" si="23"/>
        <v>0</v>
      </c>
      <c r="CJ20" s="402"/>
      <c r="CK20" s="402"/>
      <c r="CL20" s="402"/>
      <c r="CM20" s="402"/>
      <c r="CN20" s="402"/>
      <c r="CO20" s="402"/>
      <c r="CP20" s="402"/>
      <c r="CQ20" s="402"/>
      <c r="CR20" s="418"/>
      <c r="CS20" s="402"/>
      <c r="CT20" s="402">
        <v>0</v>
      </c>
      <c r="CU20" s="402"/>
      <c r="CV20" s="402">
        <v>0</v>
      </c>
      <c r="CW20" s="402"/>
      <c r="CX20" s="402">
        <v>0</v>
      </c>
      <c r="CY20" s="402"/>
      <c r="CZ20" s="402">
        <v>0</v>
      </c>
      <c r="DA20" s="402"/>
      <c r="DB20" s="402">
        <v>0</v>
      </c>
      <c r="DC20" s="402"/>
      <c r="DD20" s="408">
        <v>0</v>
      </c>
      <c r="DE20" s="402"/>
      <c r="DF20" s="402">
        <v>0</v>
      </c>
      <c r="DG20" s="402"/>
      <c r="DH20" s="410"/>
      <c r="DI20" s="380">
        <f t="shared" si="24"/>
        <v>0</v>
      </c>
      <c r="DJ20" s="412">
        <f>+CK20+CM20+CO20+CQ20+CS20+CU20+CW20+CY20+DA20+DC20+DE20+DG20</f>
        <v>0</v>
      </c>
      <c r="DK20" s="380">
        <f>CL20+CN20+CP20+CR20+CT20+CV20+CX20+CX20+CX20+CZ20+DB20+DD20+DF20+DH20</f>
        <v>0</v>
      </c>
      <c r="DL20" s="380">
        <f>+CK20+CM20+CO20+CQ20+CS20+CU20+CW20+CY20+DA20+DC20+DE20+DG20</f>
        <v>0</v>
      </c>
      <c r="DM20" s="379">
        <f>CL20+CN20+CP20+CR20+CT20+CV20+CX20+CX20+CX20+CZ20+DB20+DD20+DF20+DH20</f>
        <v>0</v>
      </c>
      <c r="DN20" s="402">
        <v>0</v>
      </c>
      <c r="DO20" s="402"/>
      <c r="DP20" s="402"/>
      <c r="DQ20" s="402"/>
      <c r="DR20" s="402">
        <v>0</v>
      </c>
      <c r="DS20" s="402"/>
      <c r="DT20" s="402">
        <v>0</v>
      </c>
      <c r="DU20" s="402"/>
      <c r="DV20" s="402">
        <v>0</v>
      </c>
      <c r="DW20" s="402"/>
      <c r="DX20" s="402">
        <v>0</v>
      </c>
      <c r="DY20" s="402"/>
      <c r="DZ20" s="402"/>
      <c r="EA20" s="402"/>
      <c r="EB20" s="402"/>
      <c r="EC20" s="402"/>
      <c r="ED20" s="402"/>
      <c r="EE20" s="402"/>
      <c r="EF20" s="402"/>
      <c r="EG20" s="402"/>
      <c r="EH20" s="402"/>
      <c r="EI20" s="402"/>
      <c r="EJ20" s="402"/>
      <c r="EK20" s="402"/>
      <c r="EL20" s="402"/>
      <c r="EM20" s="416">
        <f>+DO20+DQ20+DS20+DU20+DW20+DY20+EA20+EC20+EE20+EG20+EI20+EK20</f>
        <v>0</v>
      </c>
      <c r="EN20" s="416">
        <f t="shared" si="25"/>
        <v>0</v>
      </c>
      <c r="EO20" s="416">
        <f t="shared" si="25"/>
        <v>0</v>
      </c>
      <c r="EP20" s="384">
        <f t="shared" si="26"/>
        <v>0</v>
      </c>
      <c r="EQ20" s="384">
        <f t="shared" si="26"/>
        <v>0</v>
      </c>
      <c r="ER20" s="391">
        <f t="shared" si="7"/>
        <v>0</v>
      </c>
      <c r="ES20" s="392">
        <f>IFERROR(EO20/EN20,0)</f>
        <v>0</v>
      </c>
      <c r="ET20" s="392">
        <f>IFERROR(EQ20/EP20,0)</f>
        <v>0</v>
      </c>
      <c r="EU20" s="393">
        <f>IFERROR((AA20+BE20+CI20+DM20+EO20)/(Z20+BD20+CH20+DL20+EN20),0)</f>
        <v>0</v>
      </c>
      <c r="EV20" s="394">
        <f>IFERROR((AA20+BE20+CI20+DM20+EQ20)/G20,0)</f>
        <v>0</v>
      </c>
      <c r="EW20" s="629"/>
      <c r="EX20" s="627"/>
      <c r="EY20" s="627"/>
      <c r="EZ20" s="629"/>
      <c r="FA20" s="661"/>
      <c r="FB20" s="625"/>
    </row>
    <row r="21" spans="1:158" ht="55.5" customHeight="1" x14ac:dyDescent="0.25">
      <c r="A21" s="604"/>
      <c r="B21" s="604"/>
      <c r="C21" s="604"/>
      <c r="D21" s="604"/>
      <c r="E21" s="604"/>
      <c r="F21" s="59" t="s">
        <v>326</v>
      </c>
      <c r="G21" s="395">
        <f>AA21+BE21+CI21+DM21+EP21</f>
        <v>141013566</v>
      </c>
      <c r="H21" s="402"/>
      <c r="I21" s="402"/>
      <c r="J21" s="402"/>
      <c r="K21" s="402"/>
      <c r="L21" s="397"/>
      <c r="M21" s="402"/>
      <c r="N21" s="397"/>
      <c r="O21" s="402"/>
      <c r="P21" s="397"/>
      <c r="Q21" s="402"/>
      <c r="R21" s="397"/>
      <c r="S21" s="402"/>
      <c r="T21" s="402"/>
      <c r="U21" s="402"/>
      <c r="V21" s="402"/>
      <c r="W21" s="402"/>
      <c r="X21" s="402"/>
      <c r="Y21" s="402"/>
      <c r="Z21" s="395"/>
      <c r="AA21" s="395"/>
      <c r="AB21" s="395">
        <f>+AC21+AE21+AG21+AI21+AK21+AM21+AO21+AQ21+AS21+AU21+AW21+AY21</f>
        <v>37751300</v>
      </c>
      <c r="AC21" s="395">
        <v>4222000</v>
      </c>
      <c r="AD21" s="395">
        <v>4222000</v>
      </c>
      <c r="AE21" s="395">
        <v>10782200</v>
      </c>
      <c r="AF21" s="395">
        <v>10782200</v>
      </c>
      <c r="AG21" s="395">
        <v>13601100</v>
      </c>
      <c r="AH21" s="395">
        <v>13601100</v>
      </c>
      <c r="AI21" s="395">
        <v>0</v>
      </c>
      <c r="AJ21" s="395">
        <v>0</v>
      </c>
      <c r="AK21" s="395">
        <v>9146000</v>
      </c>
      <c r="AL21" s="395">
        <v>9146000</v>
      </c>
      <c r="AM21" s="395"/>
      <c r="AN21" s="395"/>
      <c r="AO21" s="395"/>
      <c r="AP21" s="395"/>
      <c r="AQ21" s="395"/>
      <c r="AR21" s="395"/>
      <c r="AS21" s="395"/>
      <c r="AT21" s="395"/>
      <c r="AU21" s="395"/>
      <c r="AV21" s="395"/>
      <c r="AW21" s="395"/>
      <c r="AX21" s="395"/>
      <c r="AY21" s="395">
        <v>0</v>
      </c>
      <c r="AZ21" s="395"/>
      <c r="BA21" s="395">
        <f>AC21+AE21+AG21+AI21+AK21+AM21+AO21+AQ21+AS21+AU21+AW21+AY21</f>
        <v>37751300</v>
      </c>
      <c r="BB21" s="395">
        <f t="shared" si="20"/>
        <v>37751300</v>
      </c>
      <c r="BC21" s="395">
        <f t="shared" si="20"/>
        <v>37751300</v>
      </c>
      <c r="BD21" s="395">
        <f t="shared" si="21"/>
        <v>37751300</v>
      </c>
      <c r="BE21" s="395">
        <f t="shared" si="21"/>
        <v>37751300</v>
      </c>
      <c r="BF21" s="395">
        <f>+BG21+BI21+BK21+BM21+BO21+BQ21+BS21+BU21+BW21+BY21+CA21+CC21</f>
        <v>29558333</v>
      </c>
      <c r="BG21" s="395">
        <v>25332333</v>
      </c>
      <c r="BH21" s="395">
        <v>25332333</v>
      </c>
      <c r="BI21" s="395">
        <v>4226000</v>
      </c>
      <c r="BJ21" s="395">
        <v>4226000</v>
      </c>
      <c r="BK21" s="395"/>
      <c r="BL21" s="395"/>
      <c r="BM21" s="395"/>
      <c r="BN21" s="395"/>
      <c r="BO21" s="395"/>
      <c r="BP21" s="395">
        <v>0</v>
      </c>
      <c r="BQ21" s="395"/>
      <c r="BR21" s="395"/>
      <c r="BS21" s="395"/>
      <c r="BT21" s="395"/>
      <c r="BU21" s="395"/>
      <c r="BV21" s="395"/>
      <c r="BW21" s="395"/>
      <c r="BX21" s="395"/>
      <c r="BY21" s="395"/>
      <c r="BZ21" s="395"/>
      <c r="CA21" s="395"/>
      <c r="CB21" s="395"/>
      <c r="CC21" s="395"/>
      <c r="CD21" s="395"/>
      <c r="CE21" s="395">
        <f>BG21+BI21+BK21+BM21+BO21+BQ21+BS21+BU21+BW21+BY21+CA21+CC21</f>
        <v>29558333</v>
      </c>
      <c r="CF21" s="395">
        <f>+BG21+BI21+BK21+BM21+BO21+BQ21+BS21+BU21+BW21+BY21+CA21+CC21</f>
        <v>29558333</v>
      </c>
      <c r="CG21" s="395">
        <f>+BH21+BJ21+BL21+BN21+BP21+BR21+BT21+BV21+BX21+BZ21+CB21+CD21</f>
        <v>29558333</v>
      </c>
      <c r="CH21" s="395">
        <f t="shared" si="23"/>
        <v>29558333</v>
      </c>
      <c r="CI21" s="395">
        <f t="shared" si="23"/>
        <v>29558333</v>
      </c>
      <c r="CJ21" s="395">
        <v>15657699</v>
      </c>
      <c r="CK21" s="395"/>
      <c r="CL21" s="395"/>
      <c r="CM21" s="395">
        <v>13306232</v>
      </c>
      <c r="CN21" s="395">
        <v>13306232</v>
      </c>
      <c r="CO21" s="395"/>
      <c r="CP21" s="395"/>
      <c r="CQ21" s="395">
        <v>2351467</v>
      </c>
      <c r="CR21" s="395"/>
      <c r="CS21" s="395"/>
      <c r="CT21" s="395">
        <v>2351467</v>
      </c>
      <c r="CU21" s="395"/>
      <c r="CV21" s="395"/>
      <c r="CW21" s="395"/>
      <c r="CX21" s="395">
        <v>0</v>
      </c>
      <c r="CY21" s="395"/>
      <c r="CZ21" s="395">
        <v>0</v>
      </c>
      <c r="DA21" s="395"/>
      <c r="DB21" s="395">
        <v>0</v>
      </c>
      <c r="DC21" s="395"/>
      <c r="DD21" s="399">
        <v>0</v>
      </c>
      <c r="DE21" s="395"/>
      <c r="DF21" s="395">
        <v>0</v>
      </c>
      <c r="DG21" s="395"/>
      <c r="DH21" s="395">
        <v>0</v>
      </c>
      <c r="DI21" s="395">
        <f t="shared" si="24"/>
        <v>15657699</v>
      </c>
      <c r="DJ21" s="415">
        <f>+CK21+CM21+CO21+CQ21+CS21+CU21+CW21+CY21+DA21+DC21+DE21+DG21</f>
        <v>15657699</v>
      </c>
      <c r="DK21" s="395">
        <f>CL21+CN21+CP21+CR21+CT21+CV21+CX21+CX21+CX21+CZ21+DB21+DD21+DF21+DH21</f>
        <v>15657699</v>
      </c>
      <c r="DL21" s="395">
        <f>+CK21+CM21+CO21+CQ21+CS21+CU21+CW21+CY21+DA21+DC21+DE21+DG21</f>
        <v>15657699</v>
      </c>
      <c r="DM21" s="395">
        <f>CL21+CN21+CP21+CR21+CT21+CV21+CX21+CX21+CX21+CZ21+DB21+DD21+DF21+DH21</f>
        <v>15657699</v>
      </c>
      <c r="DN21" s="395">
        <v>58046234</v>
      </c>
      <c r="DO21" s="397">
        <v>25159000</v>
      </c>
      <c r="DP21" s="397">
        <v>25159000</v>
      </c>
      <c r="DQ21" s="397">
        <v>32887234</v>
      </c>
      <c r="DR21" s="397">
        <v>32887234</v>
      </c>
      <c r="DS21" s="402"/>
      <c r="DT21" s="402">
        <v>0</v>
      </c>
      <c r="DU21" s="402"/>
      <c r="DV21" s="402">
        <v>0</v>
      </c>
      <c r="DW21" s="402"/>
      <c r="DX21" s="402">
        <v>0</v>
      </c>
      <c r="DY21" s="402"/>
      <c r="DZ21" s="402"/>
      <c r="EA21" s="402"/>
      <c r="EB21" s="402"/>
      <c r="EC21" s="402"/>
      <c r="ED21" s="402"/>
      <c r="EE21" s="402"/>
      <c r="EF21" s="402"/>
      <c r="EG21" s="402"/>
      <c r="EH21" s="402"/>
      <c r="EI21" s="402"/>
      <c r="EJ21" s="402"/>
      <c r="EK21" s="402"/>
      <c r="EL21" s="402"/>
      <c r="EM21" s="416">
        <f>+DO21+DQ21+DS21+DU21+DW21+DY21+EA21+EC21+EE21+EG21+EI21+EK21</f>
        <v>58046234</v>
      </c>
      <c r="EN21" s="416">
        <f t="shared" si="25"/>
        <v>58046234</v>
      </c>
      <c r="EO21" s="416">
        <f t="shared" si="25"/>
        <v>58046234</v>
      </c>
      <c r="EP21" s="397">
        <f t="shared" si="26"/>
        <v>58046234</v>
      </c>
      <c r="EQ21" s="397">
        <f>+DP21+DR21+DT21+DV21+DX21+DZ21+EB21+ED21+EF21+EH21+EJ21+EL21</f>
        <v>58046234</v>
      </c>
      <c r="ER21" s="391">
        <f t="shared" si="7"/>
        <v>0</v>
      </c>
      <c r="ES21" s="392">
        <f t="shared" si="8"/>
        <v>1</v>
      </c>
      <c r="ET21" s="392">
        <f t="shared" si="9"/>
        <v>1</v>
      </c>
      <c r="EU21" s="393">
        <f t="shared" si="11"/>
        <v>1</v>
      </c>
      <c r="EV21" s="394">
        <f t="shared" si="10"/>
        <v>1</v>
      </c>
      <c r="EW21" s="629"/>
      <c r="EX21" s="627"/>
      <c r="EY21" s="627"/>
      <c r="EZ21" s="629"/>
      <c r="FA21" s="661"/>
      <c r="FB21" s="625"/>
    </row>
    <row r="22" spans="1:158" ht="55.5" customHeight="1" thickBot="1" x14ac:dyDescent="0.3">
      <c r="A22" s="604"/>
      <c r="B22" s="604"/>
      <c r="C22" s="604"/>
      <c r="D22" s="604"/>
      <c r="E22" s="604"/>
      <c r="F22" s="58" t="s">
        <v>327</v>
      </c>
      <c r="G22" s="419">
        <f>G17+G20</f>
        <v>15</v>
      </c>
      <c r="H22" s="420">
        <f>+H17+H20</f>
        <v>2</v>
      </c>
      <c r="I22" s="421"/>
      <c r="J22" s="421"/>
      <c r="K22" s="422">
        <v>2</v>
      </c>
      <c r="L22" s="423">
        <v>0.1</v>
      </c>
      <c r="M22" s="422">
        <v>2</v>
      </c>
      <c r="N22" s="424">
        <v>0.5</v>
      </c>
      <c r="O22" s="422">
        <v>2</v>
      </c>
      <c r="P22" s="424">
        <v>1</v>
      </c>
      <c r="Q22" s="422">
        <v>2</v>
      </c>
      <c r="R22" s="424">
        <v>1.3</v>
      </c>
      <c r="S22" s="422">
        <v>2</v>
      </c>
      <c r="T22" s="409">
        <v>1.9</v>
      </c>
      <c r="U22" s="422">
        <v>2</v>
      </c>
      <c r="V22" s="422">
        <v>2</v>
      </c>
      <c r="W22" s="425">
        <v>2</v>
      </c>
      <c r="X22" s="425">
        <v>2</v>
      </c>
      <c r="Y22" s="425">
        <v>2</v>
      </c>
      <c r="Z22" s="425">
        <v>2</v>
      </c>
      <c r="AA22" s="425">
        <v>2</v>
      </c>
      <c r="AB22" s="409">
        <f t="shared" ref="AB22:AZ22" si="27">+AB17+AB20</f>
        <v>2</v>
      </c>
      <c r="AC22" s="409">
        <f t="shared" si="27"/>
        <v>0.06</v>
      </c>
      <c r="AD22" s="409">
        <f t="shared" si="27"/>
        <v>0.06</v>
      </c>
      <c r="AE22" s="409">
        <f t="shared" si="27"/>
        <v>0.1</v>
      </c>
      <c r="AF22" s="409">
        <f t="shared" si="27"/>
        <v>0.1</v>
      </c>
      <c r="AG22" s="409">
        <f t="shared" si="27"/>
        <v>0.1</v>
      </c>
      <c r="AH22" s="409">
        <f t="shared" si="27"/>
        <v>0.1</v>
      </c>
      <c r="AI22" s="409">
        <f t="shared" si="27"/>
        <v>9.9999999999999978E-2</v>
      </c>
      <c r="AJ22" s="409">
        <f t="shared" si="27"/>
        <v>9.9999999999999978E-2</v>
      </c>
      <c r="AK22" s="409">
        <f t="shared" si="27"/>
        <v>0.3</v>
      </c>
      <c r="AL22" s="409">
        <f t="shared" si="27"/>
        <v>0.3</v>
      </c>
      <c r="AM22" s="409">
        <f t="shared" si="27"/>
        <v>0.3</v>
      </c>
      <c r="AN22" s="409">
        <f t="shared" si="27"/>
        <v>0.3</v>
      </c>
      <c r="AO22" s="409">
        <f t="shared" si="27"/>
        <v>0.3</v>
      </c>
      <c r="AP22" s="409">
        <f t="shared" si="27"/>
        <v>0.3</v>
      </c>
      <c r="AQ22" s="409">
        <f t="shared" si="27"/>
        <v>0.3</v>
      </c>
      <c r="AR22" s="409">
        <f t="shared" si="27"/>
        <v>0.3</v>
      </c>
      <c r="AS22" s="409">
        <f t="shared" si="27"/>
        <v>0.2</v>
      </c>
      <c r="AT22" s="409">
        <f t="shared" si="27"/>
        <v>0.2</v>
      </c>
      <c r="AU22" s="409">
        <f t="shared" si="27"/>
        <v>0.08</v>
      </c>
      <c r="AV22" s="409">
        <f t="shared" si="27"/>
        <v>0.08</v>
      </c>
      <c r="AW22" s="409">
        <f t="shared" si="27"/>
        <v>0.08</v>
      </c>
      <c r="AX22" s="409">
        <f t="shared" si="27"/>
        <v>0.08</v>
      </c>
      <c r="AY22" s="409">
        <f t="shared" si="27"/>
        <v>0.08</v>
      </c>
      <c r="AZ22" s="409">
        <f t="shared" si="27"/>
        <v>0.08</v>
      </c>
      <c r="BA22" s="419">
        <f>AC22+AE22+AG22+AI22+AK22+AM22+AO22+AQ22+AS22+AU22+AW22+AY22</f>
        <v>2</v>
      </c>
      <c r="BB22" s="419">
        <f>+BB17+BB20</f>
        <v>2</v>
      </c>
      <c r="BC22" s="419">
        <f>+BC17+BC20</f>
        <v>2</v>
      </c>
      <c r="BD22" s="419">
        <f>BD17+BD20</f>
        <v>2</v>
      </c>
      <c r="BE22" s="419">
        <f>BE17+BE20</f>
        <v>2</v>
      </c>
      <c r="BF22" s="409">
        <f>+BG22+BI22+BK22+BM22+BO22+BQ22+BS22+BU22+BW22+BY22+CA22+CC22</f>
        <v>3.9999999999999996</v>
      </c>
      <c r="BG22" s="409">
        <f t="shared" ref="BG22:CD22" si="28">BG17+BG20</f>
        <v>0.04</v>
      </c>
      <c r="BH22" s="409">
        <f t="shared" si="28"/>
        <v>0.04</v>
      </c>
      <c r="BI22" s="409">
        <f t="shared" si="28"/>
        <v>0.16</v>
      </c>
      <c r="BJ22" s="409">
        <f t="shared" si="28"/>
        <v>0.16</v>
      </c>
      <c r="BK22" s="409">
        <f t="shared" si="28"/>
        <v>0.24</v>
      </c>
      <c r="BL22" s="409">
        <f t="shared" si="28"/>
        <v>0.24</v>
      </c>
      <c r="BM22" s="409">
        <f t="shared" si="28"/>
        <v>0.36</v>
      </c>
      <c r="BN22" s="409">
        <f t="shared" si="28"/>
        <v>0.36</v>
      </c>
      <c r="BO22" s="409">
        <f t="shared" si="28"/>
        <v>0.44</v>
      </c>
      <c r="BP22" s="409">
        <f t="shared" si="28"/>
        <v>0.44</v>
      </c>
      <c r="BQ22" s="409">
        <f t="shared" si="28"/>
        <v>0.48</v>
      </c>
      <c r="BR22" s="409">
        <f t="shared" si="28"/>
        <v>0.48</v>
      </c>
      <c r="BS22" s="409">
        <f t="shared" si="28"/>
        <v>0.4</v>
      </c>
      <c r="BT22" s="409">
        <f t="shared" si="28"/>
        <v>0.4</v>
      </c>
      <c r="BU22" s="409">
        <f t="shared" si="28"/>
        <v>0.4</v>
      </c>
      <c r="BV22" s="409">
        <f t="shared" si="28"/>
        <v>0.4</v>
      </c>
      <c r="BW22" s="409">
        <f t="shared" si="28"/>
        <v>0.4</v>
      </c>
      <c r="BX22" s="409">
        <f t="shared" si="28"/>
        <v>0.4</v>
      </c>
      <c r="BY22" s="409">
        <f t="shared" si="28"/>
        <v>0.4</v>
      </c>
      <c r="BZ22" s="409">
        <f t="shared" si="28"/>
        <v>0.4</v>
      </c>
      <c r="CA22" s="409">
        <f t="shared" si="28"/>
        <v>0.36</v>
      </c>
      <c r="CB22" s="409">
        <f t="shared" si="28"/>
        <v>0.36</v>
      </c>
      <c r="CC22" s="409">
        <f t="shared" si="28"/>
        <v>0.32</v>
      </c>
      <c r="CD22" s="409">
        <f t="shared" si="28"/>
        <v>0.32</v>
      </c>
      <c r="CE22" s="419">
        <f>BG22+BI22+BK22+BM22+BO22+BQ22+BS22+BU22+BW22+BY22+CA22+CC22</f>
        <v>3.9999999999999996</v>
      </c>
      <c r="CF22" s="419">
        <f>+CF17+CF20</f>
        <v>3.9999999999999996</v>
      </c>
      <c r="CG22" s="419">
        <f>+CG17+CG20</f>
        <v>3.9999999999999996</v>
      </c>
      <c r="CH22" s="419">
        <f>CH17+CH20</f>
        <v>3.9999999999999996</v>
      </c>
      <c r="CI22" s="419">
        <f>CI17+CI20</f>
        <v>3.9999999999999996</v>
      </c>
      <c r="CJ22" s="422">
        <f t="shared" ref="CJ22:DF22" si="29">+CJ17+CJ20</f>
        <v>5</v>
      </c>
      <c r="CK22" s="409">
        <f t="shared" si="29"/>
        <v>0.15</v>
      </c>
      <c r="CL22" s="409">
        <f t="shared" si="29"/>
        <v>0.15</v>
      </c>
      <c r="CM22" s="409">
        <f t="shared" si="29"/>
        <v>0.2</v>
      </c>
      <c r="CN22" s="409">
        <f t="shared" si="29"/>
        <v>0.2</v>
      </c>
      <c r="CO22" s="409">
        <f t="shared" si="29"/>
        <v>0.3</v>
      </c>
      <c r="CP22" s="409">
        <f t="shared" si="29"/>
        <v>0.3</v>
      </c>
      <c r="CQ22" s="409">
        <f t="shared" si="29"/>
        <v>0.35</v>
      </c>
      <c r="CR22" s="409">
        <f t="shared" si="29"/>
        <v>0.35</v>
      </c>
      <c r="CS22" s="409">
        <f t="shared" si="29"/>
        <v>0.55000000000000004</v>
      </c>
      <c r="CT22" s="409">
        <f t="shared" si="29"/>
        <v>0.55000000000000004</v>
      </c>
      <c r="CU22" s="409">
        <f t="shared" si="29"/>
        <v>0.8</v>
      </c>
      <c r="CV22" s="409">
        <f t="shared" si="29"/>
        <v>0.8</v>
      </c>
      <c r="CW22" s="409">
        <f t="shared" si="29"/>
        <v>0.85</v>
      </c>
      <c r="CX22" s="409">
        <f t="shared" si="29"/>
        <v>0.85</v>
      </c>
      <c r="CY22" s="409">
        <f t="shared" si="29"/>
        <v>0.6</v>
      </c>
      <c r="CZ22" s="409">
        <f t="shared" si="29"/>
        <v>0.6</v>
      </c>
      <c r="DA22" s="409">
        <f t="shared" si="29"/>
        <v>0.4</v>
      </c>
      <c r="DB22" s="409">
        <f t="shared" si="29"/>
        <v>0.4</v>
      </c>
      <c r="DC22" s="409">
        <f t="shared" si="29"/>
        <v>0.35</v>
      </c>
      <c r="DD22" s="426">
        <f t="shared" si="29"/>
        <v>0.35</v>
      </c>
      <c r="DE22" s="409">
        <f t="shared" si="29"/>
        <v>0.25</v>
      </c>
      <c r="DF22" s="409">
        <f t="shared" si="29"/>
        <v>0.25</v>
      </c>
      <c r="DG22" s="409">
        <f>+DG17+DG20</f>
        <v>0.2</v>
      </c>
      <c r="DH22" s="427">
        <f>+DH17+DH20</f>
        <v>0.2</v>
      </c>
      <c r="DI22" s="422">
        <f t="shared" si="24"/>
        <v>5</v>
      </c>
      <c r="DJ22" s="409">
        <f>DJ17+DJ20</f>
        <v>5</v>
      </c>
      <c r="DK22" s="409">
        <f>DK17+DK20</f>
        <v>5</v>
      </c>
      <c r="DL22" s="422">
        <f>DL17+DL20</f>
        <v>5</v>
      </c>
      <c r="DM22" s="409">
        <f>DM17+DM20</f>
        <v>5</v>
      </c>
      <c r="DN22" s="422">
        <f>+DN17+DN20</f>
        <v>2</v>
      </c>
      <c r="DO22" s="409">
        <f t="shared" ref="DO22:DV22" si="30">+DO17+DO20</f>
        <v>0.2</v>
      </c>
      <c r="DP22" s="409">
        <f t="shared" si="30"/>
        <v>0.2</v>
      </c>
      <c r="DQ22" s="409">
        <f t="shared" si="30"/>
        <v>0.3</v>
      </c>
      <c r="DR22" s="409">
        <f>+DR17+DR20</f>
        <v>0.3</v>
      </c>
      <c r="DS22" s="409">
        <f t="shared" si="30"/>
        <v>0.5</v>
      </c>
      <c r="DT22" s="409">
        <f t="shared" si="30"/>
        <v>0.5</v>
      </c>
      <c r="DU22" s="409">
        <f t="shared" si="30"/>
        <v>0.5</v>
      </c>
      <c r="DV22" s="409">
        <f t="shared" si="30"/>
        <v>0.5</v>
      </c>
      <c r="DW22" s="409">
        <f>+DW17+DW20</f>
        <v>0.5</v>
      </c>
      <c r="DX22" s="409">
        <f t="shared" ref="DX22:EL22" si="31">+DX17+DX20</f>
        <v>0.5</v>
      </c>
      <c r="DY22" s="409">
        <f t="shared" si="31"/>
        <v>0</v>
      </c>
      <c r="DZ22" s="409">
        <f t="shared" si="31"/>
        <v>0</v>
      </c>
      <c r="EA22" s="409">
        <f t="shared" si="31"/>
        <v>0</v>
      </c>
      <c r="EB22" s="409">
        <f t="shared" si="31"/>
        <v>0</v>
      </c>
      <c r="EC22" s="409">
        <f t="shared" si="31"/>
        <v>0</v>
      </c>
      <c r="ED22" s="409">
        <f t="shared" si="31"/>
        <v>0</v>
      </c>
      <c r="EE22" s="409">
        <f t="shared" si="31"/>
        <v>0</v>
      </c>
      <c r="EF22" s="409">
        <f t="shared" si="31"/>
        <v>0</v>
      </c>
      <c r="EG22" s="409">
        <f t="shared" si="31"/>
        <v>0</v>
      </c>
      <c r="EH22" s="409">
        <f t="shared" si="31"/>
        <v>0</v>
      </c>
      <c r="EI22" s="409">
        <f>+EI17+EI20</f>
        <v>0</v>
      </c>
      <c r="EJ22" s="409">
        <f t="shared" si="31"/>
        <v>0</v>
      </c>
      <c r="EK22" s="409">
        <f t="shared" si="31"/>
        <v>0</v>
      </c>
      <c r="EL22" s="409">
        <f t="shared" si="31"/>
        <v>0</v>
      </c>
      <c r="EM22" s="428">
        <f>+EM17+EM20</f>
        <v>2</v>
      </c>
      <c r="EN22" s="428">
        <f>+EN17+EN20</f>
        <v>2</v>
      </c>
      <c r="EO22" s="428">
        <f>+EO17+EO20</f>
        <v>2</v>
      </c>
      <c r="EP22" s="428">
        <f>+EP17+EP20</f>
        <v>2</v>
      </c>
      <c r="EQ22" s="428">
        <f>+EQ17+EQ20</f>
        <v>2</v>
      </c>
      <c r="ER22" s="467">
        <f t="shared" si="7"/>
        <v>1</v>
      </c>
      <c r="ES22" s="468">
        <f t="shared" si="8"/>
        <v>1</v>
      </c>
      <c r="ET22" s="468">
        <f t="shared" si="9"/>
        <v>1</v>
      </c>
      <c r="EU22" s="469">
        <f t="shared" si="11"/>
        <v>1</v>
      </c>
      <c r="EV22" s="470">
        <f t="shared" si="10"/>
        <v>1</v>
      </c>
      <c r="EW22" s="629"/>
      <c r="EX22" s="627"/>
      <c r="EY22" s="627"/>
      <c r="EZ22" s="629"/>
      <c r="FA22" s="661"/>
      <c r="FB22" s="625"/>
    </row>
    <row r="23" spans="1:158" ht="55.5" customHeight="1" thickBot="1" x14ac:dyDescent="0.3">
      <c r="A23" s="606"/>
      <c r="B23" s="606"/>
      <c r="C23" s="606"/>
      <c r="D23" s="606"/>
      <c r="E23" s="606"/>
      <c r="F23" s="61" t="s">
        <v>328</v>
      </c>
      <c r="G23" s="477">
        <f>G18+G21</f>
        <v>1781949698.3333333</v>
      </c>
      <c r="H23" s="275">
        <f t="shared" ref="H23:DO23" si="32">H18+H21</f>
        <v>183030000</v>
      </c>
      <c r="I23" s="275">
        <f t="shared" si="32"/>
        <v>0</v>
      </c>
      <c r="J23" s="275">
        <f t="shared" si="32"/>
        <v>0</v>
      </c>
      <c r="K23" s="275">
        <f t="shared" si="32"/>
        <v>183030000</v>
      </c>
      <c r="L23" s="275">
        <f t="shared" si="32"/>
        <v>16888000</v>
      </c>
      <c r="M23" s="275">
        <f t="shared" si="32"/>
        <v>183030000</v>
      </c>
      <c r="N23" s="275">
        <f t="shared" si="32"/>
        <v>105132000</v>
      </c>
      <c r="O23" s="275">
        <f t="shared" si="32"/>
        <v>183030000</v>
      </c>
      <c r="P23" s="275">
        <f t="shared" si="32"/>
        <v>105132000</v>
      </c>
      <c r="Q23" s="275">
        <f t="shared" si="32"/>
        <v>183030000</v>
      </c>
      <c r="R23" s="275">
        <f t="shared" si="32"/>
        <v>105132000</v>
      </c>
      <c r="S23" s="275">
        <f t="shared" si="32"/>
        <v>183030000</v>
      </c>
      <c r="T23" s="275">
        <f t="shared" si="32"/>
        <v>105132000</v>
      </c>
      <c r="U23" s="275">
        <f t="shared" si="32"/>
        <v>183030000</v>
      </c>
      <c r="V23" s="275">
        <f t="shared" si="32"/>
        <v>139406000</v>
      </c>
      <c r="W23" s="275">
        <f t="shared" si="32"/>
        <v>183030000</v>
      </c>
      <c r="X23" s="275">
        <f t="shared" si="32"/>
        <v>139406000</v>
      </c>
      <c r="Y23" s="275">
        <f t="shared" si="32"/>
        <v>139406000</v>
      </c>
      <c r="Z23" s="275">
        <f t="shared" si="32"/>
        <v>183030000</v>
      </c>
      <c r="AA23" s="275">
        <f t="shared" si="32"/>
        <v>139406000</v>
      </c>
      <c r="AB23" s="275">
        <f t="shared" si="32"/>
        <v>426841300</v>
      </c>
      <c r="AC23" s="275">
        <f t="shared" si="32"/>
        <v>4222000</v>
      </c>
      <c r="AD23" s="275">
        <f t="shared" si="32"/>
        <v>4222000</v>
      </c>
      <c r="AE23" s="275">
        <f t="shared" si="32"/>
        <v>10782200</v>
      </c>
      <c r="AF23" s="275">
        <f t="shared" si="32"/>
        <v>10782200</v>
      </c>
      <c r="AG23" s="275">
        <f t="shared" si="32"/>
        <v>171533100</v>
      </c>
      <c r="AH23" s="275">
        <f t="shared" si="32"/>
        <v>171533100</v>
      </c>
      <c r="AI23" s="275">
        <f t="shared" si="32"/>
        <v>0</v>
      </c>
      <c r="AJ23" s="275">
        <f t="shared" si="32"/>
        <v>0</v>
      </c>
      <c r="AK23" s="275">
        <f t="shared" si="32"/>
        <v>87381000</v>
      </c>
      <c r="AL23" s="275">
        <f t="shared" si="32"/>
        <v>87381000</v>
      </c>
      <c r="AM23" s="275">
        <f t="shared" si="32"/>
        <v>0</v>
      </c>
      <c r="AN23" s="275">
        <f t="shared" si="32"/>
        <v>0</v>
      </c>
      <c r="AO23" s="275">
        <f t="shared" si="32"/>
        <v>0</v>
      </c>
      <c r="AP23" s="275">
        <f t="shared" si="32"/>
        <v>0</v>
      </c>
      <c r="AQ23" s="275">
        <f t="shared" si="32"/>
        <v>0</v>
      </c>
      <c r="AR23" s="275">
        <f t="shared" si="32"/>
        <v>0</v>
      </c>
      <c r="AS23" s="275">
        <f t="shared" si="32"/>
        <v>0</v>
      </c>
      <c r="AT23" s="275">
        <f t="shared" si="32"/>
        <v>0</v>
      </c>
      <c r="AU23" s="275">
        <f t="shared" si="32"/>
        <v>0</v>
      </c>
      <c r="AV23" s="275">
        <f t="shared" si="32"/>
        <v>0</v>
      </c>
      <c r="AW23" s="275">
        <f t="shared" si="32"/>
        <v>10658500</v>
      </c>
      <c r="AX23" s="275">
        <f t="shared" si="32"/>
        <v>0</v>
      </c>
      <c r="AY23" s="275">
        <f t="shared" si="32"/>
        <v>20609667</v>
      </c>
      <c r="AZ23" s="275">
        <f t="shared" si="32"/>
        <v>11157833</v>
      </c>
      <c r="BA23" s="275">
        <f t="shared" si="32"/>
        <v>305186467</v>
      </c>
      <c r="BB23" s="275">
        <f t="shared" si="32"/>
        <v>305186467</v>
      </c>
      <c r="BC23" s="275">
        <f t="shared" si="32"/>
        <v>285076133</v>
      </c>
      <c r="BD23" s="275">
        <f t="shared" si="32"/>
        <v>305186467</v>
      </c>
      <c r="BE23" s="275">
        <f t="shared" si="32"/>
        <v>285076133</v>
      </c>
      <c r="BF23" s="275">
        <f t="shared" si="32"/>
        <v>310688333</v>
      </c>
      <c r="BG23" s="275">
        <f t="shared" si="32"/>
        <v>305500333</v>
      </c>
      <c r="BH23" s="275">
        <f t="shared" si="32"/>
        <v>305500333</v>
      </c>
      <c r="BI23" s="275">
        <f t="shared" si="32"/>
        <v>4226000</v>
      </c>
      <c r="BJ23" s="275">
        <f t="shared" si="32"/>
        <v>4226000</v>
      </c>
      <c r="BK23" s="275">
        <f t="shared" si="32"/>
        <v>0</v>
      </c>
      <c r="BL23" s="275">
        <f t="shared" si="32"/>
        <v>0</v>
      </c>
      <c r="BM23" s="275">
        <f t="shared" si="32"/>
        <v>0</v>
      </c>
      <c r="BN23" s="275">
        <f t="shared" si="32"/>
        <v>0</v>
      </c>
      <c r="BO23" s="275">
        <f t="shared" si="32"/>
        <v>0</v>
      </c>
      <c r="BP23" s="275">
        <f t="shared" si="32"/>
        <v>0</v>
      </c>
      <c r="BQ23" s="275">
        <f t="shared" si="32"/>
        <v>0</v>
      </c>
      <c r="BR23" s="275">
        <f t="shared" si="32"/>
        <v>0</v>
      </c>
      <c r="BS23" s="275">
        <f t="shared" si="32"/>
        <v>0</v>
      </c>
      <c r="BT23" s="275">
        <f t="shared" si="32"/>
        <v>0</v>
      </c>
      <c r="BU23" s="275">
        <f t="shared" si="32"/>
        <v>0</v>
      </c>
      <c r="BV23" s="275">
        <f t="shared" si="32"/>
        <v>0</v>
      </c>
      <c r="BW23" s="275">
        <f t="shared" si="32"/>
        <v>0</v>
      </c>
      <c r="BX23" s="275">
        <f t="shared" si="32"/>
        <v>0</v>
      </c>
      <c r="BY23" s="275">
        <f t="shared" si="32"/>
        <v>5603033</v>
      </c>
      <c r="BZ23" s="275">
        <f t="shared" si="32"/>
        <v>0</v>
      </c>
      <c r="CA23" s="275">
        <f t="shared" si="32"/>
        <v>45291066.333333328</v>
      </c>
      <c r="CB23" s="275">
        <f t="shared" si="32"/>
        <v>31447399.333333336</v>
      </c>
      <c r="CC23" s="275">
        <f t="shared" si="32"/>
        <v>0</v>
      </c>
      <c r="CD23" s="275">
        <f t="shared" si="32"/>
        <v>19446700</v>
      </c>
      <c r="CE23" s="275">
        <f t="shared" si="32"/>
        <v>360620432.33333331</v>
      </c>
      <c r="CF23" s="275">
        <f t="shared" si="32"/>
        <v>360620432.33333331</v>
      </c>
      <c r="CG23" s="275">
        <f t="shared" si="32"/>
        <v>360620432.33333331</v>
      </c>
      <c r="CH23" s="275">
        <f t="shared" si="32"/>
        <v>360620432.33333331</v>
      </c>
      <c r="CI23" s="275">
        <f t="shared" si="32"/>
        <v>360620432.33333331</v>
      </c>
      <c r="CJ23" s="275">
        <f t="shared" si="32"/>
        <v>298038699</v>
      </c>
      <c r="CK23" s="275">
        <f t="shared" si="32"/>
        <v>0</v>
      </c>
      <c r="CL23" s="275">
        <f t="shared" si="32"/>
        <v>0</v>
      </c>
      <c r="CM23" s="275">
        <f t="shared" si="32"/>
        <v>212316232</v>
      </c>
      <c r="CN23" s="275">
        <f t="shared" si="32"/>
        <v>212316232</v>
      </c>
      <c r="CO23" s="275">
        <f t="shared" si="32"/>
        <v>59328000</v>
      </c>
      <c r="CP23" s="275">
        <f t="shared" si="32"/>
        <v>59328000</v>
      </c>
      <c r="CQ23" s="275">
        <f t="shared" si="32"/>
        <v>2351467</v>
      </c>
      <c r="CR23" s="275">
        <f t="shared" si="32"/>
        <v>0</v>
      </c>
      <c r="CS23" s="275">
        <f t="shared" si="32"/>
        <v>0</v>
      </c>
      <c r="CT23" s="275">
        <f t="shared" si="32"/>
        <v>2351467</v>
      </c>
      <c r="CU23" s="275">
        <f t="shared" si="32"/>
        <v>91788000</v>
      </c>
      <c r="CV23" s="275">
        <f t="shared" si="32"/>
        <v>34470000</v>
      </c>
      <c r="CW23" s="275">
        <f t="shared" si="32"/>
        <v>0</v>
      </c>
      <c r="CX23" s="275">
        <f t="shared" si="32"/>
        <v>57318000</v>
      </c>
      <c r="CY23" s="275">
        <f t="shared" si="32"/>
        <v>0</v>
      </c>
      <c r="CZ23" s="275">
        <f t="shared" si="32"/>
        <v>0</v>
      </c>
      <c r="DA23" s="275">
        <f t="shared" si="32"/>
        <v>0</v>
      </c>
      <c r="DB23" s="275">
        <f t="shared" si="32"/>
        <v>0</v>
      </c>
      <c r="DC23" s="275">
        <f t="shared" si="32"/>
        <v>0</v>
      </c>
      <c r="DD23" s="478">
        <f>DD18+DD21</f>
        <v>0</v>
      </c>
      <c r="DE23" s="275">
        <f t="shared" si="32"/>
        <v>36195200</v>
      </c>
      <c r="DF23" s="275">
        <f t="shared" si="32"/>
        <v>0</v>
      </c>
      <c r="DG23" s="275">
        <f t="shared" si="32"/>
        <v>0</v>
      </c>
      <c r="DH23" s="275">
        <f t="shared" si="32"/>
        <v>36195200</v>
      </c>
      <c r="DI23" s="275">
        <f t="shared" si="32"/>
        <v>401978899</v>
      </c>
      <c r="DJ23" s="275">
        <f t="shared" si="32"/>
        <v>401978899</v>
      </c>
      <c r="DK23" s="275">
        <f t="shared" si="32"/>
        <v>401978899</v>
      </c>
      <c r="DL23" s="275">
        <f t="shared" si="32"/>
        <v>401978899</v>
      </c>
      <c r="DM23" s="275">
        <f t="shared" si="32"/>
        <v>401978899</v>
      </c>
      <c r="DN23" s="275">
        <f t="shared" si="32"/>
        <v>594868234</v>
      </c>
      <c r="DO23" s="275">
        <f t="shared" si="32"/>
        <v>312141000</v>
      </c>
      <c r="DP23" s="275">
        <f t="shared" ref="DP23:DX23" si="33">DP18+DP21</f>
        <v>58550000</v>
      </c>
      <c r="DQ23" s="275">
        <f t="shared" si="33"/>
        <v>32887234</v>
      </c>
      <c r="DR23" s="275">
        <f>DR18+DR21</f>
        <v>117192234</v>
      </c>
      <c r="DS23" s="275">
        <f t="shared" si="33"/>
        <v>0</v>
      </c>
      <c r="DT23" s="275">
        <f>DT18+DT21</f>
        <v>12030000</v>
      </c>
      <c r="DU23" s="275">
        <f t="shared" si="33"/>
        <v>249840000</v>
      </c>
      <c r="DV23" s="275">
        <f t="shared" si="33"/>
        <v>86716000</v>
      </c>
      <c r="DW23" s="275">
        <f t="shared" si="33"/>
        <v>0</v>
      </c>
      <c r="DX23" s="275">
        <f t="shared" si="33"/>
        <v>17665000</v>
      </c>
      <c r="DY23" s="484">
        <f t="shared" ref="DY23:EL23" si="34">+DY18+DY21</f>
        <v>0</v>
      </c>
      <c r="DZ23" s="484">
        <f t="shared" si="34"/>
        <v>0</v>
      </c>
      <c r="EA23" s="484">
        <f t="shared" si="34"/>
        <v>0</v>
      </c>
      <c r="EB23" s="484">
        <f t="shared" si="34"/>
        <v>0</v>
      </c>
      <c r="EC23" s="484">
        <f t="shared" si="34"/>
        <v>0</v>
      </c>
      <c r="ED23" s="484">
        <f t="shared" si="34"/>
        <v>0</v>
      </c>
      <c r="EE23" s="484">
        <f t="shared" si="34"/>
        <v>0</v>
      </c>
      <c r="EF23" s="484">
        <f t="shared" si="34"/>
        <v>0</v>
      </c>
      <c r="EG23" s="484">
        <f t="shared" si="34"/>
        <v>0</v>
      </c>
      <c r="EH23" s="484">
        <f t="shared" si="34"/>
        <v>0</v>
      </c>
      <c r="EI23" s="484">
        <f>+EI18+EI21</f>
        <v>0</v>
      </c>
      <c r="EJ23" s="484">
        <f t="shared" si="34"/>
        <v>0</v>
      </c>
      <c r="EK23" s="484">
        <f t="shared" si="34"/>
        <v>0</v>
      </c>
      <c r="EL23" s="484">
        <f t="shared" si="34"/>
        <v>0</v>
      </c>
      <c r="EM23" s="485">
        <f>+EM18+EM21</f>
        <v>594868234</v>
      </c>
      <c r="EN23" s="485">
        <f>EN18+EN21</f>
        <v>594868234</v>
      </c>
      <c r="EO23" s="485">
        <f>EO18+EO21</f>
        <v>292153234</v>
      </c>
      <c r="EP23" s="486">
        <f>EP18+EP21</f>
        <v>594868234</v>
      </c>
      <c r="EQ23" s="487">
        <f>EQ18+EQ21</f>
        <v>292153234</v>
      </c>
      <c r="ER23" s="480">
        <f>IFERROR(DX23/DW23,0)</f>
        <v>0</v>
      </c>
      <c r="ES23" s="481">
        <f t="shared" si="8"/>
        <v>0.4911226004379316</v>
      </c>
      <c r="ET23" s="481">
        <f t="shared" si="9"/>
        <v>0.4911226004379316</v>
      </c>
      <c r="EU23" s="482">
        <f t="shared" si="11"/>
        <v>0.80145608480085784</v>
      </c>
      <c r="EV23" s="483">
        <f t="shared" si="10"/>
        <v>0.83012146735503767</v>
      </c>
      <c r="EW23" s="651"/>
      <c r="EX23" s="627"/>
      <c r="EY23" s="627"/>
      <c r="EZ23" s="629"/>
      <c r="FA23" s="661"/>
      <c r="FB23" s="625"/>
    </row>
    <row r="24" spans="1:158" ht="42" customHeight="1" x14ac:dyDescent="0.25">
      <c r="A24" s="642" t="s">
        <v>331</v>
      </c>
      <c r="B24" s="642">
        <v>3</v>
      </c>
      <c r="C24" s="645" t="s">
        <v>332</v>
      </c>
      <c r="D24" s="642" t="s">
        <v>178</v>
      </c>
      <c r="E24" s="642">
        <v>457</v>
      </c>
      <c r="F24" s="63" t="s">
        <v>322</v>
      </c>
      <c r="G24" s="412">
        <f>AA24+BE24+CI24+DL24+DN24</f>
        <v>14.81</v>
      </c>
      <c r="H24" s="429">
        <v>3</v>
      </c>
      <c r="I24" s="429"/>
      <c r="J24" s="429"/>
      <c r="K24" s="429">
        <v>3</v>
      </c>
      <c r="L24" s="430">
        <v>0.12</v>
      </c>
      <c r="M24" s="429">
        <v>3</v>
      </c>
      <c r="N24" s="431">
        <v>0.43</v>
      </c>
      <c r="O24" s="429">
        <v>3</v>
      </c>
      <c r="P24" s="431">
        <v>1.03</v>
      </c>
      <c r="Q24" s="429">
        <v>3</v>
      </c>
      <c r="R24" s="431">
        <v>1.59</v>
      </c>
      <c r="S24" s="429">
        <v>3</v>
      </c>
      <c r="T24" s="412">
        <v>2.2600000000000002</v>
      </c>
      <c r="U24" s="429">
        <v>3</v>
      </c>
      <c r="V24" s="412">
        <v>2.8100000000000005</v>
      </c>
      <c r="W24" s="412">
        <v>3</v>
      </c>
      <c r="X24" s="412">
        <v>2.8100000000000005</v>
      </c>
      <c r="Y24" s="412">
        <v>2.8100000000000005</v>
      </c>
      <c r="Z24" s="412">
        <v>3</v>
      </c>
      <c r="AA24" s="412">
        <v>2.8100000000000005</v>
      </c>
      <c r="AB24" s="412">
        <f>+AC24+AE24+AG24+AI24+AK24+AM24+AO24+AQ24+AS24+AU24+AW24+AY24</f>
        <v>4.0000000000000009</v>
      </c>
      <c r="AC24" s="412">
        <v>0.08</v>
      </c>
      <c r="AD24" s="414">
        <v>0.08</v>
      </c>
      <c r="AE24" s="412">
        <v>0.13</v>
      </c>
      <c r="AF24" s="414">
        <v>0.13</v>
      </c>
      <c r="AG24" s="412">
        <v>0.34</v>
      </c>
      <c r="AH24" s="412">
        <v>0.34</v>
      </c>
      <c r="AI24" s="412">
        <v>0.4</v>
      </c>
      <c r="AJ24" s="412">
        <v>0.4</v>
      </c>
      <c r="AK24" s="412">
        <v>0.42</v>
      </c>
      <c r="AL24" s="412">
        <v>0.42</v>
      </c>
      <c r="AM24" s="412">
        <v>0.55000000000000004</v>
      </c>
      <c r="AN24" s="412">
        <v>0.55000000000000004</v>
      </c>
      <c r="AO24" s="412">
        <v>0.49</v>
      </c>
      <c r="AP24" s="412">
        <v>0.49</v>
      </c>
      <c r="AQ24" s="412">
        <v>0.39</v>
      </c>
      <c r="AR24" s="412">
        <v>0.39</v>
      </c>
      <c r="AS24" s="412">
        <v>0.38</v>
      </c>
      <c r="AT24" s="412">
        <v>0.38</v>
      </c>
      <c r="AU24" s="412">
        <v>0.35</v>
      </c>
      <c r="AV24" s="412">
        <v>0.35</v>
      </c>
      <c r="AW24" s="412">
        <v>0.28000000000000003</v>
      </c>
      <c r="AX24" s="412">
        <v>0.28000000000000003</v>
      </c>
      <c r="AY24" s="412">
        <v>0.19</v>
      </c>
      <c r="AZ24" s="412">
        <v>0.19</v>
      </c>
      <c r="BA24" s="432">
        <f>+AC24+AE24+AG24+AI24+AK24+AM24+AO24+AQ24+AS24+AU24+AW24+AY24</f>
        <v>4.0000000000000009</v>
      </c>
      <c r="BB24" s="432">
        <f t="shared" ref="BB24:BC28" si="35">+AC24+AE24+AG24+AI24+AK24+AM24+AO24+AQ24+AS24+AU24+AW24+AY24</f>
        <v>4.0000000000000009</v>
      </c>
      <c r="BC24" s="432">
        <f t="shared" si="35"/>
        <v>4.0000000000000009</v>
      </c>
      <c r="BD24" s="432">
        <f>AC24+AE24+AG24+AI24+AK24+AM24+AO24+AQ24+AS24+AU24+AW24+AY24</f>
        <v>4.0000000000000009</v>
      </c>
      <c r="BE24" s="432">
        <v>4</v>
      </c>
      <c r="BF24" s="412">
        <v>3</v>
      </c>
      <c r="BG24" s="412">
        <v>7.0000000000000007E-2</v>
      </c>
      <c r="BH24" s="412">
        <v>7.0000000000000007E-2</v>
      </c>
      <c r="BI24" s="412">
        <v>0.12</v>
      </c>
      <c r="BJ24" s="412">
        <v>0.12</v>
      </c>
      <c r="BK24" s="412">
        <v>0.2</v>
      </c>
      <c r="BL24" s="412">
        <v>0.2</v>
      </c>
      <c r="BM24" s="412">
        <v>0.22</v>
      </c>
      <c r="BN24" s="412">
        <v>0.22</v>
      </c>
      <c r="BO24" s="412">
        <v>0.28000000000000003</v>
      </c>
      <c r="BP24" s="412">
        <v>0.28000000000000003</v>
      </c>
      <c r="BQ24" s="412">
        <v>0.26</v>
      </c>
      <c r="BR24" s="412">
        <v>0.26</v>
      </c>
      <c r="BS24" s="412">
        <v>0.26</v>
      </c>
      <c r="BT24" s="412">
        <v>0.26</v>
      </c>
      <c r="BU24" s="412">
        <v>0.34</v>
      </c>
      <c r="BV24" s="412">
        <v>0.34</v>
      </c>
      <c r="BW24" s="412">
        <v>0.4</v>
      </c>
      <c r="BX24" s="412">
        <v>0.4</v>
      </c>
      <c r="BY24" s="412">
        <v>0.28999999999999998</v>
      </c>
      <c r="BZ24" s="412">
        <v>0.28999999999999998</v>
      </c>
      <c r="CA24" s="412">
        <v>0.26</v>
      </c>
      <c r="CB24" s="412">
        <v>0.26</v>
      </c>
      <c r="CC24" s="412">
        <v>0.3</v>
      </c>
      <c r="CD24" s="412">
        <v>0.3</v>
      </c>
      <c r="CE24" s="433">
        <f>+BG24+BI24+BK24+BM24+BO24+BQ24+BS24+BU24+BW24+BY24+CA24+CC24</f>
        <v>3</v>
      </c>
      <c r="CF24" s="432">
        <f t="shared" ref="CF24:CG28" si="36">+BG24+BI24+BK24+BM24+BO24+BQ24+BS24+BU24+BW24+BY24+CA24+CC24</f>
        <v>3</v>
      </c>
      <c r="CG24" s="432">
        <f t="shared" si="36"/>
        <v>3</v>
      </c>
      <c r="CH24" s="433">
        <f t="shared" ref="CH24:CI28" si="37">BG24+BI24+BK24+BM24+BO24+BQ24+BS24+BU24+BW24+BY24+CA24+CC24</f>
        <v>3</v>
      </c>
      <c r="CI24" s="432">
        <f t="shared" si="37"/>
        <v>3</v>
      </c>
      <c r="CJ24" s="429">
        <v>3</v>
      </c>
      <c r="CK24" s="412">
        <v>0.09</v>
      </c>
      <c r="CL24" s="412">
        <v>0.09</v>
      </c>
      <c r="CM24" s="412">
        <v>0.12</v>
      </c>
      <c r="CN24" s="412">
        <v>0.12</v>
      </c>
      <c r="CO24" s="412">
        <v>0.18</v>
      </c>
      <c r="CP24" s="412">
        <v>0.18</v>
      </c>
      <c r="CQ24" s="412">
        <v>0.2</v>
      </c>
      <c r="CR24" s="412">
        <v>0.2</v>
      </c>
      <c r="CS24" s="412">
        <v>0.24</v>
      </c>
      <c r="CT24" s="412">
        <v>0.24</v>
      </c>
      <c r="CU24" s="412">
        <v>0.28999999999999998</v>
      </c>
      <c r="CV24" s="412">
        <v>0.28999999999999998</v>
      </c>
      <c r="CW24" s="412">
        <v>0.3</v>
      </c>
      <c r="CX24" s="412">
        <v>0.3</v>
      </c>
      <c r="CY24" s="412">
        <v>0.3</v>
      </c>
      <c r="CZ24" s="412">
        <v>0.3</v>
      </c>
      <c r="DA24" s="412">
        <v>0.28000000000000003</v>
      </c>
      <c r="DB24" s="412">
        <v>0.28000000000000003</v>
      </c>
      <c r="DC24" s="412">
        <v>0.31</v>
      </c>
      <c r="DD24" s="434">
        <v>0.31</v>
      </c>
      <c r="DE24" s="412">
        <v>0.33</v>
      </c>
      <c r="DF24" s="412">
        <v>0.33</v>
      </c>
      <c r="DG24" s="412">
        <v>0.36</v>
      </c>
      <c r="DH24" s="412">
        <v>0.36</v>
      </c>
      <c r="DI24" s="429">
        <f t="shared" ref="DI24:DI44" si="38">+CK24+CM24+CO24+CQ24+CS24+CU24+CW24+CY24+DA24+DC24+DE24+DG24</f>
        <v>3</v>
      </c>
      <c r="DJ24" s="412">
        <f>+CK24+CM24+CO24+CQ24+CS24+CU24+CW24+CY24+DA24+DC24+DE24+DG24</f>
        <v>3</v>
      </c>
      <c r="DK24" s="412">
        <f>CL24+CN24+CP24+CR24+CT24+CV24+CX24+CZ24+DB24+DD24+DF24+DH24</f>
        <v>3</v>
      </c>
      <c r="DL24" s="412">
        <f>+CK24+CM24+CO24+CQ24+CS24+CU24+CW24+CY24+DA24+DC24+DE24+DG24</f>
        <v>3</v>
      </c>
      <c r="DM24" s="412">
        <f>CL24+CN24+CP24+CR24+CT24+CV24+CX24+CZ24+DB24+DD24+DF24+DH24</f>
        <v>3</v>
      </c>
      <c r="DN24" s="429">
        <v>2</v>
      </c>
      <c r="DO24" s="435">
        <v>0.17</v>
      </c>
      <c r="DP24" s="435">
        <v>0.17</v>
      </c>
      <c r="DQ24" s="435">
        <v>0.3</v>
      </c>
      <c r="DR24" s="435">
        <v>0.3</v>
      </c>
      <c r="DS24" s="435">
        <v>0.45</v>
      </c>
      <c r="DT24" s="435">
        <v>0.45</v>
      </c>
      <c r="DU24" s="435">
        <v>0.48</v>
      </c>
      <c r="DV24" s="435">
        <v>0.48</v>
      </c>
      <c r="DW24" s="435">
        <v>0.6</v>
      </c>
      <c r="DX24" s="435">
        <v>0.6</v>
      </c>
      <c r="DY24" s="436">
        <v>0</v>
      </c>
      <c r="DZ24" s="436"/>
      <c r="EA24" s="436">
        <v>0</v>
      </c>
      <c r="EB24" s="436"/>
      <c r="EC24" s="436">
        <v>0</v>
      </c>
      <c r="ED24" s="436"/>
      <c r="EE24" s="436">
        <v>0</v>
      </c>
      <c r="EF24" s="436"/>
      <c r="EG24" s="436">
        <v>0</v>
      </c>
      <c r="EH24" s="436"/>
      <c r="EI24" s="436">
        <v>0</v>
      </c>
      <c r="EJ24" s="436"/>
      <c r="EK24" s="436">
        <v>0</v>
      </c>
      <c r="EL24" s="436"/>
      <c r="EM24" s="437">
        <f>+DO24+DQ24+DS24+DU24+DW24+DY24+EA24+EC24+EE24+EG24+EI24+EK24</f>
        <v>2</v>
      </c>
      <c r="EN24" s="437">
        <f t="shared" ref="EN24:EO28" si="39">+DO24+DQ24+DS24+DU24+DW24</f>
        <v>2</v>
      </c>
      <c r="EO24" s="437">
        <f t="shared" si="39"/>
        <v>2</v>
      </c>
      <c r="EP24" s="414">
        <f t="shared" ref="EP24:EQ28" si="40">+DO24+DQ24+DS24+DU24+DW24+DY24+EA24+EC24+EE24+EG24+EI24+EK24</f>
        <v>2</v>
      </c>
      <c r="EQ24" s="414">
        <f t="shared" si="40"/>
        <v>2</v>
      </c>
      <c r="ER24" s="473">
        <f t="shared" si="7"/>
        <v>1</v>
      </c>
      <c r="ES24" s="474">
        <f t="shared" si="8"/>
        <v>1</v>
      </c>
      <c r="ET24" s="474">
        <f t="shared" si="9"/>
        <v>1</v>
      </c>
      <c r="EU24" s="475">
        <f t="shared" si="11"/>
        <v>0.9873333333333334</v>
      </c>
      <c r="EV24" s="476">
        <f t="shared" si="10"/>
        <v>1</v>
      </c>
      <c r="EW24" s="628" t="s">
        <v>902</v>
      </c>
      <c r="EX24" s="626" t="s">
        <v>179</v>
      </c>
      <c r="EY24" s="626" t="s">
        <v>179</v>
      </c>
      <c r="EZ24" s="628" t="s">
        <v>895</v>
      </c>
      <c r="FA24" s="630" t="s">
        <v>896</v>
      </c>
      <c r="FB24" s="625">
        <f>+LEN(EW24)</f>
        <v>1263</v>
      </c>
    </row>
    <row r="25" spans="1:158" ht="45" customHeight="1" x14ac:dyDescent="0.25">
      <c r="A25" s="604"/>
      <c r="B25" s="604"/>
      <c r="C25" s="604"/>
      <c r="D25" s="604"/>
      <c r="E25" s="604"/>
      <c r="F25" s="59" t="s">
        <v>323</v>
      </c>
      <c r="G25" s="395">
        <f>AA25+BE25+CI25+DM25+EP25</f>
        <v>678634200</v>
      </c>
      <c r="H25" s="395">
        <v>63744000</v>
      </c>
      <c r="I25" s="395"/>
      <c r="J25" s="395"/>
      <c r="K25" s="395">
        <v>63744000</v>
      </c>
      <c r="L25" s="395">
        <v>0</v>
      </c>
      <c r="M25" s="395">
        <v>63744000</v>
      </c>
      <c r="N25" s="395">
        <v>29068000</v>
      </c>
      <c r="O25" s="395">
        <v>63744000</v>
      </c>
      <c r="P25" s="395">
        <v>29068000</v>
      </c>
      <c r="Q25" s="395">
        <v>54022000</v>
      </c>
      <c r="R25" s="395">
        <v>29068000</v>
      </c>
      <c r="S25" s="395">
        <v>54022000</v>
      </c>
      <c r="T25" s="395">
        <v>29068000</v>
      </c>
      <c r="U25" s="395">
        <v>54022000</v>
      </c>
      <c r="V25" s="395">
        <v>43602000</v>
      </c>
      <c r="W25" s="395">
        <v>63744000</v>
      </c>
      <c r="X25" s="395">
        <v>43602000</v>
      </c>
      <c r="Y25" s="395">
        <v>43602000</v>
      </c>
      <c r="Z25" s="395">
        <v>54022000</v>
      </c>
      <c r="AA25" s="395">
        <v>43602000</v>
      </c>
      <c r="AB25" s="395">
        <v>155507000</v>
      </c>
      <c r="AC25" s="395">
        <v>0</v>
      </c>
      <c r="AD25" s="395">
        <v>0</v>
      </c>
      <c r="AE25" s="395">
        <v>74410000</v>
      </c>
      <c r="AF25" s="395">
        <v>74410000</v>
      </c>
      <c r="AG25" s="395">
        <v>0</v>
      </c>
      <c r="AH25" s="395">
        <v>0</v>
      </c>
      <c r="AI25" s="395">
        <v>17120000</v>
      </c>
      <c r="AJ25" s="395">
        <v>17120000</v>
      </c>
      <c r="AK25" s="395">
        <f>122990000-AI25-AE25</f>
        <v>31460000</v>
      </c>
      <c r="AL25" s="395">
        <v>31460000</v>
      </c>
      <c r="AM25" s="395">
        <v>0</v>
      </c>
      <c r="AN25" s="395">
        <v>0</v>
      </c>
      <c r="AO25" s="395">
        <v>0</v>
      </c>
      <c r="AP25" s="395">
        <v>0</v>
      </c>
      <c r="AQ25" s="395">
        <v>0</v>
      </c>
      <c r="AR25" s="395">
        <v>0</v>
      </c>
      <c r="AS25" s="395">
        <v>0</v>
      </c>
      <c r="AT25" s="395">
        <v>0</v>
      </c>
      <c r="AU25" s="395">
        <v>0</v>
      </c>
      <c r="AV25" s="395">
        <v>0</v>
      </c>
      <c r="AW25" s="395">
        <v>3932667</v>
      </c>
      <c r="AX25" s="395">
        <v>0</v>
      </c>
      <c r="AY25" s="395">
        <v>2480333</v>
      </c>
      <c r="AZ25" s="395">
        <v>3932667</v>
      </c>
      <c r="BA25" s="395">
        <f t="shared" ref="BA25:BA30" si="41">AC25+AE25+AG25+AI25+AK25+AM25+AO25+AQ25+AS25+AU25+AW25+AY25</f>
        <v>129403000</v>
      </c>
      <c r="BB25" s="395">
        <f t="shared" si="35"/>
        <v>129403000</v>
      </c>
      <c r="BC25" s="395">
        <f t="shared" si="35"/>
        <v>126922667</v>
      </c>
      <c r="BD25" s="395">
        <f>AC25+AE25+AG25+AI25+AK25+AM25+AO25+AQ25+AS25+AU25+AW25+AY25</f>
        <v>129403000</v>
      </c>
      <c r="BE25" s="395">
        <f>AD25+AF25+AH25+AJ25+AL25+AN25+AP25+AR25+AT25+AV25+AX25+AZ25</f>
        <v>126922667</v>
      </c>
      <c r="BF25" s="395">
        <v>143810000</v>
      </c>
      <c r="BG25" s="395">
        <v>138088000</v>
      </c>
      <c r="BH25" s="395">
        <v>138088000</v>
      </c>
      <c r="BI25" s="395"/>
      <c r="BJ25" s="395"/>
      <c r="BK25" s="395"/>
      <c r="BL25" s="395"/>
      <c r="BM25" s="395"/>
      <c r="BN25" s="395"/>
      <c r="BO25" s="395"/>
      <c r="BP25" s="395"/>
      <c r="BQ25" s="395"/>
      <c r="BR25" s="395"/>
      <c r="BS25" s="395"/>
      <c r="BT25" s="395"/>
      <c r="BU25" s="395"/>
      <c r="BV25" s="395"/>
      <c r="BW25" s="395">
        <v>19987000</v>
      </c>
      <c r="BX25" s="395"/>
      <c r="BY25" s="395"/>
      <c r="BZ25" s="395">
        <v>19987000</v>
      </c>
      <c r="CA25" s="395">
        <v>12978167</v>
      </c>
      <c r="CB25" s="395">
        <v>3303533</v>
      </c>
      <c r="CC25" s="395"/>
      <c r="CD25" s="395"/>
      <c r="CE25" s="395">
        <f t="shared" ref="CE25:CE30" si="42">BG25+BI25+BK25+BM25+BO25+BQ25+BS25+BU25+BW25+BY25+CA25+CC25</f>
        <v>171053167</v>
      </c>
      <c r="CF25" s="395">
        <f t="shared" si="36"/>
        <v>171053167</v>
      </c>
      <c r="CG25" s="395">
        <f t="shared" si="36"/>
        <v>161378533</v>
      </c>
      <c r="CH25" s="395">
        <f t="shared" si="37"/>
        <v>171053167</v>
      </c>
      <c r="CI25" s="395">
        <f t="shared" si="37"/>
        <v>161378533</v>
      </c>
      <c r="CJ25" s="395">
        <v>166980000</v>
      </c>
      <c r="CK25" s="395"/>
      <c r="CL25" s="395"/>
      <c r="CM25" s="395">
        <v>75900000</v>
      </c>
      <c r="CN25" s="395">
        <v>75900000</v>
      </c>
      <c r="CO25" s="395">
        <v>68310000</v>
      </c>
      <c r="CP25" s="395">
        <v>68310000</v>
      </c>
      <c r="CQ25" s="395"/>
      <c r="CR25" s="395"/>
      <c r="CS25" s="395"/>
      <c r="CT25" s="395"/>
      <c r="CU25" s="395"/>
      <c r="CV25" s="395">
        <v>0</v>
      </c>
      <c r="CW25" s="395"/>
      <c r="CX25" s="395">
        <v>0</v>
      </c>
      <c r="CY25" s="395"/>
      <c r="CZ25" s="395">
        <v>0</v>
      </c>
      <c r="DA25" s="395"/>
      <c r="DB25" s="395">
        <v>0</v>
      </c>
      <c r="DC25" s="395"/>
      <c r="DD25" s="399">
        <v>0</v>
      </c>
      <c r="DE25" s="395">
        <v>18469000</v>
      </c>
      <c r="DF25" s="395">
        <v>0</v>
      </c>
      <c r="DG25" s="395">
        <v>0</v>
      </c>
      <c r="DH25" s="395">
        <v>18469000</v>
      </c>
      <c r="DI25" s="395">
        <f t="shared" si="38"/>
        <v>162679000</v>
      </c>
      <c r="DJ25" s="415">
        <f>+CK25+CM25+CO25+CQ25+CS25+CU25+CW25+CY25+DA25+DC25+DE25+DG25</f>
        <v>162679000</v>
      </c>
      <c r="DK25" s="395">
        <f>CL25+CN25+CP25+CR25+CT25+CV25+CX25+CX25+CX25+CZ25+DB25+DD25+DF25+DH25</f>
        <v>162679000</v>
      </c>
      <c r="DL25" s="395">
        <f>+CK25+CM25+CO25+CQ25+CS25+CU25+CW25+CY25+DA25+DC25+DE25+DG25</f>
        <v>162679000</v>
      </c>
      <c r="DM25" s="395">
        <f>CL25+CN25+CP25+CR25+CT25+CV25+CX25+CX25+CX25+CZ25+DB25+DD25+DF25+DH25</f>
        <v>162679000</v>
      </c>
      <c r="DN25" s="395">
        <v>184052000</v>
      </c>
      <c r="DO25" s="397">
        <v>33464000</v>
      </c>
      <c r="DP25" s="397">
        <v>30360000</v>
      </c>
      <c r="DQ25" s="397"/>
      <c r="DR25" s="397">
        <v>0</v>
      </c>
      <c r="DS25" s="397"/>
      <c r="DT25" s="397">
        <v>0</v>
      </c>
      <c r="DU25" s="397">
        <v>150588000</v>
      </c>
      <c r="DV25" s="397">
        <v>75187000</v>
      </c>
      <c r="DW25" s="397">
        <v>0</v>
      </c>
      <c r="DX25" s="397">
        <v>0</v>
      </c>
      <c r="DY25" s="397">
        <v>0</v>
      </c>
      <c r="DZ25" s="397"/>
      <c r="EA25" s="397">
        <v>0</v>
      </c>
      <c r="EB25" s="397"/>
      <c r="EC25" s="397">
        <v>0</v>
      </c>
      <c r="ED25" s="397"/>
      <c r="EE25" s="397">
        <v>0</v>
      </c>
      <c r="EF25" s="397"/>
      <c r="EG25" s="397">
        <v>0</v>
      </c>
      <c r="EH25" s="397"/>
      <c r="EI25" s="397">
        <v>0</v>
      </c>
      <c r="EJ25" s="397"/>
      <c r="EK25" s="397">
        <v>0</v>
      </c>
      <c r="EL25" s="397"/>
      <c r="EM25" s="413">
        <f>+DO25+DQ25+DS25+DU25+DW25+DY25+EA25+EC25+EE25+EG25+EI25+EK25</f>
        <v>184052000</v>
      </c>
      <c r="EN25" s="413">
        <f t="shared" si="39"/>
        <v>184052000</v>
      </c>
      <c r="EO25" s="413">
        <f t="shared" si="39"/>
        <v>105547000</v>
      </c>
      <c r="EP25" s="397">
        <f t="shared" si="40"/>
        <v>184052000</v>
      </c>
      <c r="EQ25" s="397">
        <f t="shared" si="40"/>
        <v>105547000</v>
      </c>
      <c r="ER25" s="391">
        <f t="shared" si="7"/>
        <v>0</v>
      </c>
      <c r="ES25" s="392">
        <f t="shared" si="8"/>
        <v>0.57346293438810769</v>
      </c>
      <c r="ET25" s="392">
        <f t="shared" si="9"/>
        <v>0.57346293438810769</v>
      </c>
      <c r="EU25" s="393">
        <f t="shared" si="11"/>
        <v>0.85584905081538953</v>
      </c>
      <c r="EV25" s="394">
        <f t="shared" si="10"/>
        <v>0.88431912214268016</v>
      </c>
      <c r="EW25" s="629"/>
      <c r="EX25" s="627"/>
      <c r="EY25" s="627"/>
      <c r="EZ25" s="629"/>
      <c r="FA25" s="627"/>
      <c r="FB25" s="625"/>
    </row>
    <row r="26" spans="1:158" ht="45" customHeight="1" x14ac:dyDescent="0.25">
      <c r="A26" s="604"/>
      <c r="B26" s="604"/>
      <c r="C26" s="604"/>
      <c r="D26" s="604"/>
      <c r="E26" s="604"/>
      <c r="F26" s="60" t="s">
        <v>324</v>
      </c>
      <c r="G26" s="395"/>
      <c r="H26" s="395"/>
      <c r="I26" s="395"/>
      <c r="J26" s="395"/>
      <c r="K26" s="395"/>
      <c r="L26" s="395"/>
      <c r="M26" s="395"/>
      <c r="N26" s="395"/>
      <c r="O26" s="395"/>
      <c r="P26" s="395"/>
      <c r="Q26" s="395"/>
      <c r="R26" s="395"/>
      <c r="S26" s="395"/>
      <c r="T26" s="395"/>
      <c r="U26" s="395"/>
      <c r="V26" s="395"/>
      <c r="W26" s="395"/>
      <c r="X26" s="395"/>
      <c r="Y26" s="395"/>
      <c r="Z26" s="395"/>
      <c r="AA26" s="395"/>
      <c r="AB26" s="395">
        <f>+AC26+AE26+AG26+AI26+AK26+AM26+AO26+AQ26+AS26+AU26+AW26+AY26</f>
        <v>129403000</v>
      </c>
      <c r="AC26" s="395">
        <v>0</v>
      </c>
      <c r="AD26" s="395">
        <v>0</v>
      </c>
      <c r="AE26" s="395">
        <v>0</v>
      </c>
      <c r="AF26" s="395">
        <v>0</v>
      </c>
      <c r="AG26" s="395">
        <v>0</v>
      </c>
      <c r="AH26" s="395">
        <v>0</v>
      </c>
      <c r="AI26" s="395">
        <v>6944933</v>
      </c>
      <c r="AJ26" s="395">
        <v>6944933</v>
      </c>
      <c r="AK26" s="395">
        <v>7441000</v>
      </c>
      <c r="AL26" s="395">
        <v>7441000</v>
      </c>
      <c r="AM26" s="395">
        <v>9060333</v>
      </c>
      <c r="AN26" s="395">
        <v>9060333</v>
      </c>
      <c r="AO26" s="395">
        <v>14381000</v>
      </c>
      <c r="AP26" s="395">
        <v>14381000</v>
      </c>
      <c r="AQ26" s="395">
        <v>14381000</v>
      </c>
      <c r="AR26" s="395">
        <v>14381000</v>
      </c>
      <c r="AS26" s="395">
        <v>14381000</v>
      </c>
      <c r="AT26" s="395">
        <v>14381000</v>
      </c>
      <c r="AU26" s="395">
        <v>14381000</v>
      </c>
      <c r="AV26" s="395">
        <v>14381000</v>
      </c>
      <c r="AW26" s="395">
        <v>14381000</v>
      </c>
      <c r="AX26" s="395">
        <v>14381000</v>
      </c>
      <c r="AY26" s="395">
        <v>34051734</v>
      </c>
      <c r="AZ26" s="395">
        <v>14381000</v>
      </c>
      <c r="BA26" s="395">
        <f t="shared" si="41"/>
        <v>129403000</v>
      </c>
      <c r="BB26" s="395">
        <f t="shared" si="35"/>
        <v>129403000</v>
      </c>
      <c r="BC26" s="395">
        <f t="shared" si="35"/>
        <v>109732266</v>
      </c>
      <c r="BD26" s="395">
        <f>AC26+AE26+AG26+AI26+AK26+AM26+AO26+AQ26+AS26+AU26+AW26+AY26</f>
        <v>129403000</v>
      </c>
      <c r="BE26" s="395">
        <f>AD26+AF26+AH26+AJ26+AL26+AN26+AP26+AR26+AT26+AV26+AX26+AZ26</f>
        <v>109732266</v>
      </c>
      <c r="BF26" s="395">
        <v>143810000</v>
      </c>
      <c r="BG26" s="395"/>
      <c r="BH26" s="395"/>
      <c r="BI26" s="395"/>
      <c r="BJ26" s="395">
        <v>943867</v>
      </c>
      <c r="BK26" s="395">
        <v>14669000</v>
      </c>
      <c r="BL26" s="395">
        <v>14669000</v>
      </c>
      <c r="BM26" s="395">
        <v>14669000</v>
      </c>
      <c r="BN26" s="395">
        <v>14669000</v>
      </c>
      <c r="BO26" s="395">
        <v>14669000</v>
      </c>
      <c r="BP26" s="395">
        <v>14669000</v>
      </c>
      <c r="BQ26" s="395">
        <v>14669000</v>
      </c>
      <c r="BR26" s="395">
        <v>14669000</v>
      </c>
      <c r="BS26" s="395">
        <v>14669000</v>
      </c>
      <c r="BT26" s="395">
        <v>14669000</v>
      </c>
      <c r="BU26" s="395">
        <v>14669000</v>
      </c>
      <c r="BV26" s="395">
        <v>14669000</v>
      </c>
      <c r="BW26" s="395">
        <v>14669000</v>
      </c>
      <c r="BX26" s="395">
        <v>14669000</v>
      </c>
      <c r="BY26" s="395">
        <v>15934000</v>
      </c>
      <c r="BZ26" s="395">
        <v>14669000</v>
      </c>
      <c r="CA26" s="395">
        <v>21247000</v>
      </c>
      <c r="CB26" s="395">
        <v>14669000</v>
      </c>
      <c r="CC26" s="395">
        <v>31189167</v>
      </c>
      <c r="CD26" s="395">
        <v>22259000</v>
      </c>
      <c r="CE26" s="395">
        <f t="shared" si="42"/>
        <v>171053167</v>
      </c>
      <c r="CF26" s="395">
        <f t="shared" si="36"/>
        <v>171053167</v>
      </c>
      <c r="CG26" s="395">
        <f t="shared" si="36"/>
        <v>155223867</v>
      </c>
      <c r="CH26" s="395">
        <f t="shared" si="37"/>
        <v>171053167</v>
      </c>
      <c r="CI26" s="395">
        <f t="shared" si="37"/>
        <v>155223867</v>
      </c>
      <c r="CJ26" s="395">
        <v>166980000</v>
      </c>
      <c r="CK26" s="395"/>
      <c r="CL26" s="395"/>
      <c r="CM26" s="395"/>
      <c r="CN26" s="395"/>
      <c r="CO26" s="395">
        <v>3795000</v>
      </c>
      <c r="CP26" s="395">
        <v>3795000</v>
      </c>
      <c r="CQ26" s="395">
        <v>12144000</v>
      </c>
      <c r="CR26" s="395">
        <v>7590000</v>
      </c>
      <c r="CS26" s="395">
        <v>15180000</v>
      </c>
      <c r="CT26" s="395">
        <v>7590000</v>
      </c>
      <c r="CU26" s="395">
        <v>15180000</v>
      </c>
      <c r="CV26" s="395">
        <v>7590000</v>
      </c>
      <c r="CW26" s="395">
        <v>15180000</v>
      </c>
      <c r="CX26" s="395">
        <v>19734000</v>
      </c>
      <c r="CY26" s="395">
        <v>15180000</v>
      </c>
      <c r="CZ26" s="395">
        <v>30360000</v>
      </c>
      <c r="DA26" s="395">
        <v>15180000</v>
      </c>
      <c r="DB26" s="395">
        <v>15180000</v>
      </c>
      <c r="DC26" s="395">
        <v>15180000</v>
      </c>
      <c r="DD26" s="399">
        <v>15180000</v>
      </c>
      <c r="DE26" s="395">
        <v>15180000</v>
      </c>
      <c r="DF26" s="395">
        <v>15180000</v>
      </c>
      <c r="DG26" s="395">
        <f>44781000-4301000</f>
        <v>40480000</v>
      </c>
      <c r="DH26" s="395">
        <v>22770000</v>
      </c>
      <c r="DI26" s="395">
        <f t="shared" si="38"/>
        <v>162679000</v>
      </c>
      <c r="DJ26" s="415">
        <f>+CK26+CM26+CO26+CQ26+CS26+CU26+CW26+CY26+DA26+DC26+DE26+DG26</f>
        <v>162679000</v>
      </c>
      <c r="DK26" s="395">
        <f>CL26+CN26+CP26+CR26+CT26+CV26+CX26+CZ26+DB26+DD26+DF26+DH26</f>
        <v>144969000</v>
      </c>
      <c r="DL26" s="395">
        <f>+CK26+CM26+CO26+CQ26+CS26+CU26+CW26+CY26+DA26+DC26+DE26+DG26</f>
        <v>162679000</v>
      </c>
      <c r="DM26" s="395">
        <f>CL26+CN26+CO26+CR26+CT26+CV26+CX26+CZ26+DB26+DD26+DF26+DH26</f>
        <v>144969000</v>
      </c>
      <c r="DN26" s="395">
        <v>184052000</v>
      </c>
      <c r="DO26" s="397"/>
      <c r="DP26" s="397"/>
      <c r="DQ26" s="397">
        <v>5577334</v>
      </c>
      <c r="DR26" s="397">
        <v>5060000</v>
      </c>
      <c r="DS26" s="397">
        <v>16732000</v>
      </c>
      <c r="DT26" s="397">
        <v>15180000</v>
      </c>
      <c r="DU26" s="397">
        <v>16732000</v>
      </c>
      <c r="DV26" s="397">
        <v>10120000</v>
      </c>
      <c r="DW26" s="397">
        <v>16732000</v>
      </c>
      <c r="DX26" s="397">
        <v>5230400</v>
      </c>
      <c r="DY26" s="397">
        <v>16732000</v>
      </c>
      <c r="DZ26" s="397"/>
      <c r="EA26" s="397">
        <v>16732000</v>
      </c>
      <c r="EB26" s="397"/>
      <c r="EC26" s="397">
        <v>16732000</v>
      </c>
      <c r="ED26" s="397"/>
      <c r="EE26" s="397">
        <v>16732000</v>
      </c>
      <c r="EF26" s="397"/>
      <c r="EG26" s="397">
        <v>16732000</v>
      </c>
      <c r="EH26" s="397"/>
      <c r="EI26" s="397">
        <v>16732000</v>
      </c>
      <c r="EJ26" s="397"/>
      <c r="EK26" s="397">
        <v>27886666</v>
      </c>
      <c r="EL26" s="397"/>
      <c r="EM26" s="413">
        <f>+DO26+DQ26+DS26+DU26+DW26+DY26+EA26+EC26+EE26+EG26+EI26+EK26</f>
        <v>184052000</v>
      </c>
      <c r="EN26" s="413">
        <f t="shared" si="39"/>
        <v>55773334</v>
      </c>
      <c r="EO26" s="413">
        <f t="shared" si="39"/>
        <v>35590400</v>
      </c>
      <c r="EP26" s="397">
        <f t="shared" si="40"/>
        <v>184052000</v>
      </c>
      <c r="EQ26" s="397">
        <f t="shared" si="40"/>
        <v>35590400</v>
      </c>
      <c r="ER26" s="391">
        <f t="shared" si="7"/>
        <v>0.31259861343533352</v>
      </c>
      <c r="ES26" s="392">
        <f t="shared" si="8"/>
        <v>0.63812573944387119</v>
      </c>
      <c r="ET26" s="392">
        <f t="shared" si="9"/>
        <v>0.19337143850650904</v>
      </c>
      <c r="EU26" s="393">
        <f t="shared" si="11"/>
        <v>0.85856279506201427</v>
      </c>
      <c r="EV26" s="394" t="e">
        <f t="shared" si="10"/>
        <v>#DIV/0!</v>
      </c>
      <c r="EW26" s="629"/>
      <c r="EX26" s="627"/>
      <c r="EY26" s="627"/>
      <c r="EZ26" s="629"/>
      <c r="FA26" s="627"/>
      <c r="FB26" s="625"/>
    </row>
    <row r="27" spans="1:158" ht="54" customHeight="1" x14ac:dyDescent="0.25">
      <c r="A27" s="604"/>
      <c r="B27" s="604"/>
      <c r="C27" s="604"/>
      <c r="D27" s="604"/>
      <c r="E27" s="604"/>
      <c r="F27" s="58" t="s">
        <v>325</v>
      </c>
      <c r="G27" s="379">
        <f>AA27+BE27+CI27+DL27+DN27</f>
        <v>0.19</v>
      </c>
      <c r="H27" s="402"/>
      <c r="I27" s="402"/>
      <c r="J27" s="402"/>
      <c r="K27" s="402"/>
      <c r="L27" s="403"/>
      <c r="M27" s="402"/>
      <c r="N27" s="403"/>
      <c r="O27" s="402"/>
      <c r="P27" s="403"/>
      <c r="Q27" s="402"/>
      <c r="R27" s="403"/>
      <c r="S27" s="402"/>
      <c r="T27" s="402"/>
      <c r="U27" s="402"/>
      <c r="V27" s="402"/>
      <c r="W27" s="402"/>
      <c r="X27" s="402"/>
      <c r="Y27" s="402"/>
      <c r="Z27" s="402"/>
      <c r="AA27" s="402"/>
      <c r="AB27" s="438">
        <f>+AC27+AE27+AG27+AI27+AK27+AM27+AO27+AQ27+AS27+AU27+AW27+AY27</f>
        <v>0.19</v>
      </c>
      <c r="AC27" s="438">
        <v>0.16</v>
      </c>
      <c r="AD27" s="438">
        <v>0.16</v>
      </c>
      <c r="AE27" s="438">
        <v>0.03</v>
      </c>
      <c r="AF27" s="438">
        <v>0.03</v>
      </c>
      <c r="AG27" s="438">
        <v>0</v>
      </c>
      <c r="AH27" s="438">
        <v>0</v>
      </c>
      <c r="AI27" s="438">
        <v>0</v>
      </c>
      <c r="AJ27" s="385">
        <v>0</v>
      </c>
      <c r="AK27" s="385">
        <v>0</v>
      </c>
      <c r="AL27" s="385">
        <v>0</v>
      </c>
      <c r="AM27" s="385">
        <v>0</v>
      </c>
      <c r="AN27" s="385">
        <v>0</v>
      </c>
      <c r="AO27" s="385">
        <v>0</v>
      </c>
      <c r="AP27" s="385">
        <v>0</v>
      </c>
      <c r="AQ27" s="385">
        <v>0</v>
      </c>
      <c r="AR27" s="385">
        <v>0</v>
      </c>
      <c r="AS27" s="385">
        <v>0</v>
      </c>
      <c r="AT27" s="385">
        <v>0</v>
      </c>
      <c r="AU27" s="385">
        <v>0</v>
      </c>
      <c r="AV27" s="385">
        <v>0</v>
      </c>
      <c r="AW27" s="385">
        <v>0</v>
      </c>
      <c r="AX27" s="385">
        <v>0</v>
      </c>
      <c r="AY27" s="385">
        <v>0</v>
      </c>
      <c r="AZ27" s="385">
        <v>0</v>
      </c>
      <c r="BA27" s="385">
        <f t="shared" si="41"/>
        <v>0.19</v>
      </c>
      <c r="BB27" s="385">
        <f t="shared" si="35"/>
        <v>0.19</v>
      </c>
      <c r="BC27" s="385">
        <f t="shared" si="35"/>
        <v>0.19</v>
      </c>
      <c r="BD27" s="385">
        <f>AC27+AE27+AG27+AI27+AK27+AM27+AO27+AQ27+AS27+AU27+AW27+AY27</f>
        <v>0.19</v>
      </c>
      <c r="BE27" s="385">
        <f>AD27+AF27+AH27+AJ27+AL27+AN27+AP27+AR27+AT27+AV27+AX27+AZ27</f>
        <v>0.19</v>
      </c>
      <c r="BF27" s="406"/>
      <c r="BG27" s="402"/>
      <c r="BH27" s="402"/>
      <c r="BI27" s="402"/>
      <c r="BJ27" s="402"/>
      <c r="BK27" s="402"/>
      <c r="BL27" s="402"/>
      <c r="BM27" s="402"/>
      <c r="BN27" s="402"/>
      <c r="BO27" s="402"/>
      <c r="BP27" s="402"/>
      <c r="BQ27" s="402"/>
      <c r="BR27" s="402"/>
      <c r="BS27" s="402"/>
      <c r="BT27" s="402"/>
      <c r="BU27" s="402"/>
      <c r="BV27" s="402"/>
      <c r="BW27" s="402"/>
      <c r="BX27" s="402"/>
      <c r="BY27" s="402"/>
      <c r="BZ27" s="402"/>
      <c r="CA27" s="402"/>
      <c r="CB27" s="402"/>
      <c r="CC27" s="402"/>
      <c r="CD27" s="402"/>
      <c r="CE27" s="406">
        <f t="shared" si="42"/>
        <v>0</v>
      </c>
      <c r="CF27" s="406">
        <f t="shared" si="36"/>
        <v>0</v>
      </c>
      <c r="CG27" s="406">
        <f t="shared" si="36"/>
        <v>0</v>
      </c>
      <c r="CH27" s="406">
        <f t="shared" si="37"/>
        <v>0</v>
      </c>
      <c r="CI27" s="406">
        <f t="shared" si="37"/>
        <v>0</v>
      </c>
      <c r="CJ27" s="402"/>
      <c r="CK27" s="402"/>
      <c r="CL27" s="402"/>
      <c r="CM27" s="402"/>
      <c r="CN27" s="402"/>
      <c r="CO27" s="402"/>
      <c r="CP27" s="402"/>
      <c r="CQ27" s="402"/>
      <c r="CR27" s="402"/>
      <c r="CS27" s="402"/>
      <c r="CT27" s="402"/>
      <c r="CU27" s="402"/>
      <c r="CV27" s="402">
        <v>0</v>
      </c>
      <c r="CW27" s="402"/>
      <c r="CX27" s="402">
        <v>0</v>
      </c>
      <c r="CY27" s="402"/>
      <c r="CZ27" s="402">
        <v>0</v>
      </c>
      <c r="DA27" s="402"/>
      <c r="DB27" s="402">
        <v>0</v>
      </c>
      <c r="DC27" s="402"/>
      <c r="DD27" s="408">
        <v>0</v>
      </c>
      <c r="DE27" s="402"/>
      <c r="DF27" s="402">
        <v>0</v>
      </c>
      <c r="DG27" s="402"/>
      <c r="DH27" s="402">
        <v>0</v>
      </c>
      <c r="DI27" s="380">
        <f t="shared" si="38"/>
        <v>0</v>
      </c>
      <c r="DJ27" s="412">
        <f>+CK27+CM27+CO27+CQ27+CS27+CU27+CW27+CY27+DA27+DC27+DE27+DG27</f>
        <v>0</v>
      </c>
      <c r="DK27" s="380">
        <f>CL27+CN27+CP27+CR27+CT27+CV27+CX27+CX27+CX27+CZ27+DB27+DD27+DF27+DH27</f>
        <v>0</v>
      </c>
      <c r="DL27" s="380">
        <f>+CK27+CM27+CO27+CQ27+CS27+CU27+CW27+CY27+DA27+DC27+DE27+DG27</f>
        <v>0</v>
      </c>
      <c r="DM27" s="380">
        <f>CL27+CN27+CP27+CR27+CT27+CV27+CX27+CX27+CX27+CZ27+DB27+DD27+DF27+DH27</f>
        <v>0</v>
      </c>
      <c r="DN27" s="406">
        <v>0</v>
      </c>
      <c r="DO27" s="402"/>
      <c r="DP27" s="402"/>
      <c r="DQ27" s="402"/>
      <c r="DR27" s="402">
        <v>0</v>
      </c>
      <c r="DS27" s="402"/>
      <c r="DT27" s="402">
        <v>0</v>
      </c>
      <c r="DU27" s="402"/>
      <c r="DV27" s="402">
        <v>0</v>
      </c>
      <c r="DW27" s="402"/>
      <c r="DX27" s="402">
        <v>0</v>
      </c>
      <c r="DY27" s="402"/>
      <c r="DZ27" s="402"/>
      <c r="EA27" s="402"/>
      <c r="EB27" s="402"/>
      <c r="EC27" s="402"/>
      <c r="ED27" s="402"/>
      <c r="EE27" s="402"/>
      <c r="EF27" s="402"/>
      <c r="EG27" s="402"/>
      <c r="EH27" s="402"/>
      <c r="EI27" s="402"/>
      <c r="EJ27" s="402"/>
      <c r="EK27" s="402"/>
      <c r="EL27" s="402"/>
      <c r="EM27" s="413">
        <f>+DO27+DQ27+DS27+DU27+DW27+DY27+EA27+EC27+EE27+EG27+EI27+EK27</f>
        <v>0</v>
      </c>
      <c r="EN27" s="413">
        <f t="shared" si="39"/>
        <v>0</v>
      </c>
      <c r="EO27" s="413">
        <f t="shared" si="39"/>
        <v>0</v>
      </c>
      <c r="EP27" s="384">
        <f t="shared" si="40"/>
        <v>0</v>
      </c>
      <c r="EQ27" s="384">
        <f t="shared" si="40"/>
        <v>0</v>
      </c>
      <c r="ER27" s="391">
        <f t="shared" si="7"/>
        <v>0</v>
      </c>
      <c r="ES27" s="392">
        <f>IFERROR(EO27/EN27,0)</f>
        <v>0</v>
      </c>
      <c r="ET27" s="392">
        <f>IFERROR(EQ27/EP27,0)</f>
        <v>0</v>
      </c>
      <c r="EU27" s="393">
        <f t="shared" si="11"/>
        <v>1</v>
      </c>
      <c r="EV27" s="394">
        <f t="shared" si="10"/>
        <v>1</v>
      </c>
      <c r="EW27" s="629"/>
      <c r="EX27" s="627"/>
      <c r="EY27" s="627"/>
      <c r="EZ27" s="629"/>
      <c r="FA27" s="627"/>
      <c r="FB27" s="625"/>
    </row>
    <row r="28" spans="1:158" ht="53.25" customHeight="1" x14ac:dyDescent="0.25">
      <c r="A28" s="604"/>
      <c r="B28" s="604"/>
      <c r="C28" s="604"/>
      <c r="D28" s="604"/>
      <c r="E28" s="604"/>
      <c r="F28" s="59" t="s">
        <v>326</v>
      </c>
      <c r="G28" s="395">
        <f>AA28+BE28+CI28+DM28+EP28</f>
        <v>56061932</v>
      </c>
      <c r="H28" s="402"/>
      <c r="I28" s="402"/>
      <c r="J28" s="402"/>
      <c r="K28" s="402"/>
      <c r="L28" s="397"/>
      <c r="M28" s="402"/>
      <c r="N28" s="397"/>
      <c r="O28" s="402"/>
      <c r="P28" s="397"/>
      <c r="Q28" s="402"/>
      <c r="R28" s="397"/>
      <c r="S28" s="402"/>
      <c r="T28" s="402"/>
      <c r="U28" s="402"/>
      <c r="V28" s="402"/>
      <c r="W28" s="402"/>
      <c r="X28" s="402"/>
      <c r="Y28" s="402"/>
      <c r="Z28" s="395"/>
      <c r="AA28" s="395"/>
      <c r="AB28" s="395">
        <f>+AC28+AE28+AG28+AI28+AK28+AM28+AO28+AQ28+AS28+AU28+AW28+AY28</f>
        <v>15502933</v>
      </c>
      <c r="AC28" s="395">
        <v>7267000</v>
      </c>
      <c r="AD28" s="395">
        <v>7267000</v>
      </c>
      <c r="AE28" s="395">
        <v>8235933</v>
      </c>
      <c r="AF28" s="395">
        <v>8235933</v>
      </c>
      <c r="AG28" s="395">
        <v>0</v>
      </c>
      <c r="AH28" s="395">
        <v>0</v>
      </c>
      <c r="AI28" s="395">
        <v>0</v>
      </c>
      <c r="AJ28" s="395">
        <v>0</v>
      </c>
      <c r="AK28" s="395"/>
      <c r="AL28" s="395"/>
      <c r="AM28" s="395"/>
      <c r="AN28" s="395"/>
      <c r="AO28" s="395"/>
      <c r="AP28" s="395"/>
      <c r="AQ28" s="395"/>
      <c r="AR28" s="395"/>
      <c r="AS28" s="395"/>
      <c r="AT28" s="395"/>
      <c r="AU28" s="395"/>
      <c r="AV28" s="395"/>
      <c r="AW28" s="395"/>
      <c r="AX28" s="395"/>
      <c r="AY28" s="395"/>
      <c r="AZ28" s="395"/>
      <c r="BA28" s="395">
        <f t="shared" si="41"/>
        <v>15502933</v>
      </c>
      <c r="BB28" s="395">
        <f t="shared" si="35"/>
        <v>15502933</v>
      </c>
      <c r="BC28" s="395">
        <f t="shared" si="35"/>
        <v>15502933</v>
      </c>
      <c r="BD28" s="395">
        <f>AC28+AE28+AG28+AI28+AK28+AM28+AO28+AQ28+AS28+AU28+AW28+AY28</f>
        <v>15502933</v>
      </c>
      <c r="BE28" s="395">
        <f>AD28+AF28+AH28+AJ28+AL28+AN28+AP28+AR28+AT28+AV28+AX28+AZ28</f>
        <v>15502933</v>
      </c>
      <c r="BF28" s="395">
        <v>16694333</v>
      </c>
      <c r="BG28" s="395">
        <v>14381000</v>
      </c>
      <c r="BH28" s="395">
        <v>14381000</v>
      </c>
      <c r="BI28" s="395">
        <v>2313334</v>
      </c>
      <c r="BJ28" s="395">
        <v>2313333</v>
      </c>
      <c r="BK28" s="395"/>
      <c r="BL28" s="395"/>
      <c r="BM28" s="395"/>
      <c r="BN28" s="395"/>
      <c r="BO28" s="395"/>
      <c r="BP28" s="395">
        <v>0</v>
      </c>
      <c r="BQ28" s="395"/>
      <c r="BR28" s="395"/>
      <c r="BS28" s="395"/>
      <c r="BT28" s="395"/>
      <c r="BU28" s="395"/>
      <c r="BV28" s="395"/>
      <c r="BW28" s="395">
        <v>-1</v>
      </c>
      <c r="BX28" s="395"/>
      <c r="BY28" s="395"/>
      <c r="BZ28" s="395"/>
      <c r="CA28" s="395"/>
      <c r="CB28" s="395"/>
      <c r="CC28" s="395"/>
      <c r="CD28" s="395"/>
      <c r="CE28" s="395">
        <f t="shared" si="42"/>
        <v>16694333</v>
      </c>
      <c r="CF28" s="395">
        <f t="shared" si="36"/>
        <v>16694333</v>
      </c>
      <c r="CG28" s="395">
        <f t="shared" si="36"/>
        <v>16694333</v>
      </c>
      <c r="CH28" s="395">
        <f t="shared" si="37"/>
        <v>16694333</v>
      </c>
      <c r="CI28" s="395">
        <f t="shared" si="37"/>
        <v>16694333</v>
      </c>
      <c r="CJ28" s="395">
        <v>6154666</v>
      </c>
      <c r="CK28" s="395">
        <v>2359666</v>
      </c>
      <c r="CL28" s="395">
        <v>2359666</v>
      </c>
      <c r="CM28" s="395">
        <v>3795000</v>
      </c>
      <c r="CN28" s="395">
        <v>3795000</v>
      </c>
      <c r="CO28" s="395"/>
      <c r="CP28" s="395"/>
      <c r="CQ28" s="395"/>
      <c r="CR28" s="395"/>
      <c r="CS28" s="395"/>
      <c r="CT28" s="395">
        <v>0</v>
      </c>
      <c r="CU28" s="395"/>
      <c r="CV28" s="395">
        <v>0</v>
      </c>
      <c r="CW28" s="395"/>
      <c r="CX28" s="395">
        <v>0</v>
      </c>
      <c r="CY28" s="395"/>
      <c r="CZ28" s="395">
        <v>0</v>
      </c>
      <c r="DA28" s="395"/>
      <c r="DB28" s="395">
        <v>0</v>
      </c>
      <c r="DC28" s="395"/>
      <c r="DD28" s="399">
        <v>0</v>
      </c>
      <c r="DE28" s="395"/>
      <c r="DF28" s="395">
        <v>0</v>
      </c>
      <c r="DG28" s="395"/>
      <c r="DH28" s="395">
        <v>0</v>
      </c>
      <c r="DI28" s="395">
        <f t="shared" si="38"/>
        <v>6154666</v>
      </c>
      <c r="DJ28" s="415">
        <f>+CK28+CM28+CO28+CQ28+CS28+CU28+CW28+CY28+DA28+DC28+DE28+DG28</f>
        <v>6154666</v>
      </c>
      <c r="DK28" s="395">
        <f>CL28+CN28+CP28+CR28+CT28+CV28+CX28+CX28+CX28+CZ28+DB28+DD28+DF28+DH28</f>
        <v>6154666</v>
      </c>
      <c r="DL28" s="395">
        <f>+CK28+CM28+CO28+CQ28+CS28+CU28+CW28+CY28+DA28+DC28+DE28+DG28</f>
        <v>6154666</v>
      </c>
      <c r="DM28" s="395">
        <f>CL28+CN28+CP28+CR28+CT28+CV28+CX28+CX28+CX28+CZ28+DB28+DD28+DF28+DH28</f>
        <v>6154666</v>
      </c>
      <c r="DN28" s="395">
        <v>17710000</v>
      </c>
      <c r="DO28" s="397">
        <v>7590000</v>
      </c>
      <c r="DP28" s="397">
        <v>7590000</v>
      </c>
      <c r="DQ28" s="397">
        <v>10120000</v>
      </c>
      <c r="DR28" s="397">
        <v>10120000</v>
      </c>
      <c r="DS28" s="402"/>
      <c r="DT28" s="402">
        <v>0</v>
      </c>
      <c r="DU28" s="402"/>
      <c r="DV28" s="402">
        <v>0</v>
      </c>
      <c r="DW28" s="402"/>
      <c r="DX28" s="402">
        <v>0</v>
      </c>
      <c r="DY28" s="402"/>
      <c r="DZ28" s="402"/>
      <c r="EA28" s="402"/>
      <c r="EB28" s="402"/>
      <c r="EC28" s="402"/>
      <c r="ED28" s="402"/>
      <c r="EE28" s="402"/>
      <c r="EF28" s="402"/>
      <c r="EG28" s="402"/>
      <c r="EH28" s="402"/>
      <c r="EI28" s="402"/>
      <c r="EJ28" s="402"/>
      <c r="EK28" s="402"/>
      <c r="EL28" s="402"/>
      <c r="EM28" s="413">
        <f>+DO28+DQ28+DS28+DU28+DW28+DY28+EA28+EC28+EE28+EG28+EI28+EK28</f>
        <v>17710000</v>
      </c>
      <c r="EN28" s="413">
        <f t="shared" si="39"/>
        <v>17710000</v>
      </c>
      <c r="EO28" s="413">
        <f t="shared" si="39"/>
        <v>17710000</v>
      </c>
      <c r="EP28" s="397">
        <f t="shared" si="40"/>
        <v>17710000</v>
      </c>
      <c r="EQ28" s="397">
        <f t="shared" si="40"/>
        <v>17710000</v>
      </c>
      <c r="ER28" s="391">
        <f t="shared" si="7"/>
        <v>0</v>
      </c>
      <c r="ES28" s="392">
        <f t="shared" si="8"/>
        <v>1</v>
      </c>
      <c r="ET28" s="392">
        <f t="shared" si="9"/>
        <v>1</v>
      </c>
      <c r="EU28" s="393">
        <f t="shared" si="11"/>
        <v>1</v>
      </c>
      <c r="EV28" s="394">
        <f t="shared" si="10"/>
        <v>1</v>
      </c>
      <c r="EW28" s="629"/>
      <c r="EX28" s="627"/>
      <c r="EY28" s="627"/>
      <c r="EZ28" s="629"/>
      <c r="FA28" s="627"/>
      <c r="FB28" s="625"/>
    </row>
    <row r="29" spans="1:158" ht="57" customHeight="1" thickBot="1" x14ac:dyDescent="0.3">
      <c r="A29" s="604"/>
      <c r="B29" s="604"/>
      <c r="C29" s="604"/>
      <c r="D29" s="604"/>
      <c r="E29" s="604"/>
      <c r="F29" s="58" t="s">
        <v>327</v>
      </c>
      <c r="G29" s="419">
        <f>G24+G27</f>
        <v>15</v>
      </c>
      <c r="H29" s="420">
        <f>+H24+H27</f>
        <v>3</v>
      </c>
      <c r="I29" s="421"/>
      <c r="J29" s="421"/>
      <c r="K29" s="422">
        <v>3</v>
      </c>
      <c r="L29" s="424">
        <v>0.12</v>
      </c>
      <c r="M29" s="422">
        <v>3</v>
      </c>
      <c r="N29" s="424">
        <v>0.43</v>
      </c>
      <c r="O29" s="422">
        <v>3</v>
      </c>
      <c r="P29" s="424">
        <v>1.03</v>
      </c>
      <c r="Q29" s="422">
        <v>3</v>
      </c>
      <c r="R29" s="424">
        <v>1.59</v>
      </c>
      <c r="S29" s="422">
        <v>3</v>
      </c>
      <c r="T29" s="409">
        <v>2.2600000000000002</v>
      </c>
      <c r="U29" s="422">
        <v>3</v>
      </c>
      <c r="V29" s="409">
        <v>2.8100000000000005</v>
      </c>
      <c r="W29" s="425">
        <v>3</v>
      </c>
      <c r="X29" s="425">
        <v>2.8100000000000005</v>
      </c>
      <c r="Y29" s="425">
        <v>2.8100000000000005</v>
      </c>
      <c r="Z29" s="425">
        <v>3</v>
      </c>
      <c r="AA29" s="425">
        <v>2.8100000000000005</v>
      </c>
      <c r="AB29" s="409">
        <f t="shared" ref="AB29:AZ29" si="43">+AB24+AB27</f>
        <v>4.1900000000000013</v>
      </c>
      <c r="AC29" s="409">
        <f t="shared" si="43"/>
        <v>0.24</v>
      </c>
      <c r="AD29" s="409">
        <f t="shared" si="43"/>
        <v>0.24</v>
      </c>
      <c r="AE29" s="409">
        <f t="shared" si="43"/>
        <v>0.16</v>
      </c>
      <c r="AF29" s="409">
        <f t="shared" si="43"/>
        <v>0.16</v>
      </c>
      <c r="AG29" s="409">
        <f t="shared" si="43"/>
        <v>0.34</v>
      </c>
      <c r="AH29" s="409">
        <f t="shared" si="43"/>
        <v>0.34</v>
      </c>
      <c r="AI29" s="409">
        <f t="shared" si="43"/>
        <v>0.4</v>
      </c>
      <c r="AJ29" s="409">
        <f t="shared" si="43"/>
        <v>0.4</v>
      </c>
      <c r="AK29" s="409">
        <f t="shared" si="43"/>
        <v>0.42</v>
      </c>
      <c r="AL29" s="409">
        <f t="shared" si="43"/>
        <v>0.42</v>
      </c>
      <c r="AM29" s="409">
        <f t="shared" si="43"/>
        <v>0.55000000000000004</v>
      </c>
      <c r="AN29" s="409">
        <f t="shared" si="43"/>
        <v>0.55000000000000004</v>
      </c>
      <c r="AO29" s="409">
        <f t="shared" si="43"/>
        <v>0.49</v>
      </c>
      <c r="AP29" s="409">
        <f t="shared" si="43"/>
        <v>0.49</v>
      </c>
      <c r="AQ29" s="409">
        <f t="shared" si="43"/>
        <v>0.39</v>
      </c>
      <c r="AR29" s="409">
        <f t="shared" si="43"/>
        <v>0.39</v>
      </c>
      <c r="AS29" s="409">
        <f t="shared" si="43"/>
        <v>0.38</v>
      </c>
      <c r="AT29" s="409">
        <f t="shared" si="43"/>
        <v>0.38</v>
      </c>
      <c r="AU29" s="409">
        <f t="shared" si="43"/>
        <v>0.35</v>
      </c>
      <c r="AV29" s="409">
        <f t="shared" si="43"/>
        <v>0.35</v>
      </c>
      <c r="AW29" s="409">
        <f t="shared" si="43"/>
        <v>0.28000000000000003</v>
      </c>
      <c r="AX29" s="409">
        <f t="shared" si="43"/>
        <v>0.28000000000000003</v>
      </c>
      <c r="AY29" s="409">
        <f t="shared" si="43"/>
        <v>0.19</v>
      </c>
      <c r="AZ29" s="409">
        <f t="shared" si="43"/>
        <v>0.19</v>
      </c>
      <c r="BA29" s="419">
        <f t="shared" si="41"/>
        <v>4.1900000000000013</v>
      </c>
      <c r="BB29" s="419">
        <f>+BB24+BB27</f>
        <v>4.1900000000000013</v>
      </c>
      <c r="BC29" s="419">
        <f>+BC24+BC27</f>
        <v>4.1900000000000013</v>
      </c>
      <c r="BD29" s="419">
        <f>BD24+BD27</f>
        <v>4.1900000000000013</v>
      </c>
      <c r="BE29" s="419">
        <f>BE24+BE27</f>
        <v>4.1900000000000004</v>
      </c>
      <c r="BF29" s="409">
        <f>+BG29+BI29+BK29+BM29+BO29+BQ29+BS29+BU29+BW29+BY29+CA29+CC29</f>
        <v>3</v>
      </c>
      <c r="BG29" s="409">
        <f t="shared" ref="BG29:CD29" si="44">BG24+BG27</f>
        <v>7.0000000000000007E-2</v>
      </c>
      <c r="BH29" s="409">
        <f t="shared" si="44"/>
        <v>7.0000000000000007E-2</v>
      </c>
      <c r="BI29" s="409">
        <f t="shared" si="44"/>
        <v>0.12</v>
      </c>
      <c r="BJ29" s="409">
        <f t="shared" si="44"/>
        <v>0.12</v>
      </c>
      <c r="BK29" s="409">
        <f t="shared" si="44"/>
        <v>0.2</v>
      </c>
      <c r="BL29" s="409">
        <f t="shared" si="44"/>
        <v>0.2</v>
      </c>
      <c r="BM29" s="409">
        <f t="shared" si="44"/>
        <v>0.22</v>
      </c>
      <c r="BN29" s="409">
        <f t="shared" si="44"/>
        <v>0.22</v>
      </c>
      <c r="BO29" s="409">
        <f t="shared" si="44"/>
        <v>0.28000000000000003</v>
      </c>
      <c r="BP29" s="409">
        <f t="shared" si="44"/>
        <v>0.28000000000000003</v>
      </c>
      <c r="BQ29" s="409">
        <f t="shared" si="44"/>
        <v>0.26</v>
      </c>
      <c r="BR29" s="409">
        <f t="shared" si="44"/>
        <v>0.26</v>
      </c>
      <c r="BS29" s="409">
        <f t="shared" si="44"/>
        <v>0.26</v>
      </c>
      <c r="BT29" s="409">
        <f t="shared" si="44"/>
        <v>0.26</v>
      </c>
      <c r="BU29" s="409">
        <f t="shared" si="44"/>
        <v>0.34</v>
      </c>
      <c r="BV29" s="409">
        <f t="shared" si="44"/>
        <v>0.34</v>
      </c>
      <c r="BW29" s="409">
        <f t="shared" si="44"/>
        <v>0.4</v>
      </c>
      <c r="BX29" s="409">
        <f t="shared" si="44"/>
        <v>0.4</v>
      </c>
      <c r="BY29" s="409">
        <f t="shared" si="44"/>
        <v>0.28999999999999998</v>
      </c>
      <c r="BZ29" s="409">
        <f t="shared" si="44"/>
        <v>0.28999999999999998</v>
      </c>
      <c r="CA29" s="409">
        <f t="shared" si="44"/>
        <v>0.26</v>
      </c>
      <c r="CB29" s="409">
        <f t="shared" si="44"/>
        <v>0.26</v>
      </c>
      <c r="CC29" s="409">
        <f t="shared" si="44"/>
        <v>0.3</v>
      </c>
      <c r="CD29" s="409">
        <f t="shared" si="44"/>
        <v>0.3</v>
      </c>
      <c r="CE29" s="439">
        <f t="shared" si="42"/>
        <v>3</v>
      </c>
      <c r="CF29" s="439">
        <f>+CF24+CF27</f>
        <v>3</v>
      </c>
      <c r="CG29" s="419">
        <f>+CG24+CG27</f>
        <v>3</v>
      </c>
      <c r="CH29" s="439">
        <f>CH24+CH27</f>
        <v>3</v>
      </c>
      <c r="CI29" s="419">
        <f>CI24+CI27</f>
        <v>3</v>
      </c>
      <c r="CJ29" s="422">
        <f t="shared" ref="CJ29:DH29" si="45">+CJ24+CJ27</f>
        <v>3</v>
      </c>
      <c r="CK29" s="409">
        <f t="shared" si="45"/>
        <v>0.09</v>
      </c>
      <c r="CL29" s="409">
        <f t="shared" si="45"/>
        <v>0.09</v>
      </c>
      <c r="CM29" s="409">
        <f t="shared" si="45"/>
        <v>0.12</v>
      </c>
      <c r="CN29" s="409">
        <f t="shared" si="45"/>
        <v>0.12</v>
      </c>
      <c r="CO29" s="409">
        <f t="shared" si="45"/>
        <v>0.18</v>
      </c>
      <c r="CP29" s="409">
        <f t="shared" si="45"/>
        <v>0.18</v>
      </c>
      <c r="CQ29" s="409">
        <f t="shared" si="45"/>
        <v>0.2</v>
      </c>
      <c r="CR29" s="409">
        <f t="shared" si="45"/>
        <v>0.2</v>
      </c>
      <c r="CS29" s="409">
        <f t="shared" si="45"/>
        <v>0.24</v>
      </c>
      <c r="CT29" s="409">
        <f t="shared" si="45"/>
        <v>0.24</v>
      </c>
      <c r="CU29" s="409">
        <f t="shared" si="45"/>
        <v>0.28999999999999998</v>
      </c>
      <c r="CV29" s="409">
        <f t="shared" si="45"/>
        <v>0.28999999999999998</v>
      </c>
      <c r="CW29" s="409">
        <f t="shared" si="45"/>
        <v>0.3</v>
      </c>
      <c r="CX29" s="409">
        <f t="shared" si="45"/>
        <v>0.3</v>
      </c>
      <c r="CY29" s="409">
        <f t="shared" si="45"/>
        <v>0.3</v>
      </c>
      <c r="CZ29" s="409">
        <f t="shared" si="45"/>
        <v>0.3</v>
      </c>
      <c r="DA29" s="409">
        <f t="shared" si="45"/>
        <v>0.28000000000000003</v>
      </c>
      <c r="DB29" s="409">
        <f t="shared" si="45"/>
        <v>0.28000000000000003</v>
      </c>
      <c r="DC29" s="409">
        <f t="shared" si="45"/>
        <v>0.31</v>
      </c>
      <c r="DD29" s="426">
        <f t="shared" si="45"/>
        <v>0.31</v>
      </c>
      <c r="DE29" s="409">
        <f t="shared" si="45"/>
        <v>0.33</v>
      </c>
      <c r="DF29" s="409">
        <f t="shared" si="45"/>
        <v>0.33</v>
      </c>
      <c r="DG29" s="409">
        <f t="shared" si="45"/>
        <v>0.36</v>
      </c>
      <c r="DH29" s="409">
        <f t="shared" si="45"/>
        <v>0.36</v>
      </c>
      <c r="DI29" s="422">
        <f t="shared" si="38"/>
        <v>3</v>
      </c>
      <c r="DJ29" s="409">
        <f t="shared" ref="DJ29:DO29" si="46">+DJ24+DJ27</f>
        <v>3</v>
      </c>
      <c r="DK29" s="409">
        <f t="shared" si="46"/>
        <v>3</v>
      </c>
      <c r="DL29" s="422">
        <f t="shared" si="46"/>
        <v>3</v>
      </c>
      <c r="DM29" s="409">
        <f t="shared" si="46"/>
        <v>3</v>
      </c>
      <c r="DN29" s="422">
        <f t="shared" si="46"/>
        <v>2</v>
      </c>
      <c r="DO29" s="409">
        <f t="shared" si="46"/>
        <v>0.17</v>
      </c>
      <c r="DP29" s="409">
        <f t="shared" ref="DP29:DW29" si="47">+DP24+DP27</f>
        <v>0.17</v>
      </c>
      <c r="DQ29" s="409">
        <f t="shared" si="47"/>
        <v>0.3</v>
      </c>
      <c r="DR29" s="409">
        <f t="shared" si="47"/>
        <v>0.3</v>
      </c>
      <c r="DS29" s="409">
        <f t="shared" si="47"/>
        <v>0.45</v>
      </c>
      <c r="DT29" s="409">
        <f t="shared" si="47"/>
        <v>0.45</v>
      </c>
      <c r="DU29" s="409">
        <f t="shared" si="47"/>
        <v>0.48</v>
      </c>
      <c r="DV29" s="409">
        <f t="shared" si="47"/>
        <v>0.48</v>
      </c>
      <c r="DW29" s="409">
        <f t="shared" si="47"/>
        <v>0.6</v>
      </c>
      <c r="DX29" s="409">
        <f>+DX24+DX27</f>
        <v>0.6</v>
      </c>
      <c r="DY29" s="409">
        <f t="shared" ref="DY29:EL29" si="48">+DY24+DY27</f>
        <v>0</v>
      </c>
      <c r="DZ29" s="409">
        <f t="shared" si="48"/>
        <v>0</v>
      </c>
      <c r="EA29" s="409">
        <f t="shared" si="48"/>
        <v>0</v>
      </c>
      <c r="EB29" s="409">
        <f t="shared" si="48"/>
        <v>0</v>
      </c>
      <c r="EC29" s="409">
        <f t="shared" si="48"/>
        <v>0</v>
      </c>
      <c r="ED29" s="409">
        <f t="shared" si="48"/>
        <v>0</v>
      </c>
      <c r="EE29" s="409">
        <f t="shared" si="48"/>
        <v>0</v>
      </c>
      <c r="EF29" s="409">
        <f t="shared" si="48"/>
        <v>0</v>
      </c>
      <c r="EG29" s="409">
        <f t="shared" si="48"/>
        <v>0</v>
      </c>
      <c r="EH29" s="409">
        <f t="shared" si="48"/>
        <v>0</v>
      </c>
      <c r="EI29" s="409">
        <f t="shared" si="48"/>
        <v>0</v>
      </c>
      <c r="EJ29" s="409">
        <f t="shared" si="48"/>
        <v>0</v>
      </c>
      <c r="EK29" s="409">
        <f t="shared" si="48"/>
        <v>0</v>
      </c>
      <c r="EL29" s="409">
        <f t="shared" si="48"/>
        <v>0</v>
      </c>
      <c r="EM29" s="428">
        <f t="shared" ref="EM29:EQ30" si="49">+EM24+EM27</f>
        <v>2</v>
      </c>
      <c r="EN29" s="428">
        <f t="shared" si="49"/>
        <v>2</v>
      </c>
      <c r="EO29" s="428">
        <f t="shared" si="49"/>
        <v>2</v>
      </c>
      <c r="EP29" s="428">
        <f t="shared" si="49"/>
        <v>2</v>
      </c>
      <c r="EQ29" s="428">
        <f t="shared" si="49"/>
        <v>2</v>
      </c>
      <c r="ER29" s="467">
        <f t="shared" si="7"/>
        <v>1</v>
      </c>
      <c r="ES29" s="468">
        <f t="shared" si="8"/>
        <v>1</v>
      </c>
      <c r="ET29" s="468">
        <f t="shared" si="9"/>
        <v>1</v>
      </c>
      <c r="EU29" s="469">
        <f t="shared" si="11"/>
        <v>0.98749177090190909</v>
      </c>
      <c r="EV29" s="470">
        <f t="shared" si="10"/>
        <v>1</v>
      </c>
      <c r="EW29" s="629"/>
      <c r="EX29" s="627"/>
      <c r="EY29" s="627"/>
      <c r="EZ29" s="629"/>
      <c r="FA29" s="627"/>
      <c r="FB29" s="625"/>
    </row>
    <row r="30" spans="1:158" ht="61.5" customHeight="1" thickBot="1" x14ac:dyDescent="0.3">
      <c r="A30" s="606"/>
      <c r="B30" s="606"/>
      <c r="C30" s="606"/>
      <c r="D30" s="606"/>
      <c r="E30" s="606"/>
      <c r="F30" s="61" t="s">
        <v>328</v>
      </c>
      <c r="G30" s="477">
        <f>G25+G28</f>
        <v>734696132</v>
      </c>
      <c r="H30" s="275">
        <f>+H25+H28</f>
        <v>63744000</v>
      </c>
      <c r="I30" s="275"/>
      <c r="J30" s="275"/>
      <c r="K30" s="275">
        <v>63744000</v>
      </c>
      <c r="L30" s="275">
        <v>0</v>
      </c>
      <c r="M30" s="275">
        <v>63744000</v>
      </c>
      <c r="N30" s="275">
        <v>29068000</v>
      </c>
      <c r="O30" s="275">
        <v>63744000</v>
      </c>
      <c r="P30" s="275">
        <v>29068000</v>
      </c>
      <c r="Q30" s="275">
        <v>54022000</v>
      </c>
      <c r="R30" s="275">
        <v>29068000</v>
      </c>
      <c r="S30" s="275">
        <v>54022000</v>
      </c>
      <c r="T30" s="275">
        <v>29068000</v>
      </c>
      <c r="U30" s="275">
        <v>54022000</v>
      </c>
      <c r="V30" s="275">
        <v>43602000</v>
      </c>
      <c r="W30" s="275">
        <v>63744000</v>
      </c>
      <c r="X30" s="275">
        <v>43602000</v>
      </c>
      <c r="Y30" s="275">
        <v>43602000</v>
      </c>
      <c r="Z30" s="275">
        <v>54022000</v>
      </c>
      <c r="AA30" s="275">
        <v>43602000</v>
      </c>
      <c r="AB30" s="275">
        <f t="shared" ref="AB30:AZ30" si="50">+AB25+AB28</f>
        <v>171009933</v>
      </c>
      <c r="AC30" s="275">
        <f t="shared" si="50"/>
        <v>7267000</v>
      </c>
      <c r="AD30" s="275">
        <f t="shared" si="50"/>
        <v>7267000</v>
      </c>
      <c r="AE30" s="275">
        <f t="shared" si="50"/>
        <v>82645933</v>
      </c>
      <c r="AF30" s="275">
        <f t="shared" si="50"/>
        <v>82645933</v>
      </c>
      <c r="AG30" s="275">
        <f t="shared" si="50"/>
        <v>0</v>
      </c>
      <c r="AH30" s="275">
        <f t="shared" si="50"/>
        <v>0</v>
      </c>
      <c r="AI30" s="275">
        <f t="shared" si="50"/>
        <v>17120000</v>
      </c>
      <c r="AJ30" s="275">
        <f t="shared" si="50"/>
        <v>17120000</v>
      </c>
      <c r="AK30" s="275">
        <f t="shared" si="50"/>
        <v>31460000</v>
      </c>
      <c r="AL30" s="275">
        <f t="shared" si="50"/>
        <v>31460000</v>
      </c>
      <c r="AM30" s="275">
        <f t="shared" si="50"/>
        <v>0</v>
      </c>
      <c r="AN30" s="275">
        <f t="shared" si="50"/>
        <v>0</v>
      </c>
      <c r="AO30" s="275">
        <f t="shared" si="50"/>
        <v>0</v>
      </c>
      <c r="AP30" s="275">
        <f t="shared" si="50"/>
        <v>0</v>
      </c>
      <c r="AQ30" s="275">
        <f t="shared" si="50"/>
        <v>0</v>
      </c>
      <c r="AR30" s="275">
        <f t="shared" si="50"/>
        <v>0</v>
      </c>
      <c r="AS30" s="275">
        <f t="shared" si="50"/>
        <v>0</v>
      </c>
      <c r="AT30" s="275">
        <f t="shared" si="50"/>
        <v>0</v>
      </c>
      <c r="AU30" s="275">
        <f t="shared" si="50"/>
        <v>0</v>
      </c>
      <c r="AV30" s="275">
        <f t="shared" si="50"/>
        <v>0</v>
      </c>
      <c r="AW30" s="275">
        <f t="shared" si="50"/>
        <v>3932667</v>
      </c>
      <c r="AX30" s="275">
        <f t="shared" si="50"/>
        <v>0</v>
      </c>
      <c r="AY30" s="275">
        <f t="shared" si="50"/>
        <v>2480333</v>
      </c>
      <c r="AZ30" s="275">
        <f t="shared" si="50"/>
        <v>3932667</v>
      </c>
      <c r="BA30" s="275">
        <f t="shared" si="41"/>
        <v>144905933</v>
      </c>
      <c r="BB30" s="275">
        <f t="shared" ref="BB30:CD30" si="51">+BB25+BB28</f>
        <v>144905933</v>
      </c>
      <c r="BC30" s="275">
        <f t="shared" si="51"/>
        <v>142425600</v>
      </c>
      <c r="BD30" s="275">
        <f t="shared" si="51"/>
        <v>144905933</v>
      </c>
      <c r="BE30" s="275">
        <f t="shared" si="51"/>
        <v>142425600</v>
      </c>
      <c r="BF30" s="275">
        <f t="shared" si="51"/>
        <v>160504333</v>
      </c>
      <c r="BG30" s="275">
        <f t="shared" si="51"/>
        <v>152469000</v>
      </c>
      <c r="BH30" s="275">
        <f t="shared" si="51"/>
        <v>152469000</v>
      </c>
      <c r="BI30" s="275">
        <f t="shared" si="51"/>
        <v>2313334</v>
      </c>
      <c r="BJ30" s="275">
        <f t="shared" si="51"/>
        <v>2313333</v>
      </c>
      <c r="BK30" s="275">
        <f t="shared" si="51"/>
        <v>0</v>
      </c>
      <c r="BL30" s="275">
        <f t="shared" si="51"/>
        <v>0</v>
      </c>
      <c r="BM30" s="275">
        <f t="shared" si="51"/>
        <v>0</v>
      </c>
      <c r="BN30" s="275">
        <f t="shared" si="51"/>
        <v>0</v>
      </c>
      <c r="BO30" s="275">
        <f t="shared" si="51"/>
        <v>0</v>
      </c>
      <c r="BP30" s="275">
        <f t="shared" si="51"/>
        <v>0</v>
      </c>
      <c r="BQ30" s="275">
        <f t="shared" si="51"/>
        <v>0</v>
      </c>
      <c r="BR30" s="275">
        <f t="shared" si="51"/>
        <v>0</v>
      </c>
      <c r="BS30" s="275">
        <f t="shared" si="51"/>
        <v>0</v>
      </c>
      <c r="BT30" s="275">
        <f t="shared" si="51"/>
        <v>0</v>
      </c>
      <c r="BU30" s="275">
        <f t="shared" si="51"/>
        <v>0</v>
      </c>
      <c r="BV30" s="275">
        <f t="shared" si="51"/>
        <v>0</v>
      </c>
      <c r="BW30" s="275">
        <f t="shared" si="51"/>
        <v>19986999</v>
      </c>
      <c r="BX30" s="275">
        <f t="shared" si="51"/>
        <v>0</v>
      </c>
      <c r="BY30" s="275">
        <f t="shared" si="51"/>
        <v>0</v>
      </c>
      <c r="BZ30" s="275">
        <f t="shared" si="51"/>
        <v>19987000</v>
      </c>
      <c r="CA30" s="275">
        <f t="shared" si="51"/>
        <v>12978167</v>
      </c>
      <c r="CB30" s="275">
        <f t="shared" si="51"/>
        <v>3303533</v>
      </c>
      <c r="CC30" s="275">
        <f t="shared" si="51"/>
        <v>0</v>
      </c>
      <c r="CD30" s="275">
        <f t="shared" si="51"/>
        <v>0</v>
      </c>
      <c r="CE30" s="275">
        <f t="shared" si="42"/>
        <v>187747500</v>
      </c>
      <c r="CF30" s="275">
        <f t="shared" ref="CF30:DH30" si="52">+CF25+CF28</f>
        <v>187747500</v>
      </c>
      <c r="CG30" s="275">
        <f t="shared" si="52"/>
        <v>178072866</v>
      </c>
      <c r="CH30" s="275">
        <f t="shared" si="52"/>
        <v>187747500</v>
      </c>
      <c r="CI30" s="275">
        <f t="shared" si="52"/>
        <v>178072866</v>
      </c>
      <c r="CJ30" s="275">
        <f t="shared" si="52"/>
        <v>173134666</v>
      </c>
      <c r="CK30" s="275">
        <f t="shared" si="52"/>
        <v>2359666</v>
      </c>
      <c r="CL30" s="275">
        <f t="shared" si="52"/>
        <v>2359666</v>
      </c>
      <c r="CM30" s="275">
        <f t="shared" si="52"/>
        <v>79695000</v>
      </c>
      <c r="CN30" s="275">
        <f t="shared" si="52"/>
        <v>79695000</v>
      </c>
      <c r="CO30" s="275">
        <f t="shared" si="52"/>
        <v>68310000</v>
      </c>
      <c r="CP30" s="275">
        <f t="shared" si="52"/>
        <v>68310000</v>
      </c>
      <c r="CQ30" s="275">
        <f t="shared" si="52"/>
        <v>0</v>
      </c>
      <c r="CR30" s="275">
        <f t="shared" si="52"/>
        <v>0</v>
      </c>
      <c r="CS30" s="275">
        <f t="shared" si="52"/>
        <v>0</v>
      </c>
      <c r="CT30" s="275">
        <f t="shared" si="52"/>
        <v>0</v>
      </c>
      <c r="CU30" s="275">
        <f t="shared" si="52"/>
        <v>0</v>
      </c>
      <c r="CV30" s="275">
        <f t="shared" si="52"/>
        <v>0</v>
      </c>
      <c r="CW30" s="275">
        <f t="shared" si="52"/>
        <v>0</v>
      </c>
      <c r="CX30" s="275">
        <f t="shared" si="52"/>
        <v>0</v>
      </c>
      <c r="CY30" s="275">
        <f t="shared" si="52"/>
        <v>0</v>
      </c>
      <c r="CZ30" s="275">
        <f t="shared" si="52"/>
        <v>0</v>
      </c>
      <c r="DA30" s="275">
        <f t="shared" si="52"/>
        <v>0</v>
      </c>
      <c r="DB30" s="275">
        <f t="shared" si="52"/>
        <v>0</v>
      </c>
      <c r="DC30" s="275">
        <f t="shared" si="52"/>
        <v>0</v>
      </c>
      <c r="DD30" s="478">
        <f t="shared" si="52"/>
        <v>0</v>
      </c>
      <c r="DE30" s="275">
        <f t="shared" si="52"/>
        <v>18469000</v>
      </c>
      <c r="DF30" s="275">
        <f t="shared" si="52"/>
        <v>0</v>
      </c>
      <c r="DG30" s="275">
        <f t="shared" si="52"/>
        <v>0</v>
      </c>
      <c r="DH30" s="275">
        <f t="shared" si="52"/>
        <v>18469000</v>
      </c>
      <c r="DI30" s="275">
        <f t="shared" si="38"/>
        <v>168833666</v>
      </c>
      <c r="DJ30" s="275">
        <f>DJ25+DJ28</f>
        <v>168833666</v>
      </c>
      <c r="DK30" s="275">
        <f>DK25+DK28</f>
        <v>168833666</v>
      </c>
      <c r="DL30" s="275">
        <f>DL25+DL28</f>
        <v>168833666</v>
      </c>
      <c r="DM30" s="275">
        <f>DM25+DM28</f>
        <v>168833666</v>
      </c>
      <c r="DN30" s="275">
        <f>+DN25+DN28</f>
        <v>201762000</v>
      </c>
      <c r="DO30" s="275">
        <f t="shared" ref="DO30:DW30" si="53">+DO25+DO28</f>
        <v>41054000</v>
      </c>
      <c r="DP30" s="275">
        <f t="shared" si="53"/>
        <v>37950000</v>
      </c>
      <c r="DQ30" s="275">
        <f t="shared" si="53"/>
        <v>10120000</v>
      </c>
      <c r="DR30" s="275">
        <f t="shared" si="53"/>
        <v>10120000</v>
      </c>
      <c r="DS30" s="275">
        <f t="shared" si="53"/>
        <v>0</v>
      </c>
      <c r="DT30" s="275">
        <f>+DT25+DT28</f>
        <v>0</v>
      </c>
      <c r="DU30" s="275">
        <f t="shared" si="53"/>
        <v>150588000</v>
      </c>
      <c r="DV30" s="275">
        <f t="shared" si="53"/>
        <v>75187000</v>
      </c>
      <c r="DW30" s="275">
        <f t="shared" si="53"/>
        <v>0</v>
      </c>
      <c r="DX30" s="275">
        <f>+DX25+DX28</f>
        <v>0</v>
      </c>
      <c r="DY30" s="484">
        <f t="shared" ref="DY30:EL30" si="54">+DY25+DY28</f>
        <v>0</v>
      </c>
      <c r="DZ30" s="484">
        <f t="shared" si="54"/>
        <v>0</v>
      </c>
      <c r="EA30" s="484">
        <f t="shared" si="54"/>
        <v>0</v>
      </c>
      <c r="EB30" s="484">
        <f t="shared" si="54"/>
        <v>0</v>
      </c>
      <c r="EC30" s="484">
        <f t="shared" si="54"/>
        <v>0</v>
      </c>
      <c r="ED30" s="484">
        <f t="shared" si="54"/>
        <v>0</v>
      </c>
      <c r="EE30" s="484">
        <f t="shared" si="54"/>
        <v>0</v>
      </c>
      <c r="EF30" s="484">
        <f t="shared" si="54"/>
        <v>0</v>
      </c>
      <c r="EG30" s="484">
        <f t="shared" si="54"/>
        <v>0</v>
      </c>
      <c r="EH30" s="484">
        <f t="shared" si="54"/>
        <v>0</v>
      </c>
      <c r="EI30" s="484">
        <f t="shared" si="54"/>
        <v>0</v>
      </c>
      <c r="EJ30" s="484">
        <f t="shared" si="54"/>
        <v>0</v>
      </c>
      <c r="EK30" s="484">
        <f t="shared" si="54"/>
        <v>0</v>
      </c>
      <c r="EL30" s="484">
        <f t="shared" si="54"/>
        <v>0</v>
      </c>
      <c r="EM30" s="485">
        <f t="shared" si="49"/>
        <v>201762000</v>
      </c>
      <c r="EN30" s="485">
        <f t="shared" si="49"/>
        <v>201762000</v>
      </c>
      <c r="EO30" s="486">
        <f t="shared" si="49"/>
        <v>123257000</v>
      </c>
      <c r="EP30" s="487">
        <f t="shared" si="49"/>
        <v>201762000</v>
      </c>
      <c r="EQ30" s="486">
        <f t="shared" si="49"/>
        <v>123257000</v>
      </c>
      <c r="ER30" s="480">
        <f>IFERROR(DX30/DW30,0)</f>
        <v>0</v>
      </c>
      <c r="ES30" s="481">
        <f t="shared" si="8"/>
        <v>0.61090294505407361</v>
      </c>
      <c r="ET30" s="481">
        <f t="shared" si="9"/>
        <v>0.61090294505407361</v>
      </c>
      <c r="EU30" s="482">
        <f t="shared" si="11"/>
        <v>0.86652076497640118</v>
      </c>
      <c r="EV30" s="483">
        <f t="shared" si="10"/>
        <v>0.89314630010873663</v>
      </c>
      <c r="EW30" s="651"/>
      <c r="EX30" s="627"/>
      <c r="EY30" s="627"/>
      <c r="EZ30" s="629"/>
      <c r="FA30" s="627"/>
      <c r="FB30" s="625"/>
    </row>
    <row r="31" spans="1:158" ht="54" customHeight="1" x14ac:dyDescent="0.25">
      <c r="A31" s="642" t="s">
        <v>333</v>
      </c>
      <c r="B31" s="642">
        <v>4</v>
      </c>
      <c r="C31" s="645" t="s">
        <v>334</v>
      </c>
      <c r="D31" s="642" t="s">
        <v>178</v>
      </c>
      <c r="E31" s="642">
        <v>457</v>
      </c>
      <c r="F31" s="63" t="s">
        <v>322</v>
      </c>
      <c r="G31" s="440">
        <f>AA31+BE31+CI31+DM31+DN31</f>
        <v>0.35290000000000005</v>
      </c>
      <c r="H31" s="440">
        <v>0.05</v>
      </c>
      <c r="I31" s="440"/>
      <c r="J31" s="440"/>
      <c r="K31" s="440">
        <v>0.05</v>
      </c>
      <c r="L31" s="440">
        <v>1.8E-3</v>
      </c>
      <c r="M31" s="440">
        <v>0.05</v>
      </c>
      <c r="N31" s="441">
        <v>8.9999999999999993E-3</v>
      </c>
      <c r="O31" s="440">
        <v>0.05</v>
      </c>
      <c r="P31" s="441">
        <v>1.04E-2</v>
      </c>
      <c r="Q31" s="440">
        <v>0.05</v>
      </c>
      <c r="R31" s="441">
        <v>1.1899999999999999E-2</v>
      </c>
      <c r="S31" s="440">
        <v>0.05</v>
      </c>
      <c r="T31" s="440">
        <v>1.5399999999999999E-2</v>
      </c>
      <c r="U31" s="440">
        <v>0.05</v>
      </c>
      <c r="V31" s="440">
        <v>3.0700000000000002E-2</v>
      </c>
      <c r="W31" s="440">
        <v>0.05</v>
      </c>
      <c r="X31" s="440">
        <v>3.0700000000000002E-2</v>
      </c>
      <c r="Y31" s="440">
        <v>3.0700000000000002E-2</v>
      </c>
      <c r="Z31" s="440">
        <v>0.05</v>
      </c>
      <c r="AA31" s="440">
        <v>3.0700000000000002E-2</v>
      </c>
      <c r="AB31" s="440">
        <f>+AC31+AE31+AG31+AI31+AK31+AM31+AO31+AQ31+AS31+AU31+AW31+AY31</f>
        <v>6.9999999999999993E-2</v>
      </c>
      <c r="AC31" s="440">
        <v>4.1999999999999997E-3</v>
      </c>
      <c r="AD31" s="442">
        <v>4.1999999999999997E-3</v>
      </c>
      <c r="AE31" s="440">
        <v>1.1999999999999999E-3</v>
      </c>
      <c r="AF31" s="442">
        <v>1.1999999999999999E-3</v>
      </c>
      <c r="AG31" s="440">
        <v>6.1000000000000004E-3</v>
      </c>
      <c r="AH31" s="440">
        <v>6.1000000000000004E-3</v>
      </c>
      <c r="AI31" s="440">
        <v>5.4999999999999997E-3</v>
      </c>
      <c r="AJ31" s="440">
        <v>5.4999999999999997E-3</v>
      </c>
      <c r="AK31" s="440">
        <f>0.89%-0.25%</f>
        <v>6.3999999999999994E-3</v>
      </c>
      <c r="AL31" s="440">
        <v>6.4000000000000003E-3</v>
      </c>
      <c r="AM31" s="440">
        <f>0.89%-0.04%</f>
        <v>8.5000000000000006E-3</v>
      </c>
      <c r="AN31" s="440">
        <v>8.5000000000000006E-3</v>
      </c>
      <c r="AO31" s="440">
        <f>0.89%-0.56%</f>
        <v>3.2999999999999991E-3</v>
      </c>
      <c r="AP31" s="440">
        <f>0.89%-0.04%</f>
        <v>8.5000000000000006E-3</v>
      </c>
      <c r="AQ31" s="440">
        <f>0.89%-0.2%</f>
        <v>6.8999999999999999E-3</v>
      </c>
      <c r="AR31" s="440">
        <v>2.7000000000000001E-3</v>
      </c>
      <c r="AS31" s="440">
        <f>1.07%-0.14%</f>
        <v>9.300000000000001E-3</v>
      </c>
      <c r="AT31" s="440">
        <f>1.07%-0.11%</f>
        <v>9.6000000000000009E-3</v>
      </c>
      <c r="AU31" s="440">
        <f>0.89%-0.04%</f>
        <v>8.5000000000000006E-3</v>
      </c>
      <c r="AV31" s="440">
        <f>0.89%-0.17%</f>
        <v>7.1999999999999998E-3</v>
      </c>
      <c r="AW31" s="440">
        <f>0.63%-0.04%</f>
        <v>5.8999999999999999E-3</v>
      </c>
      <c r="AX31" s="440">
        <v>5.8999999999999999E-3</v>
      </c>
      <c r="AY31" s="440">
        <f>0.45%-0.03%</f>
        <v>4.2000000000000006E-3</v>
      </c>
      <c r="AZ31" s="440">
        <v>0</v>
      </c>
      <c r="BA31" s="443">
        <f>+AC31+AE31+AG31+AI31+AK31+AM31+AO31+AQ31+AS31+AU31+AW31+AY31</f>
        <v>6.9999999999999993E-2</v>
      </c>
      <c r="BB31" s="443">
        <f t="shared" ref="BB31:BC35" si="55">+AC31+AE31+AG31+AI31+AK31+AM31+AO31+AQ31+AS31+AU31+AW31+AY31</f>
        <v>6.9999999999999993E-2</v>
      </c>
      <c r="BC31" s="443">
        <f t="shared" si="55"/>
        <v>6.5799999999999997E-2</v>
      </c>
      <c r="BD31" s="443">
        <f t="shared" ref="BD31:BE35" si="56">AC31+AE31+AG31+AI31+AK31+AM31+AO31+AQ31+AS31+AU31+AW31+AY31</f>
        <v>6.9999999999999993E-2</v>
      </c>
      <c r="BE31" s="443">
        <f t="shared" si="56"/>
        <v>6.5799999999999997E-2</v>
      </c>
      <c r="BF31" s="440">
        <v>0.12</v>
      </c>
      <c r="BG31" s="440">
        <v>8.8000000000000005E-3</v>
      </c>
      <c r="BH31" s="440">
        <v>8.8000000000000005E-3</v>
      </c>
      <c r="BI31" s="440">
        <v>1.01E-2</v>
      </c>
      <c r="BJ31" s="440">
        <v>1.01E-2</v>
      </c>
      <c r="BK31" s="440">
        <v>1.01E-2</v>
      </c>
      <c r="BL31" s="440">
        <v>1.01E-2</v>
      </c>
      <c r="BM31" s="440">
        <v>1.01E-2</v>
      </c>
      <c r="BN31" s="440">
        <v>1.01E-2</v>
      </c>
      <c r="BO31" s="440">
        <v>1.0200000000000001E-2</v>
      </c>
      <c r="BP31" s="440">
        <v>1.0200000000000001E-2</v>
      </c>
      <c r="BQ31" s="440">
        <v>1.03E-2</v>
      </c>
      <c r="BR31" s="440">
        <v>1.03E-2</v>
      </c>
      <c r="BS31" s="440">
        <v>1.03E-2</v>
      </c>
      <c r="BT31" s="440">
        <v>1.03E-2</v>
      </c>
      <c r="BU31" s="440">
        <v>1.03E-2</v>
      </c>
      <c r="BV31" s="440">
        <v>1.03E-2</v>
      </c>
      <c r="BW31" s="440">
        <v>1.03E-2</v>
      </c>
      <c r="BX31" s="440">
        <v>1.03E-2</v>
      </c>
      <c r="BY31" s="440">
        <v>1.03E-2</v>
      </c>
      <c r="BZ31" s="440">
        <v>1.03E-2</v>
      </c>
      <c r="CA31" s="440">
        <v>1.03E-2</v>
      </c>
      <c r="CB31" s="440">
        <v>1.03E-2</v>
      </c>
      <c r="CC31" s="440">
        <v>8.8999999999999999E-3</v>
      </c>
      <c r="CD31" s="440">
        <v>5.3E-3</v>
      </c>
      <c r="CE31" s="443">
        <f>+BG31+BI31+BK31+BM31+BO31+BQ31+BS31+BU31+BW31+BY31+CA31+CC31</f>
        <v>0.12000000000000002</v>
      </c>
      <c r="CF31" s="443">
        <f t="shared" ref="CF31:CG35" si="57">+BG31+BI31+BK31+BM31+BO31+BQ31+BS31+BU31+BW31+BY31+CA31+CC31</f>
        <v>0.12000000000000002</v>
      </c>
      <c r="CG31" s="443">
        <f t="shared" si="57"/>
        <v>0.11640000000000002</v>
      </c>
      <c r="CH31" s="443">
        <f>BG31+BI31+BK31+BM31+BO31+BQ31+BS31+BU31+BW31+BY31+CA31+CC31</f>
        <v>0.12000000000000002</v>
      </c>
      <c r="CI31" s="443">
        <v>0.1164</v>
      </c>
      <c r="CJ31" s="440">
        <v>0.09</v>
      </c>
      <c r="CK31" s="440">
        <v>1.8E-3</v>
      </c>
      <c r="CL31" s="440">
        <v>1.8E-3</v>
      </c>
      <c r="CM31" s="440">
        <v>5.8999999999999999E-3</v>
      </c>
      <c r="CN31" s="440">
        <v>5.8999999999999999E-3</v>
      </c>
      <c r="CO31" s="440">
        <v>7.7000000000000002E-3</v>
      </c>
      <c r="CP31" s="440">
        <v>7.7000000000000002E-3</v>
      </c>
      <c r="CQ31" s="440">
        <v>7.7000000000000002E-3</v>
      </c>
      <c r="CR31" s="440">
        <v>7.7000000000000002E-3</v>
      </c>
      <c r="CS31" s="440">
        <v>7.7000000000000002E-3</v>
      </c>
      <c r="CT31" s="440">
        <v>7.7000000000000002E-3</v>
      </c>
      <c r="CU31" s="440">
        <v>8.0999999999999996E-3</v>
      </c>
      <c r="CV31" s="440">
        <v>8.0999999999999996E-3</v>
      </c>
      <c r="CW31" s="440">
        <v>8.5000000000000006E-3</v>
      </c>
      <c r="CX31" s="440">
        <v>8.5000000000000006E-3</v>
      </c>
      <c r="CY31" s="440">
        <v>8.5000000000000006E-3</v>
      </c>
      <c r="CZ31" s="440">
        <v>8.5000000000000006E-3</v>
      </c>
      <c r="DA31" s="440">
        <v>8.5000000000000006E-3</v>
      </c>
      <c r="DB31" s="440">
        <v>8.5000000000000006E-3</v>
      </c>
      <c r="DC31" s="440">
        <v>8.5000000000000006E-3</v>
      </c>
      <c r="DD31" s="444">
        <v>8.5000000000000006E-3</v>
      </c>
      <c r="DE31" s="440">
        <v>8.5000000000000006E-3</v>
      </c>
      <c r="DF31" s="440">
        <v>8.5000000000000006E-3</v>
      </c>
      <c r="DG31" s="440">
        <v>8.6E-3</v>
      </c>
      <c r="DH31" s="440">
        <v>4.3E-3</v>
      </c>
      <c r="DI31" s="445">
        <f t="shared" si="38"/>
        <v>9.0000000000000024E-2</v>
      </c>
      <c r="DJ31" s="440">
        <f>+CK31+CM31+CO31+CQ31+CS31+CU31+CW31+CY31+DA31+DC31+DE31+DG31</f>
        <v>9.0000000000000024E-2</v>
      </c>
      <c r="DK31" s="440">
        <f>CL31+CN31+CP31+CR31+CT31+CV31+CX31+CZ31+DB31+DD31+DF31+DH31</f>
        <v>8.5700000000000026E-2</v>
      </c>
      <c r="DL31" s="440">
        <f>+CK31+CM31+CO31+CQ31+CS31+CU31+CW31+CY31+DA31+DC31+DE31+DG31</f>
        <v>9.0000000000000024E-2</v>
      </c>
      <c r="DM31" s="440">
        <f>CL31+CN31+CP31+CR31+CT31+CV31+CX31+CZ31+DB31+DD31+DF31+DH31</f>
        <v>8.5700000000000026E-2</v>
      </c>
      <c r="DN31" s="440">
        <v>5.4300000000000001E-2</v>
      </c>
      <c r="DO31" s="446">
        <v>1.0800000000000001E-2</v>
      </c>
      <c r="DP31" s="446">
        <v>1.0800000000000001E-2</v>
      </c>
      <c r="DQ31" s="446">
        <v>1.0800000000000001E-2</v>
      </c>
      <c r="DR31" s="446">
        <v>1.0800000000000001E-2</v>
      </c>
      <c r="DS31" s="446">
        <v>1.09E-2</v>
      </c>
      <c r="DT31" s="446">
        <v>1.09E-2</v>
      </c>
      <c r="DU31" s="446">
        <v>1.09E-2</v>
      </c>
      <c r="DV31" s="446">
        <v>1.09E-2</v>
      </c>
      <c r="DW31" s="446">
        <v>1.09E-2</v>
      </c>
      <c r="DX31" s="440">
        <v>1.09E-2</v>
      </c>
      <c r="DY31" s="440">
        <v>0</v>
      </c>
      <c r="DZ31" s="440"/>
      <c r="EA31" s="440">
        <v>0</v>
      </c>
      <c r="EB31" s="440"/>
      <c r="EC31" s="440">
        <v>0</v>
      </c>
      <c r="ED31" s="440"/>
      <c r="EE31" s="440">
        <v>0</v>
      </c>
      <c r="EF31" s="440"/>
      <c r="EG31" s="440">
        <v>0</v>
      </c>
      <c r="EH31" s="440"/>
      <c r="EI31" s="440">
        <v>0</v>
      </c>
      <c r="EJ31" s="440"/>
      <c r="EK31" s="440">
        <v>0</v>
      </c>
      <c r="EL31" s="440"/>
      <c r="EM31" s="442">
        <f>+DO31+DQ31+DS31+DU31+DW31+DY31+EA31+EC31+EE31+EG31+EI31+EK31</f>
        <v>5.4300000000000001E-2</v>
      </c>
      <c r="EN31" s="442">
        <f t="shared" ref="EN31:EO35" si="58">+DO31+DQ31+DS31+DU31+DW31</f>
        <v>5.4300000000000001E-2</v>
      </c>
      <c r="EO31" s="442">
        <f t="shared" si="58"/>
        <v>5.4300000000000001E-2</v>
      </c>
      <c r="EP31" s="442">
        <f t="shared" ref="EP31:EQ35" si="59">+DO31+DQ31+DS31+DU31+DW31+DY31+EA31+EC31+EE31+EG31+EI31+EK31</f>
        <v>5.4300000000000001E-2</v>
      </c>
      <c r="EQ31" s="447">
        <f t="shared" si="59"/>
        <v>5.4300000000000001E-2</v>
      </c>
      <c r="ER31" s="473">
        <f t="shared" si="7"/>
        <v>1</v>
      </c>
      <c r="ES31" s="474">
        <f t="shared" si="8"/>
        <v>1</v>
      </c>
      <c r="ET31" s="474">
        <f t="shared" si="9"/>
        <v>1</v>
      </c>
      <c r="EU31" s="475">
        <f t="shared" si="11"/>
        <v>0.91829300026021332</v>
      </c>
      <c r="EV31" s="476">
        <f t="shared" si="10"/>
        <v>1</v>
      </c>
      <c r="EW31" s="628" t="s">
        <v>903</v>
      </c>
      <c r="EX31" s="626" t="s">
        <v>179</v>
      </c>
      <c r="EY31" s="626" t="s">
        <v>179</v>
      </c>
      <c r="EZ31" s="628" t="s">
        <v>897</v>
      </c>
      <c r="FA31" s="630" t="s">
        <v>898</v>
      </c>
      <c r="FB31" s="625">
        <f>+LEN(EW31)</f>
        <v>1431</v>
      </c>
    </row>
    <row r="32" spans="1:158" ht="53.25" customHeight="1" x14ac:dyDescent="0.25">
      <c r="A32" s="604"/>
      <c r="B32" s="604"/>
      <c r="C32" s="604"/>
      <c r="D32" s="604"/>
      <c r="E32" s="604"/>
      <c r="F32" s="59" t="s">
        <v>323</v>
      </c>
      <c r="G32" s="395">
        <f>AA32+BE32+CI32+DM32+EP32</f>
        <v>14507744077</v>
      </c>
      <c r="H32" s="396">
        <v>2763278000</v>
      </c>
      <c r="I32" s="396"/>
      <c r="J32" s="396"/>
      <c r="K32" s="396">
        <v>2763278000</v>
      </c>
      <c r="L32" s="396">
        <v>24552000</v>
      </c>
      <c r="M32" s="396">
        <v>2763278000</v>
      </c>
      <c r="N32" s="397">
        <v>93104000</v>
      </c>
      <c r="O32" s="396">
        <v>2763278000</v>
      </c>
      <c r="P32" s="397">
        <v>93104000</v>
      </c>
      <c r="Q32" s="396">
        <v>2763278000</v>
      </c>
      <c r="R32" s="397">
        <v>111604160</v>
      </c>
      <c r="S32" s="396">
        <v>2763278000</v>
      </c>
      <c r="T32" s="396">
        <v>154471350</v>
      </c>
      <c r="U32" s="396">
        <v>2763278000</v>
      </c>
      <c r="V32" s="396">
        <v>2695611598</v>
      </c>
      <c r="W32" s="396">
        <v>2763278000</v>
      </c>
      <c r="X32" s="396">
        <v>2695611598</v>
      </c>
      <c r="Y32" s="396">
        <v>2695611598</v>
      </c>
      <c r="Z32" s="395">
        <v>2763278000</v>
      </c>
      <c r="AA32" s="395">
        <v>2695611598</v>
      </c>
      <c r="AB32" s="395">
        <v>2615358000</v>
      </c>
      <c r="AC32" s="395">
        <v>0</v>
      </c>
      <c r="AD32" s="395">
        <v>0</v>
      </c>
      <c r="AE32" s="395">
        <v>106356300</v>
      </c>
      <c r="AF32" s="395">
        <v>106356300</v>
      </c>
      <c r="AG32" s="395">
        <v>129409150</v>
      </c>
      <c r="AH32" s="395">
        <v>129409150</v>
      </c>
      <c r="AI32" s="395">
        <v>2923150</v>
      </c>
      <c r="AJ32" s="395">
        <v>2923150</v>
      </c>
      <c r="AK32" s="395">
        <f>326870750-AI32-AG32-AE32</f>
        <v>88182150</v>
      </c>
      <c r="AL32" s="395">
        <v>88182150</v>
      </c>
      <c r="AM32" s="395">
        <v>424405219</v>
      </c>
      <c r="AN32" s="395">
        <f>1020480521+2923150</f>
        <v>1023403671</v>
      </c>
      <c r="AO32" s="395">
        <f>598998452+2923150</f>
        <v>601921602</v>
      </c>
      <c r="AP32" s="395">
        <v>30903150</v>
      </c>
      <c r="AQ32" s="395">
        <v>31852410</v>
      </c>
      <c r="AR32" s="395">
        <v>3703150</v>
      </c>
      <c r="AS32" s="395">
        <v>64813257</v>
      </c>
      <c r="AT32" s="395">
        <v>33479997</v>
      </c>
      <c r="AU32" s="395">
        <v>344652410</v>
      </c>
      <c r="AV32" s="395">
        <v>0</v>
      </c>
      <c r="AW32" s="395">
        <v>438862334</v>
      </c>
      <c r="AX32" s="395">
        <v>432841878</v>
      </c>
      <c r="AY32" s="395">
        <v>102361109</v>
      </c>
      <c r="AZ32" s="395">
        <v>385377837</v>
      </c>
      <c r="BA32" s="395">
        <f t="shared" ref="BA32:BA37" si="60">AC32+AE32+AG32+AI32+AK32+AM32+AO32+AQ32+AS32+AU32+AW32+AY32</f>
        <v>2335739091</v>
      </c>
      <c r="BB32" s="395">
        <f t="shared" si="55"/>
        <v>2335739091</v>
      </c>
      <c r="BC32" s="395">
        <f t="shared" si="55"/>
        <v>2236580433</v>
      </c>
      <c r="BD32" s="395">
        <f t="shared" si="56"/>
        <v>2335739091</v>
      </c>
      <c r="BE32" s="395">
        <f t="shared" si="56"/>
        <v>2236580433</v>
      </c>
      <c r="BF32" s="395">
        <v>3655492000</v>
      </c>
      <c r="BG32" s="395">
        <v>254242646</v>
      </c>
      <c r="BH32" s="395">
        <v>254242646</v>
      </c>
      <c r="BI32" s="395">
        <v>714684000</v>
      </c>
      <c r="BJ32" s="395">
        <v>546748956</v>
      </c>
      <c r="BK32" s="395">
        <v>-52879044</v>
      </c>
      <c r="BL32" s="395"/>
      <c r="BM32" s="395"/>
      <c r="BN32" s="395">
        <v>9913477</v>
      </c>
      <c r="BO32" s="395">
        <v>0</v>
      </c>
      <c r="BP32" s="395">
        <v>2888724</v>
      </c>
      <c r="BQ32" s="395">
        <v>378848366</v>
      </c>
      <c r="BR32" s="395">
        <v>382160016</v>
      </c>
      <c r="BS32" s="395">
        <v>734745000</v>
      </c>
      <c r="BT32" s="395">
        <v>176010173</v>
      </c>
      <c r="BU32" s="395">
        <v>1057591943</v>
      </c>
      <c r="BV32" s="395">
        <v>508441811</v>
      </c>
      <c r="BW32" s="395">
        <v>79077972</v>
      </c>
      <c r="BX32" s="395">
        <v>127183300</v>
      </c>
      <c r="BY32" s="395">
        <v>18785069</v>
      </c>
      <c r="BZ32" s="395">
        <v>110939230</v>
      </c>
      <c r="CA32" s="395">
        <v>16518067</v>
      </c>
      <c r="CB32" s="395">
        <v>13277351</v>
      </c>
      <c r="CC32" s="395">
        <v>44005867</v>
      </c>
      <c r="CD32" s="395">
        <v>1057778160</v>
      </c>
      <c r="CE32" s="395">
        <f t="shared" ref="CE32:CE37" si="61">BG32+BI32+BK32+BM32+BO32+BQ32+BS32+BU32+BW32+BY32+CA32+CC32</f>
        <v>3245619886</v>
      </c>
      <c r="CF32" s="395">
        <f t="shared" si="57"/>
        <v>3245619886</v>
      </c>
      <c r="CG32" s="395">
        <f t="shared" si="57"/>
        <v>3189583844</v>
      </c>
      <c r="CH32" s="395">
        <f>BG32+BI32+BK32+BM32+BO32+BQ32+BS32+BU32+BW32+BY32+CA32+CC32</f>
        <v>3245619886</v>
      </c>
      <c r="CI32" s="395">
        <f>BH32+BJ32+BL32+BN32+BP32+BR32+BT32+BV32+BX32+BZ32+CB32+CD32</f>
        <v>3189583844</v>
      </c>
      <c r="CJ32" s="395">
        <v>3855073000</v>
      </c>
      <c r="CK32" s="395"/>
      <c r="CL32" s="395"/>
      <c r="CM32" s="395">
        <v>276420000</v>
      </c>
      <c r="CN32" s="395">
        <v>211143460</v>
      </c>
      <c r="CO32" s="395">
        <v>57699000</v>
      </c>
      <c r="CP32" s="395">
        <v>61674701</v>
      </c>
      <c r="CQ32" s="395">
        <v>1453276621</v>
      </c>
      <c r="CR32" s="395">
        <v>57235655</v>
      </c>
      <c r="CS32" s="395">
        <v>90000000</v>
      </c>
      <c r="CT32" s="395">
        <v>448486240</v>
      </c>
      <c r="CU32" s="395">
        <v>1363951000</v>
      </c>
      <c r="CV32" s="395">
        <v>574606428</v>
      </c>
      <c r="CW32" s="395"/>
      <c r="CX32" s="395">
        <v>11280710</v>
      </c>
      <c r="CY32" s="395">
        <v>150000000</v>
      </c>
      <c r="CZ32" s="395">
        <v>204826046</v>
      </c>
      <c r="DA32" s="395">
        <v>463425000</v>
      </c>
      <c r="DB32" s="395">
        <v>271671860</v>
      </c>
      <c r="DC32" s="395">
        <v>-771046422</v>
      </c>
      <c r="DD32" s="399">
        <v>4129048</v>
      </c>
      <c r="DE32" s="395">
        <v>57832439</v>
      </c>
      <c r="DF32" s="395">
        <v>207689369</v>
      </c>
      <c r="DG32" s="395">
        <v>172625854</v>
      </c>
      <c r="DH32" s="395">
        <v>118852685</v>
      </c>
      <c r="DI32" s="395">
        <f t="shared" si="38"/>
        <v>3314183492</v>
      </c>
      <c r="DJ32" s="448">
        <f>+CK32+CM32+CO32+CQ32+CS32+CU32+CW32+CY32+DA32+DC32+DE32+DG32</f>
        <v>3314183492</v>
      </c>
      <c r="DK32" s="395">
        <f>CL32+CN32+CP32+CR32+CT32+CV32+CX32+CZ32+DB32+DD32+DF32+DH32</f>
        <v>2171596202</v>
      </c>
      <c r="DL32" s="395">
        <f>+CK32+CM32+CO32+CQ32+CS32+CU32+CW32+CY32+DA32+DC32+DE32+DG32</f>
        <v>3314183492</v>
      </c>
      <c r="DM32" s="395">
        <f>CL32+CN32+CP32+CR32+CT32+CV32+CX32+CZ32+DB32+DD32+DF32+DH32</f>
        <v>2171596202</v>
      </c>
      <c r="DN32" s="395">
        <v>4214372000</v>
      </c>
      <c r="DO32" s="397">
        <v>1123606000</v>
      </c>
      <c r="DP32" s="397">
        <v>59590000</v>
      </c>
      <c r="DQ32" s="397"/>
      <c r="DR32" s="397">
        <v>24923714</v>
      </c>
      <c r="DS32" s="397">
        <v>43740000</v>
      </c>
      <c r="DT32" s="397">
        <v>27245998</v>
      </c>
      <c r="DU32" s="397">
        <v>964526000</v>
      </c>
      <c r="DV32" s="397">
        <v>130261404</v>
      </c>
      <c r="DW32" s="397">
        <v>1302500000</v>
      </c>
      <c r="DX32" s="397">
        <v>646918903</v>
      </c>
      <c r="DY32" s="397">
        <v>500000000</v>
      </c>
      <c r="DZ32" s="397"/>
      <c r="EA32" s="397">
        <v>180000000</v>
      </c>
      <c r="EB32" s="397"/>
      <c r="EC32" s="397">
        <v>100000000</v>
      </c>
      <c r="ED32" s="397"/>
      <c r="EE32" s="397">
        <v>0</v>
      </c>
      <c r="EF32" s="397"/>
      <c r="EG32" s="397">
        <v>0</v>
      </c>
      <c r="EH32" s="397"/>
      <c r="EI32" s="397">
        <v>0</v>
      </c>
      <c r="EJ32" s="397"/>
      <c r="EK32" s="397">
        <v>0</v>
      </c>
      <c r="EL32" s="397">
        <v>-22388000</v>
      </c>
      <c r="EM32" s="397">
        <f>+DO32+DQ32+DS32+DU32+DW32+DY32+EA32+EC32+EE32+EG32+EI32+EK32</f>
        <v>4214372000</v>
      </c>
      <c r="EN32" s="397">
        <f>+DO32+DQ32+DS32+DU32+DW32</f>
        <v>3434372000</v>
      </c>
      <c r="EO32" s="397">
        <f>+DP32+DR32+DT32+DV32+DX32+EL32</f>
        <v>866552019</v>
      </c>
      <c r="EP32" s="397">
        <f t="shared" si="59"/>
        <v>4214372000</v>
      </c>
      <c r="EQ32" s="397">
        <f t="shared" si="59"/>
        <v>866552019</v>
      </c>
      <c r="ER32" s="391">
        <f t="shared" si="7"/>
        <v>0.49667478157389633</v>
      </c>
      <c r="ES32" s="392">
        <f t="shared" si="8"/>
        <v>0.25231745978595216</v>
      </c>
      <c r="ET32" s="392">
        <f t="shared" si="9"/>
        <v>0.20561830303542258</v>
      </c>
      <c r="EU32" s="393">
        <f t="shared" si="11"/>
        <v>0.73940116505646081</v>
      </c>
      <c r="EV32" s="394">
        <f t="shared" si="10"/>
        <v>0.7692391068362241</v>
      </c>
      <c r="EW32" s="629"/>
      <c r="EX32" s="627"/>
      <c r="EY32" s="627"/>
      <c r="EZ32" s="629"/>
      <c r="FA32" s="627"/>
      <c r="FB32" s="625"/>
    </row>
    <row r="33" spans="1:158" ht="54.75" customHeight="1" x14ac:dyDescent="0.25">
      <c r="A33" s="604"/>
      <c r="B33" s="604"/>
      <c r="C33" s="604"/>
      <c r="D33" s="604"/>
      <c r="E33" s="604"/>
      <c r="F33" s="60" t="s">
        <v>324</v>
      </c>
      <c r="G33" s="395"/>
      <c r="H33" s="396"/>
      <c r="I33" s="396"/>
      <c r="J33" s="396"/>
      <c r="K33" s="396"/>
      <c r="L33" s="396"/>
      <c r="M33" s="396"/>
      <c r="N33" s="397"/>
      <c r="O33" s="396"/>
      <c r="P33" s="397"/>
      <c r="Q33" s="396"/>
      <c r="R33" s="397"/>
      <c r="S33" s="396"/>
      <c r="T33" s="396"/>
      <c r="U33" s="396"/>
      <c r="V33" s="396"/>
      <c r="W33" s="396"/>
      <c r="X33" s="396"/>
      <c r="Y33" s="396"/>
      <c r="Z33" s="395"/>
      <c r="AA33" s="395"/>
      <c r="AB33" s="395">
        <f>+AC33+AE33+AG33+AI33+AK33+AM33+AO33+AQ33+AS33+AU33+AW33+AY33</f>
        <v>2335739091</v>
      </c>
      <c r="AC33" s="395">
        <v>0</v>
      </c>
      <c r="AD33" s="395">
        <v>0</v>
      </c>
      <c r="AE33" s="395">
        <v>5846300</v>
      </c>
      <c r="AF33" s="395">
        <v>5846300</v>
      </c>
      <c r="AG33" s="395">
        <v>8795317</v>
      </c>
      <c r="AH33" s="395">
        <v>8795317</v>
      </c>
      <c r="AI33" s="395">
        <v>19863884</v>
      </c>
      <c r="AJ33" s="395">
        <v>19863884</v>
      </c>
      <c r="AK33" s="395">
        <v>27028150</v>
      </c>
      <c r="AL33" s="395">
        <v>27028150</v>
      </c>
      <c r="AM33" s="395">
        <v>27028150</v>
      </c>
      <c r="AN33" s="395">
        <v>27028150</v>
      </c>
      <c r="AO33" s="395">
        <v>112287150</v>
      </c>
      <c r="AP33" s="395">
        <v>435181823</v>
      </c>
      <c r="AQ33" s="395">
        <v>1049237931</v>
      </c>
      <c r="AR33" s="395">
        <v>619803602</v>
      </c>
      <c r="AS33" s="395">
        <v>55957410</v>
      </c>
      <c r="AT33" s="395">
        <v>27424150</v>
      </c>
      <c r="AU33" s="395">
        <v>48564437</v>
      </c>
      <c r="AV33" s="395">
        <v>149892423</v>
      </c>
      <c r="AW33" s="395">
        <v>42148774</v>
      </c>
      <c r="AX33" s="395">
        <v>42148774</v>
      </c>
      <c r="AY33" s="395">
        <v>938981588</v>
      </c>
      <c r="AZ33" s="395">
        <v>100485685</v>
      </c>
      <c r="BA33" s="395">
        <f t="shared" si="60"/>
        <v>2335739091</v>
      </c>
      <c r="BB33" s="395">
        <f t="shared" si="55"/>
        <v>2335739091</v>
      </c>
      <c r="BC33" s="395">
        <f t="shared" si="55"/>
        <v>1463498258</v>
      </c>
      <c r="BD33" s="395">
        <f t="shared" si="56"/>
        <v>2335739091</v>
      </c>
      <c r="BE33" s="395">
        <f t="shared" si="56"/>
        <v>1463498258</v>
      </c>
      <c r="BF33" s="395">
        <v>3655492000</v>
      </c>
      <c r="BG33" s="395"/>
      <c r="BH33" s="395"/>
      <c r="BI33" s="395">
        <v>1761100</v>
      </c>
      <c r="BJ33" s="395">
        <v>3822167</v>
      </c>
      <c r="BK33" s="395">
        <v>600732692</v>
      </c>
      <c r="BL33" s="395">
        <v>39052179</v>
      </c>
      <c r="BM33" s="395">
        <v>40656890</v>
      </c>
      <c r="BN33" s="395">
        <v>586399433</v>
      </c>
      <c r="BO33" s="395">
        <v>40656890</v>
      </c>
      <c r="BP33" s="395">
        <v>32625724</v>
      </c>
      <c r="BQ33" s="395">
        <v>40656890</v>
      </c>
      <c r="BR33" s="395">
        <v>33048650</v>
      </c>
      <c r="BS33" s="395">
        <v>200656890</v>
      </c>
      <c r="BT33" s="395">
        <v>31667350</v>
      </c>
      <c r="BU33" s="395">
        <v>678250256</v>
      </c>
      <c r="BV33" s="395">
        <v>407468916</v>
      </c>
      <c r="BW33" s="395">
        <v>672026791</v>
      </c>
      <c r="BX33" s="395">
        <v>99017167</v>
      </c>
      <c r="BY33" s="395">
        <v>107264126</v>
      </c>
      <c r="BZ33" s="395">
        <v>653817914</v>
      </c>
      <c r="CA33" s="395">
        <v>84556890</v>
      </c>
      <c r="CB33" s="395">
        <v>132033580</v>
      </c>
      <c r="CC33" s="395">
        <v>778400471</v>
      </c>
      <c r="CD33" s="395">
        <v>77319979</v>
      </c>
      <c r="CE33" s="395">
        <f t="shared" si="61"/>
        <v>3245619886</v>
      </c>
      <c r="CF33" s="395">
        <f t="shared" si="57"/>
        <v>3245619886</v>
      </c>
      <c r="CG33" s="395">
        <f t="shared" si="57"/>
        <v>2096273059</v>
      </c>
      <c r="CH33" s="395">
        <f>BG33+BI33+BK33+BM33+BO33+BQ33+BS33+BU33+BW33+BY33+CA33+CC33</f>
        <v>3245619886</v>
      </c>
      <c r="CI33" s="395">
        <f>BH33+BJ33+BL33+BN33+BP33+BR33+BT33+BV33+BX33+BZ33+CB33+CD33</f>
        <v>2096273059</v>
      </c>
      <c r="CJ33" s="395">
        <v>3855073000</v>
      </c>
      <c r="CK33" s="395"/>
      <c r="CL33" s="395"/>
      <c r="CM33" s="395">
        <v>7663460</v>
      </c>
      <c r="CN33" s="395">
        <v>7663460</v>
      </c>
      <c r="CO33" s="395">
        <v>19712001</v>
      </c>
      <c r="CP33" s="395">
        <v>19712001</v>
      </c>
      <c r="CQ33" s="395">
        <v>29425410</v>
      </c>
      <c r="CR33" s="395">
        <v>26758630</v>
      </c>
      <c r="CS33" s="395">
        <v>1127536864</v>
      </c>
      <c r="CT33" s="395">
        <v>29964130</v>
      </c>
      <c r="CU33" s="395">
        <v>149834196</v>
      </c>
      <c r="CV33" s="395">
        <v>35044150</v>
      </c>
      <c r="CW33" s="395">
        <v>549834196</v>
      </c>
      <c r="CX33" s="395">
        <v>1016942248</v>
      </c>
      <c r="CY33" s="395">
        <v>49834196</v>
      </c>
      <c r="CZ33" s="395">
        <v>47542143</v>
      </c>
      <c r="DA33" s="395">
        <v>1036885196</v>
      </c>
      <c r="DB33" s="395">
        <v>41625810</v>
      </c>
      <c r="DC33" s="395">
        <v>103738363</v>
      </c>
      <c r="DD33" s="399">
        <v>194960772</v>
      </c>
      <c r="DE33" s="395">
        <v>-4044664</v>
      </c>
      <c r="DF33" s="395">
        <v>258101206</v>
      </c>
      <c r="DG33" s="395">
        <f>260982901-17218627</f>
        <v>243764274</v>
      </c>
      <c r="DH33" s="395">
        <v>125554455</v>
      </c>
      <c r="DI33" s="395">
        <f>+CK33+CM33+CO33+CQ33+CS33+CU33+CW33+CY33+DA33+DC33+DE33+DG33</f>
        <v>3314183492</v>
      </c>
      <c r="DJ33" s="448">
        <f>+CK33+CM33+CO33+CQ33+CS33+CU33+CW33+CY33+DA33+DC33+DE33+DG33</f>
        <v>3314183492</v>
      </c>
      <c r="DK33" s="395">
        <f>CL33+CN33+CP33+CR33+CT33+CV33+CX33+CZ33+DB33+DD33+DF33+DH33</f>
        <v>1803869005</v>
      </c>
      <c r="DL33" s="395">
        <f>+CK33+CM33+CO33+CQ33+CS33+CU33+CW33+CY33+DA33+DC33+DE33+DG33</f>
        <v>3314183492</v>
      </c>
      <c r="DM33" s="395">
        <f>CL33+CN33+CP33+CR33+CT33+CV33+CX33+CZ33+DB33+DD33+DF33+DH33</f>
        <v>1803869005</v>
      </c>
      <c r="DN33" s="395">
        <v>4214372000</v>
      </c>
      <c r="DO33" s="397">
        <v>6250000</v>
      </c>
      <c r="DP33" s="397"/>
      <c r="DQ33" s="397">
        <v>6250000</v>
      </c>
      <c r="DR33" s="397">
        <v>12163714</v>
      </c>
      <c r="DS33" s="397">
        <v>46800467</v>
      </c>
      <c r="DT33" s="397">
        <v>33202465</v>
      </c>
      <c r="DU33" s="397">
        <v>447692000</v>
      </c>
      <c r="DV33" s="397">
        <v>31340804</v>
      </c>
      <c r="DW33" s="397">
        <v>898293000</v>
      </c>
      <c r="DX33" s="397">
        <v>21573318</v>
      </c>
      <c r="DY33" s="397">
        <v>150793000</v>
      </c>
      <c r="DZ33" s="397"/>
      <c r="EA33" s="397">
        <v>1248293000</v>
      </c>
      <c r="EB33" s="397"/>
      <c r="EC33" s="397">
        <v>428293000</v>
      </c>
      <c r="ED33" s="397"/>
      <c r="EE33" s="397">
        <v>143293000</v>
      </c>
      <c r="EF33" s="397"/>
      <c r="EG33" s="397">
        <v>98293000</v>
      </c>
      <c r="EH33" s="397"/>
      <c r="EI33" s="397">
        <v>448293000</v>
      </c>
      <c r="EJ33" s="397"/>
      <c r="EK33" s="397">
        <f>141828533+150000000</f>
        <v>291828533</v>
      </c>
      <c r="EL33" s="397"/>
      <c r="EM33" s="397">
        <f>+DO33+DQ33+DS33+DU33+DW33+DY33+EA33+EC33+EE33+EG33+EI33+EK33</f>
        <v>4214372000</v>
      </c>
      <c r="EN33" s="397">
        <f t="shared" si="58"/>
        <v>1405285467</v>
      </c>
      <c r="EO33" s="397">
        <f t="shared" si="58"/>
        <v>98280301</v>
      </c>
      <c r="EP33" s="397">
        <f t="shared" si="59"/>
        <v>4214372000</v>
      </c>
      <c r="EQ33" s="397">
        <f t="shared" si="59"/>
        <v>98280301</v>
      </c>
      <c r="ER33" s="391">
        <f t="shared" si="7"/>
        <v>2.4015903496965911E-2</v>
      </c>
      <c r="ES33" s="392">
        <f t="shared" si="8"/>
        <v>6.9936182582040471E-2</v>
      </c>
      <c r="ET33" s="392">
        <f t="shared" si="9"/>
        <v>2.3320271917144475E-2</v>
      </c>
      <c r="EU33" s="393">
        <f t="shared" si="11"/>
        <v>0.53024093373226111</v>
      </c>
      <c r="EV33" s="394">
        <f>IFERROR((AA33+BE33+CI33+DM33+EQ33)/G33,0)</f>
        <v>0</v>
      </c>
      <c r="EW33" s="629"/>
      <c r="EX33" s="627"/>
      <c r="EY33" s="627"/>
      <c r="EZ33" s="629"/>
      <c r="FA33" s="627"/>
      <c r="FB33" s="625"/>
    </row>
    <row r="34" spans="1:158" ht="50.25" customHeight="1" x14ac:dyDescent="0.25">
      <c r="A34" s="604"/>
      <c r="B34" s="604"/>
      <c r="C34" s="604"/>
      <c r="D34" s="604"/>
      <c r="E34" s="604"/>
      <c r="F34" s="58" t="s">
        <v>325</v>
      </c>
      <c r="G34" s="449">
        <f>AA34+BE34+CI34+DM34+DN34</f>
        <v>2.7069212491802698E-2</v>
      </c>
      <c r="H34" s="402"/>
      <c r="I34" s="402"/>
      <c r="J34" s="402"/>
      <c r="K34" s="402"/>
      <c r="L34" s="403"/>
      <c r="M34" s="402"/>
      <c r="N34" s="403"/>
      <c r="O34" s="402"/>
      <c r="P34" s="403"/>
      <c r="Q34" s="402"/>
      <c r="R34" s="403"/>
      <c r="S34" s="402"/>
      <c r="T34" s="402"/>
      <c r="U34" s="402"/>
      <c r="V34" s="402"/>
      <c r="W34" s="402"/>
      <c r="X34" s="402"/>
      <c r="Y34" s="402"/>
      <c r="Z34" s="402"/>
      <c r="AA34" s="402"/>
      <c r="AB34" s="450">
        <f>+AC34+AE34+AG34+AI34+AK34+AM34+AO34+AQ34+AS34+AU34+AW34+AY34</f>
        <v>1.9300000000000005E-2</v>
      </c>
      <c r="AC34" s="450">
        <v>2.9999999999999997E-4</v>
      </c>
      <c r="AD34" s="450">
        <v>2.9999999999999997E-4</v>
      </c>
      <c r="AE34" s="449">
        <v>3.3E-3</v>
      </c>
      <c r="AF34" s="450">
        <v>3.3E-3</v>
      </c>
      <c r="AG34" s="450">
        <v>1.1000000000000001E-3</v>
      </c>
      <c r="AH34" s="450">
        <v>1.1000000000000001E-3</v>
      </c>
      <c r="AI34" s="450">
        <v>1.6000000000000001E-3</v>
      </c>
      <c r="AJ34" s="451">
        <v>1.6000000000000001E-3</v>
      </c>
      <c r="AK34" s="451">
        <v>2.5000000000000001E-3</v>
      </c>
      <c r="AL34" s="451">
        <v>2.5000000000000001E-3</v>
      </c>
      <c r="AM34" s="451">
        <v>4.0000000000000002E-4</v>
      </c>
      <c r="AN34" s="451">
        <v>4.0000000000000002E-4</v>
      </c>
      <c r="AO34" s="451">
        <v>5.5999999999999999E-3</v>
      </c>
      <c r="AP34" s="451">
        <v>4.0000000000000002E-4</v>
      </c>
      <c r="AQ34" s="451">
        <v>2E-3</v>
      </c>
      <c r="AR34" s="451">
        <v>6.1999999999999998E-3</v>
      </c>
      <c r="AS34" s="451">
        <v>1.4E-3</v>
      </c>
      <c r="AT34" s="451">
        <v>1.1000000000000001E-3</v>
      </c>
      <c r="AU34" s="451">
        <v>4.0000000000000002E-4</v>
      </c>
      <c r="AV34" s="451">
        <f>0.04%+0.03%+0.1%</f>
        <v>1.7000000000000001E-3</v>
      </c>
      <c r="AW34" s="451">
        <v>4.0000000000000002E-4</v>
      </c>
      <c r="AX34" s="451">
        <v>4.0000000000000002E-4</v>
      </c>
      <c r="AY34" s="451">
        <v>2.9999999999999997E-4</v>
      </c>
      <c r="AZ34" s="451">
        <v>2.9999999999999997E-4</v>
      </c>
      <c r="BA34" s="451">
        <f t="shared" si="60"/>
        <v>1.9300000000000005E-2</v>
      </c>
      <c r="BB34" s="451">
        <f t="shared" si="55"/>
        <v>1.9300000000000005E-2</v>
      </c>
      <c r="BC34" s="451">
        <f t="shared" si="55"/>
        <v>1.9300000000000001E-2</v>
      </c>
      <c r="BD34" s="451">
        <f t="shared" si="56"/>
        <v>1.9300000000000005E-2</v>
      </c>
      <c r="BE34" s="451">
        <f t="shared" si="56"/>
        <v>1.9300000000000001E-2</v>
      </c>
      <c r="BF34" s="451">
        <v>4.1999999999999997E-3</v>
      </c>
      <c r="BG34" s="451">
        <f>(BG35/BF35)*BF34</f>
        <v>1.5261686309091266E-3</v>
      </c>
      <c r="BH34" s="451">
        <v>1.5E-3</v>
      </c>
      <c r="BI34" s="451">
        <v>2.0000000000000001E-4</v>
      </c>
      <c r="BJ34" s="451">
        <v>2.0000000000000001E-4</v>
      </c>
      <c r="BK34" s="451">
        <v>2.0000000000000001E-4</v>
      </c>
      <c r="BL34" s="451">
        <v>2.0000000000000001E-4</v>
      </c>
      <c r="BM34" s="451">
        <v>2.2000000000000001E-3</v>
      </c>
      <c r="BN34" s="451">
        <f>(BN35/BF35)*BF34</f>
        <v>2.1692124918026986E-3</v>
      </c>
      <c r="BO34" s="451">
        <f>(BO35/BF35)*BF34</f>
        <v>5.2186939376787462E-5</v>
      </c>
      <c r="BP34" s="451">
        <v>1E-4</v>
      </c>
      <c r="BQ34" s="451"/>
      <c r="BR34" s="452"/>
      <c r="BS34" s="452"/>
      <c r="BT34" s="452"/>
      <c r="BU34" s="452"/>
      <c r="BV34" s="452"/>
      <c r="BW34" s="452"/>
      <c r="BX34" s="452"/>
      <c r="BY34" s="452"/>
      <c r="BZ34" s="452"/>
      <c r="CA34" s="452"/>
      <c r="CB34" s="452"/>
      <c r="CC34" s="405"/>
      <c r="CD34" s="452"/>
      <c r="CE34" s="451">
        <f t="shared" si="61"/>
        <v>4.1783555702859139E-3</v>
      </c>
      <c r="CF34" s="451">
        <f t="shared" si="57"/>
        <v>4.1783555702859139E-3</v>
      </c>
      <c r="CG34" s="451">
        <f t="shared" si="57"/>
        <v>4.1692124918026987E-3</v>
      </c>
      <c r="CH34" s="451">
        <f>BG34+BI34+BK34+BM34+BO34+BQ34+BS34+BU34+BW34+BY34+CA34+CC34</f>
        <v>4.1783555702859139E-3</v>
      </c>
      <c r="CI34" s="451">
        <f>BH34+BJ34+BL34+BN34+BP34+BR34+BT34+BV34+BX34+BZ34+CB34+CD34</f>
        <v>4.1692124918026987E-3</v>
      </c>
      <c r="CJ34" s="449">
        <v>3.5999999999999999E-3</v>
      </c>
      <c r="CK34" s="451">
        <v>5.9999999999999995E-4</v>
      </c>
      <c r="CL34" s="451">
        <v>5.9999999999999995E-4</v>
      </c>
      <c r="CM34" s="451">
        <v>1.1999999999999999E-3</v>
      </c>
      <c r="CN34" s="451">
        <v>1.1999999999999999E-3</v>
      </c>
      <c r="CO34" s="451">
        <v>5.9999999999999995E-4</v>
      </c>
      <c r="CP34" s="451">
        <v>5.9999999999999995E-4</v>
      </c>
      <c r="CQ34" s="451">
        <v>5.9999999999999995E-4</v>
      </c>
      <c r="CR34" s="451">
        <v>5.9999999999999995E-4</v>
      </c>
      <c r="CS34" s="451">
        <v>5.9999999999999995E-4</v>
      </c>
      <c r="CT34" s="451">
        <v>5.9999999999999995E-4</v>
      </c>
      <c r="CU34" s="453"/>
      <c r="CV34" s="453">
        <v>0</v>
      </c>
      <c r="CW34" s="453"/>
      <c r="CX34" s="453">
        <v>0</v>
      </c>
      <c r="CY34" s="453"/>
      <c r="CZ34" s="453">
        <v>0</v>
      </c>
      <c r="DA34" s="453"/>
      <c r="DB34" s="453">
        <v>0</v>
      </c>
      <c r="DC34" s="453"/>
      <c r="DD34" s="454">
        <v>0</v>
      </c>
      <c r="DE34" s="453"/>
      <c r="DF34" s="453">
        <v>0</v>
      </c>
      <c r="DG34" s="453"/>
      <c r="DH34" s="453">
        <v>0</v>
      </c>
      <c r="DI34" s="451">
        <f t="shared" si="38"/>
        <v>3.5999999999999995E-3</v>
      </c>
      <c r="DJ34" s="440">
        <f>+CK34+CM34+CO34+CQ34+CS34+CU34+CW34+CY34+DA34+DC34+DE34+DG34</f>
        <v>3.5999999999999995E-3</v>
      </c>
      <c r="DK34" s="449">
        <f>CL34+CN34+CP34+CR34+CT34+CV34+CX34+CX34+CX34+CZ34+DB34+DD34+DF34+DH34</f>
        <v>3.5999999999999995E-3</v>
      </c>
      <c r="DL34" s="451">
        <f>+CK34+CM34+CO34+CQ34+CS34+CU34+CW34+CY34+DA34+DC34+DE34+DG34</f>
        <v>3.5999999999999995E-3</v>
      </c>
      <c r="DM34" s="449">
        <f>CL34+CN34+CP34+CR34+CT34+CV34+CX34+CX34+CX34+CZ34+DB34+DD34+DF34+DH34</f>
        <v>3.5999999999999995E-3</v>
      </c>
      <c r="DN34" s="451">
        <v>0</v>
      </c>
      <c r="DO34" s="455"/>
      <c r="DP34" s="402"/>
      <c r="DQ34" s="402"/>
      <c r="DR34" s="402">
        <v>0</v>
      </c>
      <c r="DS34" s="402"/>
      <c r="DT34" s="402">
        <v>0</v>
      </c>
      <c r="DU34" s="402"/>
      <c r="DV34" s="402">
        <v>0</v>
      </c>
      <c r="DW34" s="402"/>
      <c r="DX34" s="402">
        <v>0</v>
      </c>
      <c r="DY34" s="402"/>
      <c r="DZ34" s="402"/>
      <c r="EA34" s="402"/>
      <c r="EB34" s="402"/>
      <c r="EC34" s="402"/>
      <c r="ED34" s="402"/>
      <c r="EE34" s="402"/>
      <c r="EF34" s="402"/>
      <c r="EG34" s="402"/>
      <c r="EH34" s="402"/>
      <c r="EI34" s="402"/>
      <c r="EJ34" s="402"/>
      <c r="EK34" s="402"/>
      <c r="EL34" s="402"/>
      <c r="EM34" s="456">
        <f>+DO34+DQ34+DS34+DU34+DW34+DY34+EA34+EC34+EE34+EG34+EI34+EK34</f>
        <v>0</v>
      </c>
      <c r="EN34" s="456">
        <f t="shared" si="58"/>
        <v>0</v>
      </c>
      <c r="EO34" s="456">
        <f t="shared" si="58"/>
        <v>0</v>
      </c>
      <c r="EP34" s="450">
        <f t="shared" si="59"/>
        <v>0</v>
      </c>
      <c r="EQ34" s="457">
        <f t="shared" si="59"/>
        <v>0</v>
      </c>
      <c r="ER34" s="391">
        <f t="shared" si="7"/>
        <v>0</v>
      </c>
      <c r="ES34" s="392">
        <f>IFERROR(EO34/EN34,0)</f>
        <v>0</v>
      </c>
      <c r="ET34" s="392">
        <f>IFERROR(EQ34/EP34,0)</f>
        <v>0</v>
      </c>
      <c r="EU34" s="393">
        <f t="shared" si="11"/>
        <v>0.99966234735120874</v>
      </c>
      <c r="EV34" s="394">
        <f t="shared" si="10"/>
        <v>1</v>
      </c>
      <c r="EW34" s="629"/>
      <c r="EX34" s="627"/>
      <c r="EY34" s="627"/>
      <c r="EZ34" s="629"/>
      <c r="FA34" s="627"/>
      <c r="FB34" s="625"/>
    </row>
    <row r="35" spans="1:158" ht="51.75" customHeight="1" x14ac:dyDescent="0.25">
      <c r="A35" s="604"/>
      <c r="B35" s="604"/>
      <c r="C35" s="604"/>
      <c r="D35" s="604"/>
      <c r="E35" s="604"/>
      <c r="F35" s="59" t="s">
        <v>326</v>
      </c>
      <c r="G35" s="395">
        <f>AA35+BE35+CI35+DM35+EP35</f>
        <v>4739520259</v>
      </c>
      <c r="H35" s="402"/>
      <c r="I35" s="402"/>
      <c r="J35" s="402"/>
      <c r="K35" s="402"/>
      <c r="L35" s="397"/>
      <c r="M35" s="402"/>
      <c r="N35" s="397"/>
      <c r="O35" s="402"/>
      <c r="P35" s="397"/>
      <c r="Q35" s="402"/>
      <c r="R35" s="397"/>
      <c r="S35" s="402"/>
      <c r="T35" s="402"/>
      <c r="U35" s="402"/>
      <c r="V35" s="402"/>
      <c r="W35" s="402"/>
      <c r="X35" s="402"/>
      <c r="Y35" s="402"/>
      <c r="Z35" s="395"/>
      <c r="AA35" s="395"/>
      <c r="AB35" s="395">
        <f>+AC35+AE35+AG35+AI35+AK35+AM35+AO35+AQ35+AS35+AU35+AW35+AY35</f>
        <v>2579374626.1600003</v>
      </c>
      <c r="AC35" s="395">
        <v>43996190</v>
      </c>
      <c r="AD35" s="395">
        <v>43996190</v>
      </c>
      <c r="AE35" s="395">
        <v>431414743</v>
      </c>
      <c r="AF35" s="395">
        <v>431414743</v>
      </c>
      <c r="AG35" s="395">
        <v>152167378</v>
      </c>
      <c r="AH35" s="395">
        <v>152167378</v>
      </c>
      <c r="AI35" s="395">
        <v>218073151</v>
      </c>
      <c r="AJ35" s="395">
        <v>218073151</v>
      </c>
      <c r="AK35" s="395">
        <v>335814804</v>
      </c>
      <c r="AL35" s="395">
        <v>335814804</v>
      </c>
      <c r="AM35" s="395">
        <v>58928348</v>
      </c>
      <c r="AN35" s="395">
        <v>58928348</v>
      </c>
      <c r="AO35" s="395">
        <v>751508348</v>
      </c>
      <c r="AP35" s="395">
        <v>58928348</v>
      </c>
      <c r="AQ35" s="395">
        <v>129741404</v>
      </c>
      <c r="AR35" s="395">
        <v>822321404</v>
      </c>
      <c r="AS35" s="395">
        <v>192362194</v>
      </c>
      <c r="AT35" s="395">
        <v>141543580</v>
      </c>
      <c r="AU35" s="395">
        <v>135725701</v>
      </c>
      <c r="AV35" s="395">
        <v>186544315</v>
      </c>
      <c r="AW35" s="395">
        <v>58928347.799999997</v>
      </c>
      <c r="AX35" s="395">
        <v>58928348</v>
      </c>
      <c r="AY35" s="395">
        <v>70714017.359999999</v>
      </c>
      <c r="AZ35" s="395">
        <v>0</v>
      </c>
      <c r="BA35" s="395">
        <f t="shared" si="60"/>
        <v>2579374626.1600003</v>
      </c>
      <c r="BB35" s="395">
        <f t="shared" si="55"/>
        <v>2579374626.1600003</v>
      </c>
      <c r="BC35" s="395">
        <f t="shared" si="55"/>
        <v>2508660609</v>
      </c>
      <c r="BD35" s="395">
        <f t="shared" si="56"/>
        <v>2579374626.1600003</v>
      </c>
      <c r="BE35" s="395">
        <f t="shared" si="56"/>
        <v>2508660609</v>
      </c>
      <c r="BF35" s="395">
        <v>773082175</v>
      </c>
      <c r="BG35" s="395">
        <v>280917563</v>
      </c>
      <c r="BH35" s="395">
        <v>280917563</v>
      </c>
      <c r="BI35" s="395">
        <v>44974903</v>
      </c>
      <c r="BJ35" s="395">
        <v>43704103</v>
      </c>
      <c r="BK35" s="395">
        <v>397620036</v>
      </c>
      <c r="BL35" s="395">
        <v>39963770</v>
      </c>
      <c r="BM35" s="395">
        <v>39963770</v>
      </c>
      <c r="BN35" s="395">
        <v>399280836</v>
      </c>
      <c r="BO35" s="395">
        <v>9605903</v>
      </c>
      <c r="BP35" s="395">
        <v>9215903</v>
      </c>
      <c r="BQ35" s="395"/>
      <c r="BR35" s="395"/>
      <c r="BS35" s="395"/>
      <c r="BT35" s="395"/>
      <c r="BU35" s="395"/>
      <c r="BV35" s="395"/>
      <c r="BW35" s="395"/>
      <c r="BX35" s="395"/>
      <c r="BY35" s="395"/>
      <c r="BZ35" s="395"/>
      <c r="CA35" s="395"/>
      <c r="CB35" s="395"/>
      <c r="CC35" s="395"/>
      <c r="CD35" s="395"/>
      <c r="CE35" s="395">
        <f t="shared" si="61"/>
        <v>773082175</v>
      </c>
      <c r="CF35" s="395">
        <f t="shared" si="57"/>
        <v>773082175</v>
      </c>
      <c r="CG35" s="395">
        <f t="shared" si="57"/>
        <v>773082175</v>
      </c>
      <c r="CH35" s="395">
        <f>BG35+BI35+BK35+BM35+BO35+BQ35+BS35+BU35+BW35+BY35+CA35+CC35</f>
        <v>773082175</v>
      </c>
      <c r="CI35" s="395">
        <f>BH35+BJ35+BL35+BN35+BP35+BR35+BT35+BV35+BX35+BZ35+CB35+CD35</f>
        <v>773082175</v>
      </c>
      <c r="CJ35" s="395">
        <v>1093310785</v>
      </c>
      <c r="CK35" s="395">
        <v>11489000</v>
      </c>
      <c r="CL35" s="395">
        <v>11489000</v>
      </c>
      <c r="CM35" s="395">
        <v>104106909</v>
      </c>
      <c r="CN35" s="395">
        <v>104106909</v>
      </c>
      <c r="CO35" s="395">
        <v>20051500</v>
      </c>
      <c r="CP35" s="395">
        <v>20051500</v>
      </c>
      <c r="CQ35" s="395">
        <v>214111569</v>
      </c>
      <c r="CR35" s="395">
        <v>311477069</v>
      </c>
      <c r="CS35" s="395">
        <v>642925800</v>
      </c>
      <c r="CT35" s="395">
        <v>0</v>
      </c>
      <c r="CU35" s="395">
        <v>50313000</v>
      </c>
      <c r="CV35" s="395">
        <v>0</v>
      </c>
      <c r="CW35" s="395">
        <v>50313000</v>
      </c>
      <c r="CX35" s="395">
        <v>642925800</v>
      </c>
      <c r="CY35" s="395">
        <f>-3260500</f>
        <v>-3260500</v>
      </c>
      <c r="CZ35" s="395">
        <v>0</v>
      </c>
      <c r="DA35" s="395"/>
      <c r="DB35" s="395">
        <v>0</v>
      </c>
      <c r="DC35" s="395"/>
      <c r="DD35" s="399">
        <v>0</v>
      </c>
      <c r="DE35" s="395"/>
      <c r="DF35" s="395">
        <v>0</v>
      </c>
      <c r="DG35" s="395">
        <v>6</v>
      </c>
      <c r="DH35" s="395">
        <v>0</v>
      </c>
      <c r="DI35" s="395">
        <f t="shared" si="38"/>
        <v>1090050284</v>
      </c>
      <c r="DJ35" s="448">
        <f>+CK35+CM35+CO35+CQ35+CS35+CU35+CW35+CY35+DA35+DC35+DE35+DG35</f>
        <v>1090050284</v>
      </c>
      <c r="DK35" s="395">
        <f>CL35+CN35+CP35+CR35+CT35+CV35+CX35+CZ35+DB35+DD35+DF35+DH35</f>
        <v>1090050278</v>
      </c>
      <c r="DL35" s="395">
        <f>+CK35+CM35+CO35+CQ35+CS35+CU35+CW35+CY35+DA35+DC35+DE35+DG35</f>
        <v>1090050284</v>
      </c>
      <c r="DM35" s="395">
        <f>CL35+CN35+CP35+CR35+CT35+CV35+CX35+CZ35+DB35+DD35+DF35+DH35</f>
        <v>1090050278</v>
      </c>
      <c r="DN35" s="395">
        <v>367727197</v>
      </c>
      <c r="DO35" s="397">
        <v>8390000</v>
      </c>
      <c r="DP35" s="397">
        <v>7590000</v>
      </c>
      <c r="DQ35" s="397">
        <v>206826651</v>
      </c>
      <c r="DR35" s="397">
        <v>205586459</v>
      </c>
      <c r="DS35" s="397">
        <v>57306126</v>
      </c>
      <c r="DT35" s="397">
        <v>57534793</v>
      </c>
      <c r="DU35" s="397">
        <v>47460920</v>
      </c>
      <c r="DV35" s="397">
        <v>31276920</v>
      </c>
      <c r="DW35" s="397">
        <v>12307500</v>
      </c>
      <c r="DX35" s="397">
        <v>10843500</v>
      </c>
      <c r="DY35" s="397">
        <v>12307500</v>
      </c>
      <c r="DZ35" s="397"/>
      <c r="EA35" s="397">
        <v>19536500</v>
      </c>
      <c r="EB35" s="397"/>
      <c r="EC35" s="397">
        <v>1464000</v>
      </c>
      <c r="ED35" s="397"/>
      <c r="EE35" s="397">
        <v>1464000</v>
      </c>
      <c r="EF35" s="397"/>
      <c r="EG35" s="397">
        <v>664000</v>
      </c>
      <c r="EH35" s="402"/>
      <c r="EI35" s="402"/>
      <c r="EJ35" s="402"/>
      <c r="EK35" s="402"/>
      <c r="EL35" s="402"/>
      <c r="EM35" s="397">
        <f>+DO35+DQ35+DS35+DU35+DW35+DY35+EA35+EC35+EE35+EG35+EI35+EK35</f>
        <v>367727197</v>
      </c>
      <c r="EN35" s="397">
        <f t="shared" si="58"/>
        <v>332291197</v>
      </c>
      <c r="EO35" s="397">
        <f t="shared" si="58"/>
        <v>312831672</v>
      </c>
      <c r="EP35" s="397">
        <f t="shared" si="59"/>
        <v>367727197</v>
      </c>
      <c r="EQ35" s="397">
        <f t="shared" si="59"/>
        <v>312831672</v>
      </c>
      <c r="ER35" s="391">
        <f t="shared" si="7"/>
        <v>0.88104814137720899</v>
      </c>
      <c r="ES35" s="392">
        <f t="shared" si="8"/>
        <v>0.94143833729065052</v>
      </c>
      <c r="ET35" s="392">
        <f t="shared" si="9"/>
        <v>0.85071671215006706</v>
      </c>
      <c r="EU35" s="393">
        <f t="shared" si="11"/>
        <v>0.98111468949444136</v>
      </c>
      <c r="EV35" s="394">
        <f t="shared" si="10"/>
        <v>0.98841749333263051</v>
      </c>
      <c r="EW35" s="629"/>
      <c r="EX35" s="627"/>
      <c r="EY35" s="627"/>
      <c r="EZ35" s="629"/>
      <c r="FA35" s="627"/>
      <c r="FB35" s="625"/>
    </row>
    <row r="36" spans="1:158" ht="51.75" customHeight="1" thickBot="1" x14ac:dyDescent="0.3">
      <c r="A36" s="604"/>
      <c r="B36" s="604"/>
      <c r="C36" s="604"/>
      <c r="D36" s="604"/>
      <c r="E36" s="604"/>
      <c r="F36" s="58" t="s">
        <v>327</v>
      </c>
      <c r="G36" s="458">
        <f>G31+G34</f>
        <v>0.37996921249180277</v>
      </c>
      <c r="H36" s="458">
        <f>+H31+H34</f>
        <v>0.05</v>
      </c>
      <c r="I36" s="458"/>
      <c r="J36" s="458"/>
      <c r="K36" s="459">
        <v>0.05</v>
      </c>
      <c r="L36" s="460">
        <v>1.8E-3</v>
      </c>
      <c r="M36" s="459">
        <v>0.05</v>
      </c>
      <c r="N36" s="460">
        <v>8.9999999999999993E-3</v>
      </c>
      <c r="O36" s="459">
        <v>0.05</v>
      </c>
      <c r="P36" s="460">
        <v>1.04E-2</v>
      </c>
      <c r="Q36" s="459">
        <v>0.05</v>
      </c>
      <c r="R36" s="460">
        <v>1.1899999999999999E-2</v>
      </c>
      <c r="S36" s="459">
        <v>0.05</v>
      </c>
      <c r="T36" s="459">
        <v>1.5399999999999999E-2</v>
      </c>
      <c r="U36" s="459">
        <v>0.05</v>
      </c>
      <c r="V36" s="459">
        <v>3.0700000000000002E-2</v>
      </c>
      <c r="W36" s="459">
        <v>0.05</v>
      </c>
      <c r="X36" s="459">
        <v>3.0700000000000002E-2</v>
      </c>
      <c r="Y36" s="459">
        <v>3.0700000000000002E-2</v>
      </c>
      <c r="Z36" s="459">
        <v>0.05</v>
      </c>
      <c r="AA36" s="459">
        <v>3.0700000000000002E-2</v>
      </c>
      <c r="AB36" s="459">
        <f t="shared" ref="AB36:AZ36" si="62">+AB31+AB34</f>
        <v>8.929999999999999E-2</v>
      </c>
      <c r="AC36" s="459">
        <f t="shared" si="62"/>
        <v>4.4999999999999997E-3</v>
      </c>
      <c r="AD36" s="461">
        <f t="shared" si="62"/>
        <v>4.4999999999999997E-3</v>
      </c>
      <c r="AE36" s="461">
        <f t="shared" si="62"/>
        <v>4.4999999999999997E-3</v>
      </c>
      <c r="AF36" s="461">
        <f t="shared" si="62"/>
        <v>4.4999999999999997E-3</v>
      </c>
      <c r="AG36" s="461">
        <f t="shared" si="62"/>
        <v>7.2000000000000007E-3</v>
      </c>
      <c r="AH36" s="461">
        <f t="shared" si="62"/>
        <v>7.2000000000000007E-3</v>
      </c>
      <c r="AI36" s="461">
        <f t="shared" si="62"/>
        <v>7.0999999999999995E-3</v>
      </c>
      <c r="AJ36" s="461">
        <f t="shared" si="62"/>
        <v>7.0999999999999995E-3</v>
      </c>
      <c r="AK36" s="461">
        <f t="shared" si="62"/>
        <v>8.8999999999999999E-3</v>
      </c>
      <c r="AL36" s="461">
        <f t="shared" si="62"/>
        <v>8.8999999999999999E-3</v>
      </c>
      <c r="AM36" s="461">
        <f t="shared" si="62"/>
        <v>8.8999999999999999E-3</v>
      </c>
      <c r="AN36" s="461">
        <f t="shared" si="62"/>
        <v>8.8999999999999999E-3</v>
      </c>
      <c r="AO36" s="461">
        <f t="shared" si="62"/>
        <v>8.8999999999999982E-3</v>
      </c>
      <c r="AP36" s="461">
        <f t="shared" si="62"/>
        <v>8.8999999999999999E-3</v>
      </c>
      <c r="AQ36" s="461">
        <f t="shared" si="62"/>
        <v>8.8999999999999999E-3</v>
      </c>
      <c r="AR36" s="461">
        <f t="shared" si="62"/>
        <v>8.8999999999999999E-3</v>
      </c>
      <c r="AS36" s="461">
        <f t="shared" si="62"/>
        <v>1.0700000000000001E-2</v>
      </c>
      <c r="AT36" s="461">
        <f t="shared" si="62"/>
        <v>1.0700000000000001E-2</v>
      </c>
      <c r="AU36" s="461">
        <f t="shared" si="62"/>
        <v>8.8999999999999999E-3</v>
      </c>
      <c r="AV36" s="461">
        <f t="shared" si="62"/>
        <v>8.8999999999999999E-3</v>
      </c>
      <c r="AW36" s="461">
        <f t="shared" si="62"/>
        <v>6.3E-3</v>
      </c>
      <c r="AX36" s="461">
        <f t="shared" si="62"/>
        <v>6.3E-3</v>
      </c>
      <c r="AY36" s="461">
        <f t="shared" si="62"/>
        <v>4.5000000000000005E-3</v>
      </c>
      <c r="AZ36" s="461">
        <f t="shared" si="62"/>
        <v>2.9999999999999997E-4</v>
      </c>
      <c r="BA36" s="458">
        <f t="shared" si="60"/>
        <v>8.9300000000000004E-2</v>
      </c>
      <c r="BB36" s="458">
        <f>+BB31+BB34</f>
        <v>8.929999999999999E-2</v>
      </c>
      <c r="BC36" s="458">
        <f>+BC31+BC34</f>
        <v>8.5099999999999995E-2</v>
      </c>
      <c r="BD36" s="458">
        <f>BD31+BD34</f>
        <v>8.929999999999999E-2</v>
      </c>
      <c r="BE36" s="458">
        <f>BE31+BE34</f>
        <v>8.5099999999999995E-2</v>
      </c>
      <c r="BF36" s="459">
        <f>+BG36+BI36+BK36+BM36+BO36+BQ36+BS36+BU36+BW36+BY36+CA36+CC36</f>
        <v>0.12417835557028593</v>
      </c>
      <c r="BG36" s="459">
        <f t="shared" ref="BG36:CD36" si="63">BG31+BG34</f>
        <v>1.0326168630909127E-2</v>
      </c>
      <c r="BH36" s="459">
        <f t="shared" si="63"/>
        <v>1.03E-2</v>
      </c>
      <c r="BI36" s="459">
        <f t="shared" si="63"/>
        <v>1.03E-2</v>
      </c>
      <c r="BJ36" s="459">
        <f t="shared" si="63"/>
        <v>1.03E-2</v>
      </c>
      <c r="BK36" s="459">
        <f t="shared" si="63"/>
        <v>1.03E-2</v>
      </c>
      <c r="BL36" s="459">
        <f t="shared" si="63"/>
        <v>1.03E-2</v>
      </c>
      <c r="BM36" s="459">
        <f t="shared" si="63"/>
        <v>1.23E-2</v>
      </c>
      <c r="BN36" s="459">
        <f t="shared" si="63"/>
        <v>1.2269212491802697E-2</v>
      </c>
      <c r="BO36" s="459">
        <f t="shared" si="63"/>
        <v>1.0252186939376788E-2</v>
      </c>
      <c r="BP36" s="459">
        <f t="shared" si="63"/>
        <v>1.03E-2</v>
      </c>
      <c r="BQ36" s="459">
        <f t="shared" si="63"/>
        <v>1.03E-2</v>
      </c>
      <c r="BR36" s="459">
        <f t="shared" si="63"/>
        <v>1.03E-2</v>
      </c>
      <c r="BS36" s="459">
        <f t="shared" si="63"/>
        <v>1.03E-2</v>
      </c>
      <c r="BT36" s="459">
        <f t="shared" si="63"/>
        <v>1.03E-2</v>
      </c>
      <c r="BU36" s="459">
        <f t="shared" si="63"/>
        <v>1.03E-2</v>
      </c>
      <c r="BV36" s="459">
        <f t="shared" si="63"/>
        <v>1.03E-2</v>
      </c>
      <c r="BW36" s="459">
        <f t="shared" si="63"/>
        <v>1.03E-2</v>
      </c>
      <c r="BX36" s="459">
        <f t="shared" si="63"/>
        <v>1.03E-2</v>
      </c>
      <c r="BY36" s="459">
        <f t="shared" si="63"/>
        <v>1.03E-2</v>
      </c>
      <c r="BZ36" s="459">
        <f t="shared" si="63"/>
        <v>1.03E-2</v>
      </c>
      <c r="CA36" s="459">
        <f t="shared" si="63"/>
        <v>1.03E-2</v>
      </c>
      <c r="CB36" s="459">
        <f t="shared" si="63"/>
        <v>1.03E-2</v>
      </c>
      <c r="CC36" s="459">
        <f t="shared" si="63"/>
        <v>8.8999999999999999E-3</v>
      </c>
      <c r="CD36" s="459">
        <f t="shared" si="63"/>
        <v>5.3E-3</v>
      </c>
      <c r="CE36" s="458">
        <f t="shared" si="61"/>
        <v>0.12417835557028593</v>
      </c>
      <c r="CF36" s="458">
        <f>+CF31+CF34</f>
        <v>0.12417835557028593</v>
      </c>
      <c r="CG36" s="458">
        <v>0.1206</v>
      </c>
      <c r="CH36" s="458">
        <f>CH31+CH34</f>
        <v>0.12417835557028593</v>
      </c>
      <c r="CI36" s="458">
        <v>0.1206</v>
      </c>
      <c r="CJ36" s="459">
        <f t="shared" ref="CJ36:DH36" si="64">+CJ31+CJ34</f>
        <v>9.3600000000000003E-2</v>
      </c>
      <c r="CK36" s="459">
        <f t="shared" si="64"/>
        <v>2.3999999999999998E-3</v>
      </c>
      <c r="CL36" s="459">
        <f t="shared" si="64"/>
        <v>2.3999999999999998E-3</v>
      </c>
      <c r="CM36" s="459">
        <f t="shared" si="64"/>
        <v>7.0999999999999995E-3</v>
      </c>
      <c r="CN36" s="459">
        <f t="shared" si="64"/>
        <v>7.0999999999999995E-3</v>
      </c>
      <c r="CO36" s="459">
        <f t="shared" si="64"/>
        <v>8.3000000000000001E-3</v>
      </c>
      <c r="CP36" s="459">
        <f t="shared" si="64"/>
        <v>8.3000000000000001E-3</v>
      </c>
      <c r="CQ36" s="459">
        <f t="shared" si="64"/>
        <v>8.3000000000000001E-3</v>
      </c>
      <c r="CR36" s="459">
        <f t="shared" si="64"/>
        <v>8.3000000000000001E-3</v>
      </c>
      <c r="CS36" s="459">
        <f t="shared" si="64"/>
        <v>8.3000000000000001E-3</v>
      </c>
      <c r="CT36" s="459">
        <f t="shared" si="64"/>
        <v>8.3000000000000001E-3</v>
      </c>
      <c r="CU36" s="459">
        <f t="shared" si="64"/>
        <v>8.0999999999999996E-3</v>
      </c>
      <c r="CV36" s="459">
        <f t="shared" si="64"/>
        <v>8.0999999999999996E-3</v>
      </c>
      <c r="CW36" s="459">
        <f t="shared" si="64"/>
        <v>8.5000000000000006E-3</v>
      </c>
      <c r="CX36" s="459">
        <f t="shared" si="64"/>
        <v>8.5000000000000006E-3</v>
      </c>
      <c r="CY36" s="459">
        <f t="shared" si="64"/>
        <v>8.5000000000000006E-3</v>
      </c>
      <c r="CZ36" s="459">
        <f t="shared" si="64"/>
        <v>8.5000000000000006E-3</v>
      </c>
      <c r="DA36" s="459">
        <f t="shared" si="64"/>
        <v>8.5000000000000006E-3</v>
      </c>
      <c r="DB36" s="459">
        <f t="shared" si="64"/>
        <v>8.5000000000000006E-3</v>
      </c>
      <c r="DC36" s="459">
        <f t="shared" si="64"/>
        <v>8.5000000000000006E-3</v>
      </c>
      <c r="DD36" s="462">
        <f t="shared" si="64"/>
        <v>8.5000000000000006E-3</v>
      </c>
      <c r="DE36" s="459">
        <f t="shared" si="64"/>
        <v>8.5000000000000006E-3</v>
      </c>
      <c r="DF36" s="459">
        <f t="shared" si="64"/>
        <v>8.5000000000000006E-3</v>
      </c>
      <c r="DG36" s="459">
        <f t="shared" si="64"/>
        <v>8.6E-3</v>
      </c>
      <c r="DH36" s="459">
        <f t="shared" si="64"/>
        <v>4.3E-3</v>
      </c>
      <c r="DI36" s="459">
        <f t="shared" si="38"/>
        <v>9.3600000000000017E-2</v>
      </c>
      <c r="DJ36" s="459">
        <f t="shared" ref="DJ36:DM37" si="65">DJ31+DJ34</f>
        <v>9.360000000000003E-2</v>
      </c>
      <c r="DK36" s="459">
        <f t="shared" si="65"/>
        <v>8.9300000000000032E-2</v>
      </c>
      <c r="DL36" s="459">
        <f t="shared" si="65"/>
        <v>9.360000000000003E-2</v>
      </c>
      <c r="DM36" s="459">
        <f t="shared" si="65"/>
        <v>8.9300000000000032E-2</v>
      </c>
      <c r="DN36" s="459">
        <f>+DN31+DN34</f>
        <v>5.4300000000000001E-2</v>
      </c>
      <c r="DO36" s="459">
        <f t="shared" ref="DO36:DX36" si="66">+DO31+DO34</f>
        <v>1.0800000000000001E-2</v>
      </c>
      <c r="DP36" s="459">
        <f t="shared" si="66"/>
        <v>1.0800000000000001E-2</v>
      </c>
      <c r="DQ36" s="459">
        <f t="shared" si="66"/>
        <v>1.0800000000000001E-2</v>
      </c>
      <c r="DR36" s="459">
        <f t="shared" si="66"/>
        <v>1.0800000000000001E-2</v>
      </c>
      <c r="DS36" s="459">
        <f t="shared" si="66"/>
        <v>1.09E-2</v>
      </c>
      <c r="DT36" s="459">
        <f t="shared" si="66"/>
        <v>1.09E-2</v>
      </c>
      <c r="DU36" s="459">
        <f t="shared" si="66"/>
        <v>1.09E-2</v>
      </c>
      <c r="DV36" s="459">
        <f t="shared" si="66"/>
        <v>1.09E-2</v>
      </c>
      <c r="DW36" s="459">
        <f t="shared" si="66"/>
        <v>1.09E-2</v>
      </c>
      <c r="DX36" s="459">
        <f t="shared" si="66"/>
        <v>1.09E-2</v>
      </c>
      <c r="DY36" s="459"/>
      <c r="DZ36" s="459"/>
      <c r="EA36" s="459"/>
      <c r="EB36" s="459"/>
      <c r="EC36" s="459"/>
      <c r="ED36" s="459"/>
      <c r="EE36" s="459"/>
      <c r="EF36" s="459"/>
      <c r="EG36" s="459"/>
      <c r="EH36" s="459"/>
      <c r="EI36" s="459"/>
      <c r="EJ36" s="459"/>
      <c r="EK36" s="459"/>
      <c r="EL36" s="459"/>
      <c r="EM36" s="461">
        <f t="shared" ref="EM36:EQ37" si="67">+EM31+EM34</f>
        <v>5.4300000000000001E-2</v>
      </c>
      <c r="EN36" s="461">
        <f t="shared" si="67"/>
        <v>5.4300000000000001E-2</v>
      </c>
      <c r="EO36" s="461">
        <f t="shared" si="67"/>
        <v>5.4300000000000001E-2</v>
      </c>
      <c r="EP36" s="461">
        <f t="shared" si="67"/>
        <v>5.4300000000000001E-2</v>
      </c>
      <c r="EQ36" s="333">
        <f t="shared" si="67"/>
        <v>5.4300000000000001E-2</v>
      </c>
      <c r="ER36" s="467">
        <f t="shared" si="7"/>
        <v>1</v>
      </c>
      <c r="ES36" s="468">
        <f t="shared" si="8"/>
        <v>1</v>
      </c>
      <c r="ET36" s="468">
        <f t="shared" si="9"/>
        <v>1</v>
      </c>
      <c r="EU36" s="469">
        <f t="shared" si="11"/>
        <v>0.92372385385520173</v>
      </c>
      <c r="EV36" s="470">
        <f t="shared" si="10"/>
        <v>1.000081026323147</v>
      </c>
      <c r="EW36" s="629"/>
      <c r="EX36" s="627"/>
      <c r="EY36" s="627"/>
      <c r="EZ36" s="629"/>
      <c r="FA36" s="627"/>
      <c r="FB36" s="625"/>
    </row>
    <row r="37" spans="1:158" ht="58.5" customHeight="1" thickBot="1" x14ac:dyDescent="0.3">
      <c r="A37" s="606"/>
      <c r="B37" s="606"/>
      <c r="C37" s="606"/>
      <c r="D37" s="606"/>
      <c r="E37" s="606"/>
      <c r="F37" s="61" t="s">
        <v>328</v>
      </c>
      <c r="G37" s="477">
        <f>G32+G35</f>
        <v>19247264336</v>
      </c>
      <c r="H37" s="275">
        <f>+H32+H35</f>
        <v>2763278000</v>
      </c>
      <c r="I37" s="275"/>
      <c r="J37" s="275"/>
      <c r="K37" s="275">
        <v>2763278000</v>
      </c>
      <c r="L37" s="275">
        <v>24552000</v>
      </c>
      <c r="M37" s="275">
        <v>2763278000</v>
      </c>
      <c r="N37" s="275">
        <v>93104000</v>
      </c>
      <c r="O37" s="275">
        <v>2763278000</v>
      </c>
      <c r="P37" s="275">
        <v>93104000</v>
      </c>
      <c r="Q37" s="275">
        <v>2763278000</v>
      </c>
      <c r="R37" s="275">
        <v>111604160</v>
      </c>
      <c r="S37" s="275">
        <v>2763278000</v>
      </c>
      <c r="T37" s="275">
        <v>154471350</v>
      </c>
      <c r="U37" s="275">
        <v>2763278000</v>
      </c>
      <c r="V37" s="275">
        <v>2695611598</v>
      </c>
      <c r="W37" s="275">
        <v>2763278000</v>
      </c>
      <c r="X37" s="275">
        <v>2695611598</v>
      </c>
      <c r="Y37" s="275">
        <v>2695611598</v>
      </c>
      <c r="Z37" s="275">
        <v>2763278000</v>
      </c>
      <c r="AA37" s="275">
        <v>2695611598</v>
      </c>
      <c r="AB37" s="275">
        <f t="shared" ref="AB37:AZ37" si="68">+AB32+AB35</f>
        <v>5194732626.1599998</v>
      </c>
      <c r="AC37" s="275">
        <f t="shared" si="68"/>
        <v>43996190</v>
      </c>
      <c r="AD37" s="275">
        <f t="shared" si="68"/>
        <v>43996190</v>
      </c>
      <c r="AE37" s="275">
        <f t="shared" si="68"/>
        <v>537771043</v>
      </c>
      <c r="AF37" s="275">
        <f t="shared" si="68"/>
        <v>537771043</v>
      </c>
      <c r="AG37" s="275">
        <f t="shared" si="68"/>
        <v>281576528</v>
      </c>
      <c r="AH37" s="275">
        <f t="shared" si="68"/>
        <v>281576528</v>
      </c>
      <c r="AI37" s="275">
        <f t="shared" si="68"/>
        <v>220996301</v>
      </c>
      <c r="AJ37" s="275">
        <f t="shared" si="68"/>
        <v>220996301</v>
      </c>
      <c r="AK37" s="275">
        <f t="shared" si="68"/>
        <v>423996954</v>
      </c>
      <c r="AL37" s="275">
        <f t="shared" si="68"/>
        <v>423996954</v>
      </c>
      <c r="AM37" s="275">
        <f t="shared" si="68"/>
        <v>483333567</v>
      </c>
      <c r="AN37" s="275">
        <f t="shared" si="68"/>
        <v>1082332019</v>
      </c>
      <c r="AO37" s="275">
        <f t="shared" si="68"/>
        <v>1353429950</v>
      </c>
      <c r="AP37" s="275">
        <f t="shared" si="68"/>
        <v>89831498</v>
      </c>
      <c r="AQ37" s="275">
        <f t="shared" si="68"/>
        <v>161593814</v>
      </c>
      <c r="AR37" s="275">
        <f t="shared" si="68"/>
        <v>826024554</v>
      </c>
      <c r="AS37" s="275">
        <f t="shared" si="68"/>
        <v>257175451</v>
      </c>
      <c r="AT37" s="275">
        <f t="shared" si="68"/>
        <v>175023577</v>
      </c>
      <c r="AU37" s="275">
        <f t="shared" si="68"/>
        <v>480378111</v>
      </c>
      <c r="AV37" s="275">
        <f t="shared" si="68"/>
        <v>186544315</v>
      </c>
      <c r="AW37" s="275">
        <f t="shared" si="68"/>
        <v>497790681.80000001</v>
      </c>
      <c r="AX37" s="275">
        <f t="shared" si="68"/>
        <v>491770226</v>
      </c>
      <c r="AY37" s="275">
        <f t="shared" si="68"/>
        <v>173075126.36000001</v>
      </c>
      <c r="AZ37" s="275">
        <f t="shared" si="68"/>
        <v>385377837</v>
      </c>
      <c r="BA37" s="275">
        <f t="shared" si="60"/>
        <v>4915113717.1599998</v>
      </c>
      <c r="BB37" s="275">
        <f t="shared" ref="BB37:CD37" si="69">+BB32+BB35</f>
        <v>4915113717.1599998</v>
      </c>
      <c r="BC37" s="275">
        <f t="shared" si="69"/>
        <v>4745241042</v>
      </c>
      <c r="BD37" s="275">
        <f t="shared" si="69"/>
        <v>4915113717.1599998</v>
      </c>
      <c r="BE37" s="275">
        <f t="shared" si="69"/>
        <v>4745241042</v>
      </c>
      <c r="BF37" s="275">
        <f t="shared" si="69"/>
        <v>4428574175</v>
      </c>
      <c r="BG37" s="275">
        <f t="shared" si="69"/>
        <v>535160209</v>
      </c>
      <c r="BH37" s="275">
        <f t="shared" si="69"/>
        <v>535160209</v>
      </c>
      <c r="BI37" s="275">
        <f t="shared" si="69"/>
        <v>759658903</v>
      </c>
      <c r="BJ37" s="275">
        <f t="shared" si="69"/>
        <v>590453059</v>
      </c>
      <c r="BK37" s="275">
        <f t="shared" si="69"/>
        <v>344740992</v>
      </c>
      <c r="BL37" s="275">
        <f t="shared" si="69"/>
        <v>39963770</v>
      </c>
      <c r="BM37" s="275">
        <f t="shared" si="69"/>
        <v>39963770</v>
      </c>
      <c r="BN37" s="275">
        <f t="shared" si="69"/>
        <v>409194313</v>
      </c>
      <c r="BO37" s="275">
        <f t="shared" si="69"/>
        <v>9605903</v>
      </c>
      <c r="BP37" s="275">
        <f t="shared" si="69"/>
        <v>12104627</v>
      </c>
      <c r="BQ37" s="275">
        <f t="shared" si="69"/>
        <v>378848366</v>
      </c>
      <c r="BR37" s="275">
        <f t="shared" si="69"/>
        <v>382160016</v>
      </c>
      <c r="BS37" s="275">
        <f t="shared" si="69"/>
        <v>734745000</v>
      </c>
      <c r="BT37" s="275">
        <f t="shared" si="69"/>
        <v>176010173</v>
      </c>
      <c r="BU37" s="275">
        <f t="shared" si="69"/>
        <v>1057591943</v>
      </c>
      <c r="BV37" s="275">
        <f t="shared" si="69"/>
        <v>508441811</v>
      </c>
      <c r="BW37" s="275">
        <f t="shared" si="69"/>
        <v>79077972</v>
      </c>
      <c r="BX37" s="275">
        <f t="shared" si="69"/>
        <v>127183300</v>
      </c>
      <c r="BY37" s="275">
        <f t="shared" si="69"/>
        <v>18785069</v>
      </c>
      <c r="BZ37" s="275">
        <f t="shared" si="69"/>
        <v>110939230</v>
      </c>
      <c r="CA37" s="275">
        <f t="shared" si="69"/>
        <v>16518067</v>
      </c>
      <c r="CB37" s="275">
        <f t="shared" si="69"/>
        <v>13277351</v>
      </c>
      <c r="CC37" s="275">
        <f t="shared" si="69"/>
        <v>44005867</v>
      </c>
      <c r="CD37" s="275">
        <f t="shared" si="69"/>
        <v>1057778160</v>
      </c>
      <c r="CE37" s="275">
        <f t="shared" si="61"/>
        <v>4018702061</v>
      </c>
      <c r="CF37" s="275">
        <f>+CF32+CF35</f>
        <v>4018702061</v>
      </c>
      <c r="CG37" s="275">
        <f t="shared" ref="CG37:DH37" si="70">+CG32+CG35</f>
        <v>3962666019</v>
      </c>
      <c r="CH37" s="275">
        <f t="shared" si="70"/>
        <v>4018702061</v>
      </c>
      <c r="CI37" s="275">
        <f t="shared" si="70"/>
        <v>3962666019</v>
      </c>
      <c r="CJ37" s="275">
        <f t="shared" si="70"/>
        <v>4948383785</v>
      </c>
      <c r="CK37" s="275">
        <f t="shared" si="70"/>
        <v>11489000</v>
      </c>
      <c r="CL37" s="275">
        <f t="shared" si="70"/>
        <v>11489000</v>
      </c>
      <c r="CM37" s="275">
        <f t="shared" si="70"/>
        <v>380526909</v>
      </c>
      <c r="CN37" s="275">
        <f t="shared" si="70"/>
        <v>315250369</v>
      </c>
      <c r="CO37" s="275">
        <f t="shared" si="70"/>
        <v>77750500</v>
      </c>
      <c r="CP37" s="275">
        <f t="shared" si="70"/>
        <v>81726201</v>
      </c>
      <c r="CQ37" s="275">
        <f t="shared" si="70"/>
        <v>1667388190</v>
      </c>
      <c r="CR37" s="275">
        <f t="shared" si="70"/>
        <v>368712724</v>
      </c>
      <c r="CS37" s="275">
        <f t="shared" si="70"/>
        <v>732925800</v>
      </c>
      <c r="CT37" s="275">
        <f t="shared" si="70"/>
        <v>448486240</v>
      </c>
      <c r="CU37" s="275">
        <f t="shared" si="70"/>
        <v>1414264000</v>
      </c>
      <c r="CV37" s="275">
        <f t="shared" si="70"/>
        <v>574606428</v>
      </c>
      <c r="CW37" s="275">
        <f t="shared" si="70"/>
        <v>50313000</v>
      </c>
      <c r="CX37" s="275">
        <f t="shared" si="70"/>
        <v>654206510</v>
      </c>
      <c r="CY37" s="275">
        <f t="shared" si="70"/>
        <v>146739500</v>
      </c>
      <c r="CZ37" s="275">
        <f t="shared" si="70"/>
        <v>204826046</v>
      </c>
      <c r="DA37" s="275">
        <f t="shared" si="70"/>
        <v>463425000</v>
      </c>
      <c r="DB37" s="275">
        <f t="shared" si="70"/>
        <v>271671860</v>
      </c>
      <c r="DC37" s="275">
        <f t="shared" si="70"/>
        <v>-771046422</v>
      </c>
      <c r="DD37" s="478">
        <f t="shared" si="70"/>
        <v>4129048</v>
      </c>
      <c r="DE37" s="275">
        <f t="shared" si="70"/>
        <v>57832439</v>
      </c>
      <c r="DF37" s="275">
        <f t="shared" si="70"/>
        <v>207689369</v>
      </c>
      <c r="DG37" s="275">
        <f t="shared" si="70"/>
        <v>172625860</v>
      </c>
      <c r="DH37" s="275">
        <f t="shared" si="70"/>
        <v>118852685</v>
      </c>
      <c r="DI37" s="275">
        <f t="shared" si="38"/>
        <v>4404233776</v>
      </c>
      <c r="DJ37" s="275">
        <f t="shared" si="65"/>
        <v>4404233776</v>
      </c>
      <c r="DK37" s="275">
        <f t="shared" si="65"/>
        <v>3261646480</v>
      </c>
      <c r="DL37" s="275">
        <f t="shared" si="65"/>
        <v>4404233776</v>
      </c>
      <c r="DM37" s="275">
        <f t="shared" si="65"/>
        <v>3261646480</v>
      </c>
      <c r="DN37" s="275">
        <f>+DN32+DN35</f>
        <v>4582099197</v>
      </c>
      <c r="DO37" s="275">
        <f t="shared" ref="DO37:DX37" si="71">+DO32+DO35</f>
        <v>1131996000</v>
      </c>
      <c r="DP37" s="275">
        <f t="shared" si="71"/>
        <v>67180000</v>
      </c>
      <c r="DQ37" s="275">
        <f t="shared" si="71"/>
        <v>206826651</v>
      </c>
      <c r="DR37" s="275">
        <f t="shared" si="71"/>
        <v>230510173</v>
      </c>
      <c r="DS37" s="275">
        <f t="shared" si="71"/>
        <v>101046126</v>
      </c>
      <c r="DT37" s="275">
        <f t="shared" si="71"/>
        <v>84780791</v>
      </c>
      <c r="DU37" s="275">
        <f t="shared" si="71"/>
        <v>1011986920</v>
      </c>
      <c r="DV37" s="275">
        <f t="shared" si="71"/>
        <v>161538324</v>
      </c>
      <c r="DW37" s="275">
        <f t="shared" si="71"/>
        <v>1314807500</v>
      </c>
      <c r="DX37" s="275">
        <f t="shared" si="71"/>
        <v>657762403</v>
      </c>
      <c r="DY37" s="484">
        <f t="shared" ref="DY37:EL37" si="72">+DY32+DY35</f>
        <v>512307500</v>
      </c>
      <c r="DZ37" s="484">
        <f t="shared" si="72"/>
        <v>0</v>
      </c>
      <c r="EA37" s="484">
        <f t="shared" si="72"/>
        <v>199536500</v>
      </c>
      <c r="EB37" s="484">
        <f t="shared" si="72"/>
        <v>0</v>
      </c>
      <c r="EC37" s="484">
        <f t="shared" si="72"/>
        <v>101464000</v>
      </c>
      <c r="ED37" s="484">
        <f t="shared" si="72"/>
        <v>0</v>
      </c>
      <c r="EE37" s="484">
        <f t="shared" si="72"/>
        <v>1464000</v>
      </c>
      <c r="EF37" s="484">
        <f t="shared" si="72"/>
        <v>0</v>
      </c>
      <c r="EG37" s="484">
        <f t="shared" si="72"/>
        <v>664000</v>
      </c>
      <c r="EH37" s="484">
        <f t="shared" si="72"/>
        <v>0</v>
      </c>
      <c r="EI37" s="484">
        <f t="shared" si="72"/>
        <v>0</v>
      </c>
      <c r="EJ37" s="484">
        <f t="shared" si="72"/>
        <v>0</v>
      </c>
      <c r="EK37" s="484">
        <f t="shared" si="72"/>
        <v>0</v>
      </c>
      <c r="EL37" s="484">
        <f t="shared" si="72"/>
        <v>-22388000</v>
      </c>
      <c r="EM37" s="485">
        <f t="shared" si="67"/>
        <v>4582099197</v>
      </c>
      <c r="EN37" s="485">
        <f t="shared" si="67"/>
        <v>3766663197</v>
      </c>
      <c r="EO37" s="486">
        <f t="shared" si="67"/>
        <v>1179383691</v>
      </c>
      <c r="EP37" s="487">
        <f t="shared" si="67"/>
        <v>4582099197</v>
      </c>
      <c r="EQ37" s="486">
        <f t="shared" si="67"/>
        <v>1179383691</v>
      </c>
      <c r="ER37" s="480">
        <f t="shared" si="7"/>
        <v>0.50027277985560625</v>
      </c>
      <c r="ES37" s="481">
        <f t="shared" si="8"/>
        <v>0.31311100284711757</v>
      </c>
      <c r="ET37" s="481">
        <f t="shared" si="9"/>
        <v>0.25738938427438851</v>
      </c>
      <c r="EU37" s="482">
        <f t="shared" si="11"/>
        <v>0.79749125256034814</v>
      </c>
      <c r="EV37" s="483">
        <f t="shared" si="10"/>
        <v>0.8232104341376153</v>
      </c>
      <c r="EW37" s="651"/>
      <c r="EX37" s="627"/>
      <c r="EY37" s="627"/>
      <c r="EZ37" s="629"/>
      <c r="FA37" s="627"/>
      <c r="FB37" s="625"/>
    </row>
    <row r="38" spans="1:158" ht="48.75" customHeight="1" x14ac:dyDescent="0.25">
      <c r="A38" s="642" t="s">
        <v>335</v>
      </c>
      <c r="B38" s="642">
        <v>5</v>
      </c>
      <c r="C38" s="645" t="s">
        <v>336</v>
      </c>
      <c r="D38" s="642" t="s">
        <v>178</v>
      </c>
      <c r="E38" s="642">
        <v>457</v>
      </c>
      <c r="F38" s="63" t="s">
        <v>322</v>
      </c>
      <c r="G38" s="412">
        <f>+Y38+BE38+CI38+DM38+DN38</f>
        <v>12.95</v>
      </c>
      <c r="H38" s="430">
        <v>2</v>
      </c>
      <c r="I38" s="430"/>
      <c r="J38" s="430"/>
      <c r="K38" s="430">
        <v>2</v>
      </c>
      <c r="L38" s="430">
        <v>0.5</v>
      </c>
      <c r="M38" s="430">
        <v>2</v>
      </c>
      <c r="N38" s="431">
        <v>0.5</v>
      </c>
      <c r="O38" s="430">
        <v>2</v>
      </c>
      <c r="P38" s="431">
        <v>0.5</v>
      </c>
      <c r="Q38" s="430">
        <v>2</v>
      </c>
      <c r="R38" s="431">
        <v>1</v>
      </c>
      <c r="S38" s="430">
        <v>2</v>
      </c>
      <c r="T38" s="429">
        <v>1</v>
      </c>
      <c r="U38" s="429">
        <v>2</v>
      </c>
      <c r="V38" s="412">
        <v>1.95</v>
      </c>
      <c r="W38" s="430">
        <v>2</v>
      </c>
      <c r="X38" s="430">
        <v>1.95</v>
      </c>
      <c r="Y38" s="430">
        <v>1.95</v>
      </c>
      <c r="Z38" s="430">
        <v>2</v>
      </c>
      <c r="AA38" s="430">
        <v>1.95</v>
      </c>
      <c r="AB38" s="412">
        <f>+AC38+AE38+AG38+AI38+AK38+AM38+AO38+AQ38+AS38+AU38+AW38+AY38</f>
        <v>3.0000000000000004</v>
      </c>
      <c r="AC38" s="430">
        <v>0.08</v>
      </c>
      <c r="AD38" s="414">
        <v>0.08</v>
      </c>
      <c r="AE38" s="430">
        <v>0.14000000000000001</v>
      </c>
      <c r="AF38" s="414">
        <v>0.14000000000000001</v>
      </c>
      <c r="AG38" s="412">
        <v>0.12999999999999998</v>
      </c>
      <c r="AH38" s="412">
        <v>0.12999999999999998</v>
      </c>
      <c r="AI38" s="412">
        <v>0.14000000000000007</v>
      </c>
      <c r="AJ38" s="412">
        <v>0.14000000000000007</v>
      </c>
      <c r="AK38" s="430">
        <v>0.46</v>
      </c>
      <c r="AL38" s="430">
        <v>0.46</v>
      </c>
      <c r="AM38" s="430">
        <v>0.46</v>
      </c>
      <c r="AN38" s="430">
        <v>0.46</v>
      </c>
      <c r="AO38" s="430">
        <v>0.46</v>
      </c>
      <c r="AP38" s="430">
        <v>0.46</v>
      </c>
      <c r="AQ38" s="430">
        <v>0.46</v>
      </c>
      <c r="AR38" s="430">
        <v>0.46</v>
      </c>
      <c r="AS38" s="430">
        <v>0.31</v>
      </c>
      <c r="AT38" s="430">
        <v>0.31</v>
      </c>
      <c r="AU38" s="430">
        <v>0.12</v>
      </c>
      <c r="AV38" s="430">
        <v>0.12</v>
      </c>
      <c r="AW38" s="430">
        <v>0.12</v>
      </c>
      <c r="AX38" s="430">
        <v>0.06</v>
      </c>
      <c r="AY38" s="430">
        <v>0.12</v>
      </c>
      <c r="AZ38" s="430">
        <v>0.18</v>
      </c>
      <c r="BA38" s="432">
        <f>+AC38+AE38+AG38+AI38+AK38+AM38+AO38+AQ38+AS38+AU38+AW38+AY38</f>
        <v>3.0000000000000004</v>
      </c>
      <c r="BB38" s="432">
        <f t="shared" ref="BB38:BC42" si="73">+AC38+AE38+AG38+AI38+AK38+AM38+AO38+AQ38+AS38+AU38+AW38+AY38</f>
        <v>3.0000000000000004</v>
      </c>
      <c r="BC38" s="432">
        <f t="shared" si="73"/>
        <v>3.0000000000000004</v>
      </c>
      <c r="BD38" s="432">
        <f t="shared" ref="BD38:BE42" si="74">AC38+AE38+AG38+AI38+AK38+AM38+AO38+AQ38+AS38+AU38+AW38+AY38</f>
        <v>3.0000000000000004</v>
      </c>
      <c r="BE38" s="432">
        <f t="shared" si="74"/>
        <v>3.0000000000000004</v>
      </c>
      <c r="BF38" s="412">
        <f>+BG38+BI38+BK38+BM38+BO38+BQ38+BS38+BU38+BW38+BY38+CA38+CC38</f>
        <v>2.9999999999999996</v>
      </c>
      <c r="BG38" s="412">
        <v>0.06</v>
      </c>
      <c r="BH38" s="412">
        <v>0.06</v>
      </c>
      <c r="BI38" s="412">
        <v>0.12</v>
      </c>
      <c r="BJ38" s="412">
        <v>0.12</v>
      </c>
      <c r="BK38" s="412">
        <v>0.18</v>
      </c>
      <c r="BL38" s="412">
        <v>0.18</v>
      </c>
      <c r="BM38" s="412">
        <v>0.24</v>
      </c>
      <c r="BN38" s="412">
        <v>0.24</v>
      </c>
      <c r="BO38" s="412">
        <v>0.3</v>
      </c>
      <c r="BP38" s="412">
        <v>0.3</v>
      </c>
      <c r="BQ38" s="412">
        <v>0.3</v>
      </c>
      <c r="BR38" s="412">
        <v>0.3</v>
      </c>
      <c r="BS38" s="412">
        <v>0.3</v>
      </c>
      <c r="BT38" s="412">
        <v>0.3</v>
      </c>
      <c r="BU38" s="412">
        <v>0.3</v>
      </c>
      <c r="BV38" s="412">
        <v>0.3</v>
      </c>
      <c r="BW38" s="412">
        <v>0.3</v>
      </c>
      <c r="BX38" s="412">
        <v>0.3</v>
      </c>
      <c r="BY38" s="412">
        <v>0.3</v>
      </c>
      <c r="BZ38" s="412">
        <v>0.3</v>
      </c>
      <c r="CA38" s="412">
        <v>0.3</v>
      </c>
      <c r="CB38" s="412">
        <v>0.3</v>
      </c>
      <c r="CC38" s="412">
        <v>0.3</v>
      </c>
      <c r="CD38" s="412">
        <v>0.3</v>
      </c>
      <c r="CE38" s="432">
        <f>+BG38+BI38+BK38+BM38+BO38+BQ38+BS38+BU38+BW38+BY38+CA38+CC38</f>
        <v>2.9999999999999996</v>
      </c>
      <c r="CF38" s="432">
        <f t="shared" ref="CF38:CG42" si="75">+BG38+BI38+BK38+BM38+BO38+BQ38+BS38+BU38+BW38+BY38+CA38+CC38</f>
        <v>2.9999999999999996</v>
      </c>
      <c r="CG38" s="432">
        <f t="shared" si="75"/>
        <v>2.9999999999999996</v>
      </c>
      <c r="CH38" s="432">
        <f t="shared" ref="CH38:CI42" si="76">BG38+BI38+BK38+BM38+BO38+BQ38+BS38+BU38+BW38+BY38+CA38+CC38</f>
        <v>2.9999999999999996</v>
      </c>
      <c r="CI38" s="432">
        <f t="shared" si="76"/>
        <v>2.9999999999999996</v>
      </c>
      <c r="CJ38" s="430">
        <v>3</v>
      </c>
      <c r="CK38" s="412">
        <v>0.06</v>
      </c>
      <c r="CL38" s="412">
        <v>0.06</v>
      </c>
      <c r="CM38" s="412">
        <v>0.09</v>
      </c>
      <c r="CN38" s="412">
        <v>0.09</v>
      </c>
      <c r="CO38" s="412">
        <v>0.15</v>
      </c>
      <c r="CP38" s="412">
        <v>0.15</v>
      </c>
      <c r="CQ38" s="412">
        <v>0.24</v>
      </c>
      <c r="CR38" s="412">
        <v>0.24</v>
      </c>
      <c r="CS38" s="412">
        <v>0.36</v>
      </c>
      <c r="CT38" s="412">
        <v>0.36</v>
      </c>
      <c r="CU38" s="412">
        <v>0.51</v>
      </c>
      <c r="CV38" s="412">
        <v>0.51</v>
      </c>
      <c r="CW38" s="412">
        <v>0.54</v>
      </c>
      <c r="CX38" s="412">
        <v>0.54</v>
      </c>
      <c r="CY38" s="412">
        <v>0.39</v>
      </c>
      <c r="CZ38" s="412">
        <v>0.39</v>
      </c>
      <c r="DA38" s="412">
        <v>0.27</v>
      </c>
      <c r="DB38" s="412">
        <v>0.27</v>
      </c>
      <c r="DC38" s="412">
        <v>0.18</v>
      </c>
      <c r="DD38" s="434">
        <v>0.18</v>
      </c>
      <c r="DE38" s="412">
        <v>0.12</v>
      </c>
      <c r="DF38" s="412">
        <v>0.12</v>
      </c>
      <c r="DG38" s="412">
        <v>0.09</v>
      </c>
      <c r="DH38" s="412">
        <v>0.09</v>
      </c>
      <c r="DI38" s="429">
        <f t="shared" si="38"/>
        <v>3.0000000000000004</v>
      </c>
      <c r="DJ38" s="412">
        <f>+CK38+CM38+CO38+CQ38+CS38+CU38+CW38+CY38+DA38+DC38+DE38+DG38</f>
        <v>3.0000000000000004</v>
      </c>
      <c r="DK38" s="412">
        <f>CL38+CN38+CP38+CR38+CT38+CV38+CX38+CZ38+DB38+DD38+DF38+DH38</f>
        <v>3.0000000000000004</v>
      </c>
      <c r="DL38" s="412">
        <f>+CK38+CM38+CO38+CQ38+CS38+CU38+CW38+CY38+DA38+DC38+DE38+DG38</f>
        <v>3.0000000000000004</v>
      </c>
      <c r="DM38" s="412">
        <f>CL38+CN38+CP38+CR38+CT38+CV38+CX38+CZ38+DB38+DD38+DF38+DH38</f>
        <v>3.0000000000000004</v>
      </c>
      <c r="DN38" s="430">
        <v>2</v>
      </c>
      <c r="DO38" s="463">
        <v>0.2</v>
      </c>
      <c r="DP38" s="463">
        <v>0.2</v>
      </c>
      <c r="DQ38" s="463">
        <v>0.3</v>
      </c>
      <c r="DR38" s="463">
        <v>0.3</v>
      </c>
      <c r="DS38" s="463">
        <v>0.5</v>
      </c>
      <c r="DT38" s="463">
        <v>0.5</v>
      </c>
      <c r="DU38" s="463">
        <v>0.5</v>
      </c>
      <c r="DV38" s="463">
        <v>0.5</v>
      </c>
      <c r="DW38" s="463">
        <v>0.5</v>
      </c>
      <c r="DX38" s="430">
        <v>0.5</v>
      </c>
      <c r="DY38" s="430">
        <v>0</v>
      </c>
      <c r="DZ38" s="430"/>
      <c r="EA38" s="430">
        <v>0</v>
      </c>
      <c r="EB38" s="430"/>
      <c r="EC38" s="430">
        <v>0</v>
      </c>
      <c r="ED38" s="430"/>
      <c r="EE38" s="430">
        <v>0</v>
      </c>
      <c r="EF38" s="430"/>
      <c r="EG38" s="430">
        <v>0</v>
      </c>
      <c r="EH38" s="430"/>
      <c r="EI38" s="430">
        <v>0</v>
      </c>
      <c r="EJ38" s="430"/>
      <c r="EK38" s="430">
        <v>0</v>
      </c>
      <c r="EL38" s="430"/>
      <c r="EM38" s="464">
        <f>+DO38+DQ38+DS38+DU38+DW38+DY38+EA38+EC38+EE38+EG38+EI38+EK38</f>
        <v>2</v>
      </c>
      <c r="EN38" s="464">
        <f t="shared" ref="EN38:EO42" si="77">+DO38+DQ38+DS38+DU38+DW38</f>
        <v>2</v>
      </c>
      <c r="EO38" s="464">
        <f t="shared" si="77"/>
        <v>2</v>
      </c>
      <c r="EP38" s="464">
        <f t="shared" ref="EP38:EQ42" si="78">+DO38+DQ38+DS38+DU38+DW38+DY38+EA38+EC38+EE38+EG38+EI38+EK38</f>
        <v>2</v>
      </c>
      <c r="EQ38" s="464">
        <f t="shared" si="78"/>
        <v>2</v>
      </c>
      <c r="ER38" s="473">
        <f t="shared" si="7"/>
        <v>1</v>
      </c>
      <c r="ES38" s="474">
        <f t="shared" si="8"/>
        <v>1</v>
      </c>
      <c r="ET38" s="474">
        <f t="shared" si="9"/>
        <v>1</v>
      </c>
      <c r="EU38" s="475">
        <f t="shared" si="11"/>
        <v>0.99615384615384606</v>
      </c>
      <c r="EV38" s="476">
        <f t="shared" si="10"/>
        <v>1</v>
      </c>
      <c r="EW38" s="628" t="s">
        <v>899</v>
      </c>
      <c r="EX38" s="626" t="s">
        <v>179</v>
      </c>
      <c r="EY38" s="626" t="s">
        <v>179</v>
      </c>
      <c r="EZ38" s="628" t="s">
        <v>900</v>
      </c>
      <c r="FA38" s="630" t="s">
        <v>901</v>
      </c>
      <c r="FB38" s="625">
        <f>+LEN(EW38)</f>
        <v>931</v>
      </c>
    </row>
    <row r="39" spans="1:158" ht="48.75" customHeight="1" x14ac:dyDescent="0.25">
      <c r="A39" s="604"/>
      <c r="B39" s="604"/>
      <c r="C39" s="604"/>
      <c r="D39" s="604"/>
      <c r="E39" s="604"/>
      <c r="F39" s="59" t="s">
        <v>323</v>
      </c>
      <c r="G39" s="395">
        <f>AA39+BE39+CI39+DM39+EP39</f>
        <v>1026282400</v>
      </c>
      <c r="H39" s="396">
        <v>166584000</v>
      </c>
      <c r="I39" s="396"/>
      <c r="J39" s="396"/>
      <c r="K39" s="396">
        <v>166584000</v>
      </c>
      <c r="L39" s="396">
        <v>0</v>
      </c>
      <c r="M39" s="396">
        <v>166584000</v>
      </c>
      <c r="N39" s="397">
        <v>91612000</v>
      </c>
      <c r="O39" s="396">
        <v>166584000</v>
      </c>
      <c r="P39" s="397">
        <v>91612000</v>
      </c>
      <c r="Q39" s="396">
        <v>166584000</v>
      </c>
      <c r="R39" s="397">
        <v>91612000</v>
      </c>
      <c r="S39" s="396">
        <v>166584000</v>
      </c>
      <c r="T39" s="396">
        <v>91612000</v>
      </c>
      <c r="U39" s="396">
        <v>166584000</v>
      </c>
      <c r="V39" s="396">
        <v>122884000</v>
      </c>
      <c r="W39" s="396">
        <v>166584000</v>
      </c>
      <c r="X39" s="396">
        <v>122884000</v>
      </c>
      <c r="Y39" s="396">
        <v>122884000</v>
      </c>
      <c r="Z39" s="395">
        <v>166584000</v>
      </c>
      <c r="AA39" s="395">
        <v>122884000</v>
      </c>
      <c r="AB39" s="395">
        <v>232232000</v>
      </c>
      <c r="AC39" s="395">
        <v>0</v>
      </c>
      <c r="AD39" s="395">
        <v>0</v>
      </c>
      <c r="AE39" s="395">
        <v>110340000</v>
      </c>
      <c r="AF39" s="395">
        <v>110340000</v>
      </c>
      <c r="AG39" s="395">
        <v>56565000</v>
      </c>
      <c r="AH39" s="395">
        <v>56565000</v>
      </c>
      <c r="AI39" s="395">
        <v>0</v>
      </c>
      <c r="AJ39" s="395">
        <v>0</v>
      </c>
      <c r="AK39" s="395">
        <v>0</v>
      </c>
      <c r="AL39" s="395">
        <v>0</v>
      </c>
      <c r="AM39" s="395">
        <v>0</v>
      </c>
      <c r="AN39" s="395">
        <v>0</v>
      </c>
      <c r="AO39" s="395">
        <v>0</v>
      </c>
      <c r="AP39" s="395">
        <v>0</v>
      </c>
      <c r="AQ39" s="395"/>
      <c r="AR39" s="395"/>
      <c r="AS39" s="395"/>
      <c r="AT39" s="395"/>
      <c r="AU39" s="395">
        <v>0</v>
      </c>
      <c r="AV39" s="395">
        <v>0</v>
      </c>
      <c r="AW39" s="395">
        <v>1676000</v>
      </c>
      <c r="AX39" s="395"/>
      <c r="AY39" s="395">
        <v>0</v>
      </c>
      <c r="AZ39" s="395">
        <v>0</v>
      </c>
      <c r="BA39" s="395">
        <f t="shared" ref="BA39:BA44" si="79">AC39+AE39+AG39+AI39+AK39+AM39+AO39+AQ39+AS39+AU39+AW39+AY39</f>
        <v>168581000</v>
      </c>
      <c r="BB39" s="395">
        <f t="shared" si="73"/>
        <v>168581000</v>
      </c>
      <c r="BC39" s="395">
        <f t="shared" si="73"/>
        <v>166905000</v>
      </c>
      <c r="BD39" s="395">
        <f t="shared" si="74"/>
        <v>168581000</v>
      </c>
      <c r="BE39" s="395">
        <f t="shared" si="74"/>
        <v>166905000</v>
      </c>
      <c r="BF39" s="395">
        <v>173190000</v>
      </c>
      <c r="BG39" s="395">
        <v>171954000</v>
      </c>
      <c r="BH39" s="395">
        <v>171954000</v>
      </c>
      <c r="BI39" s="395"/>
      <c r="BJ39" s="395"/>
      <c r="BK39" s="395"/>
      <c r="BL39" s="395"/>
      <c r="BM39" s="395"/>
      <c r="BN39" s="395"/>
      <c r="BO39" s="395"/>
      <c r="BP39" s="395"/>
      <c r="BQ39" s="395"/>
      <c r="BR39" s="395"/>
      <c r="BS39" s="395"/>
      <c r="BT39" s="395"/>
      <c r="BU39" s="395"/>
      <c r="BV39" s="395"/>
      <c r="BW39" s="395"/>
      <c r="BX39" s="395"/>
      <c r="BY39" s="395"/>
      <c r="BZ39" s="395"/>
      <c r="CA39" s="395">
        <v>14647933</v>
      </c>
      <c r="CB39" s="395"/>
      <c r="CC39" s="395">
        <v>0</v>
      </c>
      <c r="CD39" s="395">
        <v>14647933</v>
      </c>
      <c r="CE39" s="395">
        <f t="shared" ref="CE39:CE44" si="80">BG39+BI39+BK39+BM39+BO39+BQ39+BS39+BU39+BW39+BY39+CA39+CC39</f>
        <v>186601933</v>
      </c>
      <c r="CF39" s="395">
        <f t="shared" si="75"/>
        <v>186601933</v>
      </c>
      <c r="CG39" s="395">
        <f t="shared" si="75"/>
        <v>186601933</v>
      </c>
      <c r="CH39" s="395">
        <f t="shared" si="76"/>
        <v>186601933</v>
      </c>
      <c r="CI39" s="395">
        <f t="shared" si="76"/>
        <v>186601933</v>
      </c>
      <c r="CJ39" s="395">
        <v>115148000</v>
      </c>
      <c r="CK39" s="395"/>
      <c r="CL39" s="395"/>
      <c r="CM39" s="395">
        <v>104680000</v>
      </c>
      <c r="CN39" s="395">
        <v>104680000</v>
      </c>
      <c r="CO39" s="395"/>
      <c r="CP39" s="395"/>
      <c r="CQ39" s="395"/>
      <c r="CR39" s="395"/>
      <c r="CS39" s="395"/>
      <c r="CT39" s="395"/>
      <c r="CU39" s="395">
        <v>98928000</v>
      </c>
      <c r="CV39" s="395">
        <v>0</v>
      </c>
      <c r="CW39" s="395"/>
      <c r="CX39" s="395">
        <v>90030000</v>
      </c>
      <c r="CY39" s="395"/>
      <c r="CZ39" s="395">
        <v>0</v>
      </c>
      <c r="DA39" s="395"/>
      <c r="DB39" s="395">
        <v>0</v>
      </c>
      <c r="DC39" s="395">
        <v>-8898000</v>
      </c>
      <c r="DD39" s="399">
        <v>0</v>
      </c>
      <c r="DE39" s="395">
        <v>28360467</v>
      </c>
      <c r="DF39" s="395">
        <v>0</v>
      </c>
      <c r="DG39" s="395">
        <v>0</v>
      </c>
      <c r="DH39" s="395">
        <v>28360467</v>
      </c>
      <c r="DI39" s="395">
        <f t="shared" si="38"/>
        <v>223070467</v>
      </c>
      <c r="DJ39" s="415">
        <f>+CK39+CM39+CO39+CQ39+CS39+CU39+CW39+CY39+DA39+DC39+DE39+DG39</f>
        <v>223070467</v>
      </c>
      <c r="DK39" s="395">
        <f>CL39+CN39+CP39+CR39+CT39+CV39+CX39+CZ39+DB39+DD39+DF39+DH39</f>
        <v>223070467</v>
      </c>
      <c r="DL39" s="395">
        <f>+CK39+CM39+CO39+CQ39+CS39+CU39+CW39+CY39+DA39+DC39+DE39+DG39</f>
        <v>223070467</v>
      </c>
      <c r="DM39" s="395">
        <f>CL39+CN39+CP39+CR39+CT39+CV39+CX39+CZ39+DB39+DD39+DF39+DH39</f>
        <v>223070467</v>
      </c>
      <c r="DN39" s="395">
        <v>326821000</v>
      </c>
      <c r="DO39" s="396">
        <v>96198000</v>
      </c>
      <c r="DP39" s="396">
        <v>42789000</v>
      </c>
      <c r="DQ39" s="396"/>
      <c r="DR39" s="396">
        <v>49035000</v>
      </c>
      <c r="DS39" s="396"/>
      <c r="DT39" s="396">
        <v>0</v>
      </c>
      <c r="DU39" s="396">
        <v>230623000</v>
      </c>
      <c r="DV39" s="396">
        <v>36352000</v>
      </c>
      <c r="DW39" s="396"/>
      <c r="DX39" s="396">
        <v>92304000</v>
      </c>
      <c r="DY39" s="396"/>
      <c r="DZ39" s="396"/>
      <c r="EA39" s="396"/>
      <c r="EB39" s="396"/>
      <c r="EC39" s="396"/>
      <c r="ED39" s="396"/>
      <c r="EE39" s="396"/>
      <c r="EF39" s="396"/>
      <c r="EG39" s="396"/>
      <c r="EH39" s="396"/>
      <c r="EI39" s="396"/>
      <c r="EJ39" s="396"/>
      <c r="EK39" s="396"/>
      <c r="EL39" s="396"/>
      <c r="EM39" s="397">
        <f>+DO39+DQ39+DS39+DU39+DW39+DY39+EA39+EC39+EE39+EG39+EI39+EK39</f>
        <v>326821000</v>
      </c>
      <c r="EN39" s="397">
        <f t="shared" si="77"/>
        <v>326821000</v>
      </c>
      <c r="EO39" s="397">
        <f t="shared" si="77"/>
        <v>220480000</v>
      </c>
      <c r="EP39" s="397">
        <f t="shared" si="78"/>
        <v>326821000</v>
      </c>
      <c r="EQ39" s="397">
        <f t="shared" si="78"/>
        <v>220480000</v>
      </c>
      <c r="ER39" s="391">
        <f t="shared" si="7"/>
        <v>0</v>
      </c>
      <c r="ES39" s="392">
        <f t="shared" si="8"/>
        <v>0.67462005195504571</v>
      </c>
      <c r="ET39" s="392">
        <f t="shared" si="9"/>
        <v>0.67462005195504571</v>
      </c>
      <c r="EU39" s="393">
        <f t="shared" si="11"/>
        <v>0.85842783483990792</v>
      </c>
      <c r="EV39" s="394">
        <f t="shared" si="10"/>
        <v>0.89638232127921125</v>
      </c>
      <c r="EW39" s="629"/>
      <c r="EX39" s="627"/>
      <c r="EY39" s="627"/>
      <c r="EZ39" s="629"/>
      <c r="FA39" s="627"/>
      <c r="FB39" s="625"/>
    </row>
    <row r="40" spans="1:158" ht="48.75" customHeight="1" x14ac:dyDescent="0.25">
      <c r="A40" s="604"/>
      <c r="B40" s="604"/>
      <c r="C40" s="604"/>
      <c r="D40" s="604"/>
      <c r="E40" s="604"/>
      <c r="F40" s="60" t="s">
        <v>324</v>
      </c>
      <c r="G40" s="395"/>
      <c r="H40" s="396"/>
      <c r="I40" s="396"/>
      <c r="J40" s="396"/>
      <c r="K40" s="396"/>
      <c r="L40" s="396"/>
      <c r="M40" s="396"/>
      <c r="N40" s="397"/>
      <c r="O40" s="396"/>
      <c r="P40" s="397"/>
      <c r="Q40" s="396"/>
      <c r="R40" s="397"/>
      <c r="S40" s="396"/>
      <c r="T40" s="396"/>
      <c r="U40" s="396"/>
      <c r="V40" s="396"/>
      <c r="W40" s="396"/>
      <c r="X40" s="396"/>
      <c r="Y40" s="396"/>
      <c r="Z40" s="395"/>
      <c r="AA40" s="395"/>
      <c r="AB40" s="395">
        <f>+AC40+AE40+AG40+AI40+AK40+AM40+AO40+AQ40+AS40+AU40+AW40+AY40</f>
        <v>168581000</v>
      </c>
      <c r="AC40" s="395">
        <v>0</v>
      </c>
      <c r="AD40" s="395">
        <v>0</v>
      </c>
      <c r="AE40" s="395">
        <v>0</v>
      </c>
      <c r="AF40" s="395">
        <v>0</v>
      </c>
      <c r="AG40" s="395">
        <v>0</v>
      </c>
      <c r="AH40" s="395">
        <v>0</v>
      </c>
      <c r="AI40" s="395">
        <v>14018200</v>
      </c>
      <c r="AJ40" s="395">
        <v>14018200</v>
      </c>
      <c r="AK40" s="395">
        <v>17319000</v>
      </c>
      <c r="AL40" s="395">
        <v>17319000</v>
      </c>
      <c r="AM40" s="395">
        <v>17319000</v>
      </c>
      <c r="AN40" s="395">
        <v>17319000</v>
      </c>
      <c r="AO40" s="395">
        <v>17319000</v>
      </c>
      <c r="AP40" s="395">
        <v>17319000</v>
      </c>
      <c r="AQ40" s="395">
        <v>17319000</v>
      </c>
      <c r="AR40" s="395">
        <v>17319000</v>
      </c>
      <c r="AS40" s="395">
        <v>17319000</v>
      </c>
      <c r="AT40" s="395">
        <v>17319000</v>
      </c>
      <c r="AU40" s="395">
        <v>17319000</v>
      </c>
      <c r="AV40" s="395">
        <v>17319000</v>
      </c>
      <c r="AW40" s="395">
        <v>17319000</v>
      </c>
      <c r="AX40" s="395">
        <v>17319000</v>
      </c>
      <c r="AY40" s="395">
        <v>33329800</v>
      </c>
      <c r="AZ40" s="395"/>
      <c r="BA40" s="395">
        <f t="shared" si="79"/>
        <v>168581000</v>
      </c>
      <c r="BB40" s="395">
        <f t="shared" si="73"/>
        <v>168581000</v>
      </c>
      <c r="BC40" s="395">
        <f t="shared" si="73"/>
        <v>135251200</v>
      </c>
      <c r="BD40" s="395">
        <f t="shared" si="74"/>
        <v>168581000</v>
      </c>
      <c r="BE40" s="395">
        <f t="shared" si="74"/>
        <v>135251200</v>
      </c>
      <c r="BF40" s="395">
        <v>173190000</v>
      </c>
      <c r="BG40" s="395"/>
      <c r="BH40" s="395"/>
      <c r="BI40" s="395"/>
      <c r="BJ40" s="395">
        <v>0</v>
      </c>
      <c r="BK40" s="395">
        <v>19106000</v>
      </c>
      <c r="BL40" s="395">
        <v>9553000</v>
      </c>
      <c r="BM40" s="395">
        <v>19106000</v>
      </c>
      <c r="BN40" s="395">
        <v>28659000</v>
      </c>
      <c r="BO40" s="395">
        <v>19106000</v>
      </c>
      <c r="BP40" s="395">
        <v>9553000</v>
      </c>
      <c r="BQ40" s="395">
        <v>19106000</v>
      </c>
      <c r="BR40" s="395">
        <v>9553000</v>
      </c>
      <c r="BS40" s="395">
        <v>19106000</v>
      </c>
      <c r="BT40" s="395">
        <v>9553000</v>
      </c>
      <c r="BU40" s="395">
        <v>19106000</v>
      </c>
      <c r="BV40" s="395">
        <v>38212000</v>
      </c>
      <c r="BW40" s="395">
        <v>19106000</v>
      </c>
      <c r="BX40" s="395">
        <v>9553000</v>
      </c>
      <c r="BY40" s="395">
        <v>19106000</v>
      </c>
      <c r="BZ40" s="395">
        <v>28659000</v>
      </c>
      <c r="CA40" s="395">
        <v>9553000</v>
      </c>
      <c r="CB40" s="395">
        <v>9553000</v>
      </c>
      <c r="CC40" s="395">
        <v>24200933</v>
      </c>
      <c r="CD40" s="395">
        <v>19106000</v>
      </c>
      <c r="CE40" s="395">
        <f t="shared" si="80"/>
        <v>186601933</v>
      </c>
      <c r="CF40" s="395">
        <f t="shared" si="75"/>
        <v>186601933</v>
      </c>
      <c r="CG40" s="395">
        <f t="shared" si="75"/>
        <v>171954000</v>
      </c>
      <c r="CH40" s="395">
        <f t="shared" si="76"/>
        <v>186601933</v>
      </c>
      <c r="CI40" s="395">
        <f t="shared" si="76"/>
        <v>171954000</v>
      </c>
      <c r="CJ40" s="395"/>
      <c r="CK40" s="395"/>
      <c r="CL40" s="395"/>
      <c r="CM40" s="395"/>
      <c r="CN40" s="395"/>
      <c r="CO40" s="395">
        <v>2093600</v>
      </c>
      <c r="CP40" s="395">
        <v>2093600</v>
      </c>
      <c r="CQ40" s="395">
        <v>10468000</v>
      </c>
      <c r="CR40" s="395">
        <v>10468000</v>
      </c>
      <c r="CS40" s="395">
        <v>10468000</v>
      </c>
      <c r="CT40" s="395">
        <v>10468000</v>
      </c>
      <c r="CU40" s="395">
        <v>10468000</v>
      </c>
      <c r="CV40" s="395">
        <v>10468000</v>
      </c>
      <c r="CW40" s="395">
        <v>10468000</v>
      </c>
      <c r="CX40" s="395">
        <v>10468000</v>
      </c>
      <c r="CY40" s="395">
        <v>10468000</v>
      </c>
      <c r="CZ40" s="395">
        <v>20858200</v>
      </c>
      <c r="DA40" s="395">
        <v>10468000</v>
      </c>
      <c r="DB40" s="395">
        <v>26956000</v>
      </c>
      <c r="DC40" s="395">
        <v>10468000</v>
      </c>
      <c r="DD40" s="399">
        <v>26956000</v>
      </c>
      <c r="DE40" s="395">
        <v>10468000</v>
      </c>
      <c r="DF40" s="395">
        <v>26956000</v>
      </c>
      <c r="DG40" s="395">
        <v>137232867</v>
      </c>
      <c r="DH40" s="395">
        <v>43444000</v>
      </c>
      <c r="DI40" s="395">
        <f t="shared" si="38"/>
        <v>223070467</v>
      </c>
      <c r="DJ40" s="415">
        <f>+CK40+CM40+CO40+CQ40+CS40+CU40+CW40+CY40+DA40+DC40+DE40+DG40</f>
        <v>223070467</v>
      </c>
      <c r="DK40" s="395">
        <f>CL40+CN40+CP40+CR40+CT40+CV40+CX40+CZ40+DB40+DD40+DF40+DH40</f>
        <v>189135800</v>
      </c>
      <c r="DL40" s="395">
        <f>+CK40+CM40+CO40+CQ40+CS40+CU40+CW40+CY40+DA40+DC40+DE40+DG40</f>
        <v>223070467</v>
      </c>
      <c r="DM40" s="395">
        <f>CL40+CN40+CP40+CR40+CT40+CV40+CX40+CZ40+DB40+DD40+DF40+DH40</f>
        <v>189135800</v>
      </c>
      <c r="DN40" s="395">
        <v>326821000</v>
      </c>
      <c r="DO40" s="396"/>
      <c r="DP40" s="396"/>
      <c r="DQ40" s="396">
        <v>3846000</v>
      </c>
      <c r="DR40" s="396">
        <v>3489333</v>
      </c>
      <c r="DS40" s="396">
        <v>29711000</v>
      </c>
      <c r="DT40" s="396">
        <v>25249800</v>
      </c>
      <c r="DU40" s="396">
        <v>29711000</v>
      </c>
      <c r="DV40" s="396">
        <v>24070000</v>
      </c>
      <c r="DW40" s="396">
        <v>29711000</v>
      </c>
      <c r="DX40" s="396">
        <v>20420867</v>
      </c>
      <c r="DY40" s="396">
        <v>29711000</v>
      </c>
      <c r="DZ40" s="396"/>
      <c r="EA40" s="396">
        <v>29711000</v>
      </c>
      <c r="EB40" s="396"/>
      <c r="EC40" s="396">
        <v>29711000</v>
      </c>
      <c r="ED40" s="396"/>
      <c r="EE40" s="396">
        <v>29711000</v>
      </c>
      <c r="EF40" s="396"/>
      <c r="EG40" s="396">
        <v>29711000</v>
      </c>
      <c r="EH40" s="396"/>
      <c r="EI40" s="396">
        <v>29711000</v>
      </c>
      <c r="EJ40" s="396"/>
      <c r="EK40" s="396">
        <v>55576000</v>
      </c>
      <c r="EL40" s="396"/>
      <c r="EM40" s="397">
        <f>+DO40+DQ40+DS40+DU40+DW40+DY40+EA40+EC40+EE40+EG40+EI40+EK40</f>
        <v>326821000</v>
      </c>
      <c r="EN40" s="397">
        <f t="shared" si="77"/>
        <v>92979000</v>
      </c>
      <c r="EO40" s="397">
        <f t="shared" si="77"/>
        <v>73230000</v>
      </c>
      <c r="EP40" s="397">
        <f t="shared" si="78"/>
        <v>326821000</v>
      </c>
      <c r="EQ40" s="397">
        <f t="shared" si="78"/>
        <v>73230000</v>
      </c>
      <c r="ER40" s="391">
        <f t="shared" si="7"/>
        <v>0.68731671771397795</v>
      </c>
      <c r="ES40" s="392">
        <f t="shared" si="8"/>
        <v>0.78759719936759909</v>
      </c>
      <c r="ET40" s="392">
        <f t="shared" si="9"/>
        <v>0.22406760887458271</v>
      </c>
      <c r="EU40" s="393">
        <f t="shared" si="11"/>
        <v>0.84854515366063976</v>
      </c>
      <c r="EV40" s="394">
        <f>IFERROR((AA40+BE40+CI40+DM40+EQ40)/G40,0)</f>
        <v>0</v>
      </c>
      <c r="EW40" s="629"/>
      <c r="EX40" s="627"/>
      <c r="EY40" s="627"/>
      <c r="EZ40" s="629"/>
      <c r="FA40" s="627"/>
      <c r="FB40" s="625"/>
    </row>
    <row r="41" spans="1:158" ht="48.75" customHeight="1" x14ac:dyDescent="0.25">
      <c r="A41" s="604"/>
      <c r="B41" s="604"/>
      <c r="C41" s="604"/>
      <c r="D41" s="604"/>
      <c r="E41" s="604"/>
      <c r="F41" s="58" t="s">
        <v>325</v>
      </c>
      <c r="G41" s="379">
        <f>AA41+BE41+CI41+DL41+DN41</f>
        <v>0.05</v>
      </c>
      <c r="H41" s="402"/>
      <c r="I41" s="402"/>
      <c r="J41" s="402"/>
      <c r="K41" s="402"/>
      <c r="L41" s="403"/>
      <c r="M41" s="402"/>
      <c r="N41" s="403"/>
      <c r="O41" s="402"/>
      <c r="P41" s="403"/>
      <c r="Q41" s="402"/>
      <c r="R41" s="403"/>
      <c r="S41" s="402"/>
      <c r="T41" s="402"/>
      <c r="U41" s="402"/>
      <c r="V41" s="402"/>
      <c r="W41" s="402"/>
      <c r="X41" s="402"/>
      <c r="Y41" s="402"/>
      <c r="Z41" s="402"/>
      <c r="AA41" s="402"/>
      <c r="AB41" s="438">
        <f>+AC41+AE41+AG41+AI41+AK41+AM41+AO41+AQ41+AS41+AU41+AW41+AY41</f>
        <v>0.05</v>
      </c>
      <c r="AC41" s="438">
        <v>0.01</v>
      </c>
      <c r="AD41" s="384">
        <v>0.01</v>
      </c>
      <c r="AE41" s="438">
        <v>0.01</v>
      </c>
      <c r="AF41" s="438">
        <v>0.01</v>
      </c>
      <c r="AG41" s="438">
        <v>0.02</v>
      </c>
      <c r="AH41" s="438">
        <v>0.02</v>
      </c>
      <c r="AI41" s="438">
        <v>0.01</v>
      </c>
      <c r="AJ41" s="385">
        <v>0.01</v>
      </c>
      <c r="AK41" s="406">
        <v>0</v>
      </c>
      <c r="AL41" s="406">
        <v>0</v>
      </c>
      <c r="AM41" s="406">
        <v>0</v>
      </c>
      <c r="AN41" s="406">
        <v>0</v>
      </c>
      <c r="AO41" s="406">
        <v>0</v>
      </c>
      <c r="AP41" s="406">
        <v>0</v>
      </c>
      <c r="AQ41" s="406">
        <v>0</v>
      </c>
      <c r="AR41" s="406">
        <v>0</v>
      </c>
      <c r="AS41" s="406">
        <v>0</v>
      </c>
      <c r="AT41" s="406">
        <v>0</v>
      </c>
      <c r="AU41" s="406">
        <v>0</v>
      </c>
      <c r="AV41" s="406">
        <v>0</v>
      </c>
      <c r="AW41" s="406">
        <v>0</v>
      </c>
      <c r="AX41" s="406">
        <v>0</v>
      </c>
      <c r="AY41" s="406">
        <v>0</v>
      </c>
      <c r="AZ41" s="406">
        <v>0</v>
      </c>
      <c r="BA41" s="385">
        <f t="shared" si="79"/>
        <v>0.05</v>
      </c>
      <c r="BB41" s="385">
        <f t="shared" si="73"/>
        <v>0.05</v>
      </c>
      <c r="BC41" s="385">
        <f t="shared" si="73"/>
        <v>0.05</v>
      </c>
      <c r="BD41" s="385">
        <f t="shared" si="74"/>
        <v>0.05</v>
      </c>
      <c r="BE41" s="385">
        <f t="shared" si="74"/>
        <v>0.05</v>
      </c>
      <c r="BF41" s="406"/>
      <c r="BG41" s="402"/>
      <c r="BH41" s="402"/>
      <c r="BI41" s="402"/>
      <c r="BJ41" s="402"/>
      <c r="BK41" s="402"/>
      <c r="BL41" s="402"/>
      <c r="BM41" s="402"/>
      <c r="BN41" s="402"/>
      <c r="BO41" s="402"/>
      <c r="BP41" s="402"/>
      <c r="BQ41" s="402"/>
      <c r="BR41" s="402"/>
      <c r="BS41" s="402"/>
      <c r="BT41" s="402"/>
      <c r="BU41" s="402"/>
      <c r="BV41" s="402"/>
      <c r="BW41" s="402"/>
      <c r="BX41" s="402"/>
      <c r="BY41" s="402"/>
      <c r="BZ41" s="402"/>
      <c r="CA41" s="402"/>
      <c r="CB41" s="402"/>
      <c r="CC41" s="402"/>
      <c r="CD41" s="402"/>
      <c r="CE41" s="451">
        <f t="shared" si="80"/>
        <v>0</v>
      </c>
      <c r="CF41" s="406">
        <f t="shared" si="75"/>
        <v>0</v>
      </c>
      <c r="CG41" s="451">
        <f t="shared" si="75"/>
        <v>0</v>
      </c>
      <c r="CH41" s="451">
        <f t="shared" si="76"/>
        <v>0</v>
      </c>
      <c r="CI41" s="451">
        <f t="shared" si="76"/>
        <v>0</v>
      </c>
      <c r="CJ41" s="402"/>
      <c r="CK41" s="402"/>
      <c r="CL41" s="402"/>
      <c r="CM41" s="402"/>
      <c r="CN41" s="402"/>
      <c r="CO41" s="402"/>
      <c r="CP41" s="402"/>
      <c r="CQ41" s="402"/>
      <c r="CR41" s="402"/>
      <c r="CS41" s="402"/>
      <c r="CT41" s="402"/>
      <c r="CU41" s="402"/>
      <c r="CV41" s="402">
        <v>0</v>
      </c>
      <c r="CW41" s="402"/>
      <c r="CX41" s="402">
        <v>0</v>
      </c>
      <c r="CY41" s="402"/>
      <c r="CZ41" s="402">
        <v>0</v>
      </c>
      <c r="DA41" s="402"/>
      <c r="DB41" s="402">
        <v>0</v>
      </c>
      <c r="DC41" s="402"/>
      <c r="DD41" s="408">
        <v>0</v>
      </c>
      <c r="DE41" s="402"/>
      <c r="DF41" s="402">
        <v>0</v>
      </c>
      <c r="DG41" s="402"/>
      <c r="DH41" s="402"/>
      <c r="DI41" s="380">
        <f t="shared" si="38"/>
        <v>0</v>
      </c>
      <c r="DJ41" s="412">
        <f>+CK41+CM41+CO41+CQ41+CS41+CU41+CW41+CY41+DA41+DC41+DE41+DG41</f>
        <v>0</v>
      </c>
      <c r="DK41" s="380">
        <f>CL41+CN41+CP41+CR41+CT41+CV41+CX41+CX41+CX41+CZ41+DB41+DD41+DF41+DH41</f>
        <v>0</v>
      </c>
      <c r="DL41" s="380">
        <f>+CK41+CM41+CO41+CQ41+CS41+CU41+CW41+CY41+DA41+DC41+DE41+DG41</f>
        <v>0</v>
      </c>
      <c r="DM41" s="380">
        <f>CL41+CN41+CP41+CR41+CT41+CV41+CX41+CX41+CX41+CZ41+DB41+DD41+DF41+DH41</f>
        <v>0</v>
      </c>
      <c r="DN41" s="406">
        <v>0</v>
      </c>
      <c r="DO41" s="402"/>
      <c r="DP41" s="402"/>
      <c r="DQ41" s="402"/>
      <c r="DR41" s="406">
        <v>0</v>
      </c>
      <c r="DS41" s="402"/>
      <c r="DT41" s="402">
        <v>0</v>
      </c>
      <c r="DU41" s="402"/>
      <c r="DV41" s="402">
        <v>0</v>
      </c>
      <c r="DW41" s="402"/>
      <c r="DX41" s="402">
        <v>0</v>
      </c>
      <c r="DY41" s="402"/>
      <c r="DZ41" s="402"/>
      <c r="EA41" s="402"/>
      <c r="EB41" s="402"/>
      <c r="EC41" s="402"/>
      <c r="ED41" s="402"/>
      <c r="EE41" s="402"/>
      <c r="EF41" s="402"/>
      <c r="EG41" s="402"/>
      <c r="EH41" s="402"/>
      <c r="EI41" s="402"/>
      <c r="EJ41" s="402"/>
      <c r="EK41" s="402"/>
      <c r="EL41" s="402"/>
      <c r="EM41" s="411">
        <f>+DO41+DQ41+DS41+DU41+DW41+DY41+EA41+EC41+EE41+EG41+EI41+EK41</f>
        <v>0</v>
      </c>
      <c r="EN41" s="411">
        <f t="shared" si="77"/>
        <v>0</v>
      </c>
      <c r="EO41" s="411">
        <f t="shared" si="77"/>
        <v>0</v>
      </c>
      <c r="EP41" s="438">
        <f t="shared" si="78"/>
        <v>0</v>
      </c>
      <c r="EQ41" s="384">
        <f t="shared" si="78"/>
        <v>0</v>
      </c>
      <c r="ER41" s="391">
        <f t="shared" si="7"/>
        <v>0</v>
      </c>
      <c r="ES41" s="392">
        <f>IFERROR(EO41/EN41,0)</f>
        <v>0</v>
      </c>
      <c r="ET41" s="392">
        <f>IFERROR(EQ41/EP41,0)</f>
        <v>0</v>
      </c>
      <c r="EU41" s="393">
        <f t="shared" si="11"/>
        <v>1</v>
      </c>
      <c r="EV41" s="394">
        <f t="shared" si="10"/>
        <v>1</v>
      </c>
      <c r="EW41" s="629"/>
      <c r="EX41" s="627"/>
      <c r="EY41" s="627"/>
      <c r="EZ41" s="629"/>
      <c r="FA41" s="627"/>
      <c r="FB41" s="625"/>
    </row>
    <row r="42" spans="1:158" ht="48.75" customHeight="1" x14ac:dyDescent="0.25">
      <c r="A42" s="604"/>
      <c r="B42" s="604"/>
      <c r="C42" s="604"/>
      <c r="D42" s="604"/>
      <c r="E42" s="604"/>
      <c r="F42" s="59" t="s">
        <v>326</v>
      </c>
      <c r="G42" s="395">
        <f>AA42+BE42+CI42+DM42+EP42</f>
        <v>95799300</v>
      </c>
      <c r="H42" s="402"/>
      <c r="I42" s="402"/>
      <c r="J42" s="402"/>
      <c r="K42" s="402"/>
      <c r="L42" s="397"/>
      <c r="M42" s="402"/>
      <c r="N42" s="397"/>
      <c r="O42" s="402"/>
      <c r="P42" s="397"/>
      <c r="Q42" s="402"/>
      <c r="R42" s="397"/>
      <c r="S42" s="402"/>
      <c r="T42" s="402"/>
      <c r="U42" s="402"/>
      <c r="V42" s="402"/>
      <c r="W42" s="402"/>
      <c r="X42" s="402"/>
      <c r="Y42" s="402"/>
      <c r="Z42" s="395"/>
      <c r="AA42" s="395"/>
      <c r="AB42" s="395">
        <v>44198733</v>
      </c>
      <c r="AC42" s="395">
        <v>10775000</v>
      </c>
      <c r="AD42" s="395">
        <v>10775000</v>
      </c>
      <c r="AE42" s="395">
        <v>4861000</v>
      </c>
      <c r="AF42" s="395">
        <v>4861000</v>
      </c>
      <c r="AG42" s="395">
        <v>16187600</v>
      </c>
      <c r="AH42" s="395">
        <v>16187600</v>
      </c>
      <c r="AI42" s="395">
        <v>6319300</v>
      </c>
      <c r="AJ42" s="395">
        <v>6319300</v>
      </c>
      <c r="AK42" s="395"/>
      <c r="AL42" s="395"/>
      <c r="AM42" s="395"/>
      <c r="AN42" s="395"/>
      <c r="AO42" s="395"/>
      <c r="AP42" s="395"/>
      <c r="AQ42" s="395"/>
      <c r="AR42" s="395"/>
      <c r="AS42" s="395"/>
      <c r="AT42" s="395"/>
      <c r="AU42" s="395"/>
      <c r="AV42" s="395"/>
      <c r="AW42" s="395"/>
      <c r="AX42" s="395"/>
      <c r="AY42" s="395"/>
      <c r="AZ42" s="395"/>
      <c r="BA42" s="395">
        <f t="shared" si="79"/>
        <v>38142900</v>
      </c>
      <c r="BB42" s="395">
        <f t="shared" si="73"/>
        <v>38142900</v>
      </c>
      <c r="BC42" s="395">
        <f t="shared" si="73"/>
        <v>38142900</v>
      </c>
      <c r="BD42" s="395">
        <f t="shared" si="74"/>
        <v>38142900</v>
      </c>
      <c r="BE42" s="395">
        <f t="shared" si="74"/>
        <v>38142900</v>
      </c>
      <c r="BF42" s="395">
        <v>9073800</v>
      </c>
      <c r="BG42" s="395">
        <v>0</v>
      </c>
      <c r="BH42" s="395">
        <v>0</v>
      </c>
      <c r="BI42" s="395">
        <v>9073800</v>
      </c>
      <c r="BJ42" s="395">
        <v>0</v>
      </c>
      <c r="BK42" s="395"/>
      <c r="BL42" s="395">
        <v>9073800</v>
      </c>
      <c r="BM42" s="395"/>
      <c r="BN42" s="395"/>
      <c r="BO42" s="395">
        <v>-22580000</v>
      </c>
      <c r="BP42" s="395">
        <v>0</v>
      </c>
      <c r="BQ42" s="395"/>
      <c r="BR42" s="395"/>
      <c r="BS42" s="395"/>
      <c r="BT42" s="395"/>
      <c r="BU42" s="395"/>
      <c r="BV42" s="395"/>
      <c r="BW42" s="395"/>
      <c r="BX42" s="395"/>
      <c r="BY42" s="395"/>
      <c r="BZ42" s="395"/>
      <c r="CA42" s="395"/>
      <c r="CB42" s="395"/>
      <c r="CC42" s="395">
        <v>22580000</v>
      </c>
      <c r="CD42" s="395"/>
      <c r="CE42" s="395">
        <f t="shared" si="80"/>
        <v>9073800</v>
      </c>
      <c r="CF42" s="395">
        <f t="shared" si="75"/>
        <v>9073800</v>
      </c>
      <c r="CG42" s="395">
        <f t="shared" si="75"/>
        <v>9073800</v>
      </c>
      <c r="CH42" s="395">
        <f t="shared" si="76"/>
        <v>9073800</v>
      </c>
      <c r="CI42" s="395">
        <f t="shared" si="76"/>
        <v>9073800</v>
      </c>
      <c r="CJ42" s="395">
        <v>14647933</v>
      </c>
      <c r="CK42" s="395">
        <v>9553000</v>
      </c>
      <c r="CL42" s="395">
        <v>9553000</v>
      </c>
      <c r="CM42" s="395">
        <v>5094933</v>
      </c>
      <c r="CN42" s="395">
        <v>5094933</v>
      </c>
      <c r="CO42" s="395"/>
      <c r="CP42" s="395"/>
      <c r="CQ42" s="395"/>
      <c r="CR42" s="395"/>
      <c r="CS42" s="395"/>
      <c r="CT42" s="395"/>
      <c r="CU42" s="395"/>
      <c r="CV42" s="395">
        <v>0</v>
      </c>
      <c r="CW42" s="395"/>
      <c r="CX42" s="395">
        <v>0</v>
      </c>
      <c r="CY42" s="395"/>
      <c r="CZ42" s="395">
        <v>0</v>
      </c>
      <c r="DA42" s="395"/>
      <c r="DB42" s="395">
        <v>0</v>
      </c>
      <c r="DC42" s="395"/>
      <c r="DD42" s="399">
        <v>0</v>
      </c>
      <c r="DE42" s="395"/>
      <c r="DF42" s="395">
        <v>0</v>
      </c>
      <c r="DG42" s="395"/>
      <c r="DH42" s="395"/>
      <c r="DI42" s="395">
        <f t="shared" si="38"/>
        <v>14647933</v>
      </c>
      <c r="DJ42" s="415">
        <f>+CK42+CM42+CO42+CQ42+CS42+CU42+CW42+CY42+DA42+DC42+DE42+DG42</f>
        <v>14647933</v>
      </c>
      <c r="DK42" s="395">
        <f>CL42+CN42+CP42+CR42+CT42+CV42+CX42+CX42+CX42+CZ42+DB42+DD42+DF42+DH42</f>
        <v>14647933</v>
      </c>
      <c r="DL42" s="395">
        <f>+CK42+CM42+CO42+CQ42+CS42+CU42+CW42+CY42+DA42+DC42+DE42+DG42</f>
        <v>14647933</v>
      </c>
      <c r="DM42" s="395">
        <f>CL42+CN42+CP42+CR42+CT42+CV42+CX42+CX42+CX42+CZ42+DB42+DD42+DF42+DH42</f>
        <v>14647933</v>
      </c>
      <c r="DN42" s="395">
        <v>33934667</v>
      </c>
      <c r="DO42" s="396">
        <v>10468000</v>
      </c>
      <c r="DP42" s="396">
        <v>10468000</v>
      </c>
      <c r="DQ42" s="396">
        <v>23466667</v>
      </c>
      <c r="DR42" s="396">
        <v>23466667</v>
      </c>
      <c r="DS42" s="396"/>
      <c r="DT42" s="396">
        <v>0</v>
      </c>
      <c r="DU42" s="396"/>
      <c r="DV42" s="396">
        <v>0</v>
      </c>
      <c r="DW42" s="396"/>
      <c r="DX42" s="396">
        <v>0</v>
      </c>
      <c r="DY42" s="396"/>
      <c r="DZ42" s="396"/>
      <c r="EA42" s="396"/>
      <c r="EB42" s="402"/>
      <c r="EC42" s="402"/>
      <c r="ED42" s="402"/>
      <c r="EE42" s="402"/>
      <c r="EF42" s="402"/>
      <c r="EG42" s="402"/>
      <c r="EH42" s="402"/>
      <c r="EI42" s="402"/>
      <c r="EJ42" s="402"/>
      <c r="EK42" s="402"/>
      <c r="EL42" s="402"/>
      <c r="EM42" s="397">
        <f>+DO42+DQ42+DS42+DU42+DW42+DY42+EA42+EC42+EE42+EG42+EI42+EK42</f>
        <v>33934667</v>
      </c>
      <c r="EN42" s="397">
        <f t="shared" si="77"/>
        <v>33934667</v>
      </c>
      <c r="EO42" s="397">
        <f t="shared" si="77"/>
        <v>33934667</v>
      </c>
      <c r="EP42" s="397">
        <f t="shared" si="78"/>
        <v>33934667</v>
      </c>
      <c r="EQ42" s="397">
        <f t="shared" si="78"/>
        <v>33934667</v>
      </c>
      <c r="ER42" s="391">
        <f t="shared" si="7"/>
        <v>0</v>
      </c>
      <c r="ES42" s="392">
        <f t="shared" si="8"/>
        <v>1</v>
      </c>
      <c r="ET42" s="392">
        <f t="shared" si="9"/>
        <v>1</v>
      </c>
      <c r="EU42" s="393">
        <f t="shared" si="11"/>
        <v>1</v>
      </c>
      <c r="EV42" s="394">
        <f t="shared" si="10"/>
        <v>1</v>
      </c>
      <c r="EW42" s="629"/>
      <c r="EX42" s="627"/>
      <c r="EY42" s="627"/>
      <c r="EZ42" s="629"/>
      <c r="FA42" s="627"/>
      <c r="FB42" s="625"/>
    </row>
    <row r="43" spans="1:158" ht="48.75" customHeight="1" thickBot="1" x14ac:dyDescent="0.3">
      <c r="A43" s="604"/>
      <c r="B43" s="604"/>
      <c r="C43" s="604"/>
      <c r="D43" s="604"/>
      <c r="E43" s="604"/>
      <c r="F43" s="58" t="s">
        <v>327</v>
      </c>
      <c r="G43" s="419">
        <f>G38+G41</f>
        <v>13</v>
      </c>
      <c r="H43" s="421">
        <f>+H38+H41</f>
        <v>2</v>
      </c>
      <c r="I43" s="421"/>
      <c r="J43" s="421"/>
      <c r="K43" s="425">
        <v>2</v>
      </c>
      <c r="L43" s="424">
        <v>0.5</v>
      </c>
      <c r="M43" s="425">
        <v>2</v>
      </c>
      <c r="N43" s="424">
        <v>0.5</v>
      </c>
      <c r="O43" s="425">
        <v>2</v>
      </c>
      <c r="P43" s="424">
        <v>0.5</v>
      </c>
      <c r="Q43" s="425">
        <v>2</v>
      </c>
      <c r="R43" s="424">
        <v>1</v>
      </c>
      <c r="S43" s="425">
        <v>2</v>
      </c>
      <c r="T43" s="422">
        <v>1</v>
      </c>
      <c r="U43" s="422">
        <v>2</v>
      </c>
      <c r="V43" s="409">
        <v>1.95</v>
      </c>
      <c r="W43" s="425">
        <v>2</v>
      </c>
      <c r="X43" s="425">
        <v>1.95</v>
      </c>
      <c r="Y43" s="425">
        <v>1.95</v>
      </c>
      <c r="Z43" s="425">
        <v>2</v>
      </c>
      <c r="AA43" s="425">
        <v>1.95</v>
      </c>
      <c r="AB43" s="409">
        <f t="shared" ref="AB43:AZ43" si="81">+AB38+AB41</f>
        <v>3.0500000000000003</v>
      </c>
      <c r="AC43" s="409">
        <f t="shared" si="81"/>
        <v>0.09</v>
      </c>
      <c r="AD43" s="409">
        <f t="shared" si="81"/>
        <v>0.09</v>
      </c>
      <c r="AE43" s="409">
        <f t="shared" si="81"/>
        <v>0.15000000000000002</v>
      </c>
      <c r="AF43" s="409">
        <f t="shared" si="81"/>
        <v>0.15000000000000002</v>
      </c>
      <c r="AG43" s="409">
        <f t="shared" si="81"/>
        <v>0.14999999999999997</v>
      </c>
      <c r="AH43" s="409">
        <f t="shared" si="81"/>
        <v>0.14999999999999997</v>
      </c>
      <c r="AI43" s="409">
        <f t="shared" si="81"/>
        <v>0.15000000000000008</v>
      </c>
      <c r="AJ43" s="409">
        <f t="shared" si="81"/>
        <v>0.15000000000000008</v>
      </c>
      <c r="AK43" s="409">
        <f t="shared" si="81"/>
        <v>0.46</v>
      </c>
      <c r="AL43" s="409">
        <f t="shared" si="81"/>
        <v>0.46</v>
      </c>
      <c r="AM43" s="409">
        <f t="shared" si="81"/>
        <v>0.46</v>
      </c>
      <c r="AN43" s="409">
        <f t="shared" si="81"/>
        <v>0.46</v>
      </c>
      <c r="AO43" s="409">
        <f t="shared" si="81"/>
        <v>0.46</v>
      </c>
      <c r="AP43" s="409">
        <f t="shared" si="81"/>
        <v>0.46</v>
      </c>
      <c r="AQ43" s="409">
        <f t="shared" si="81"/>
        <v>0.46</v>
      </c>
      <c r="AR43" s="409">
        <f t="shared" si="81"/>
        <v>0.46</v>
      </c>
      <c r="AS43" s="409">
        <f t="shared" si="81"/>
        <v>0.31</v>
      </c>
      <c r="AT43" s="409">
        <f t="shared" si="81"/>
        <v>0.31</v>
      </c>
      <c r="AU43" s="409">
        <f t="shared" si="81"/>
        <v>0.12</v>
      </c>
      <c r="AV43" s="409">
        <f t="shared" si="81"/>
        <v>0.12</v>
      </c>
      <c r="AW43" s="409">
        <f t="shared" si="81"/>
        <v>0.12</v>
      </c>
      <c r="AX43" s="409">
        <f t="shared" si="81"/>
        <v>0.06</v>
      </c>
      <c r="AY43" s="409">
        <f t="shared" si="81"/>
        <v>0.12</v>
      </c>
      <c r="AZ43" s="409">
        <f t="shared" si="81"/>
        <v>0.18</v>
      </c>
      <c r="BA43" s="419">
        <f t="shared" si="79"/>
        <v>3.0500000000000003</v>
      </c>
      <c r="BB43" s="419">
        <f>+BB38+BB41</f>
        <v>3.0500000000000003</v>
      </c>
      <c r="BC43" s="419">
        <f>+BC38+BC41</f>
        <v>3.0500000000000003</v>
      </c>
      <c r="BD43" s="419">
        <f>BD38+BD41</f>
        <v>3.0500000000000003</v>
      </c>
      <c r="BE43" s="419">
        <f>BE38+BE41</f>
        <v>3.0500000000000003</v>
      </c>
      <c r="BF43" s="409">
        <f>+BG43+BI43+BK43+BM43+BO43+BQ43+BS43+BU43+BW43+BY43+CA43+CC43</f>
        <v>2.9999999999999996</v>
      </c>
      <c r="BG43" s="409">
        <f t="shared" ref="BG43:CD43" si="82">BG38+BG41</f>
        <v>0.06</v>
      </c>
      <c r="BH43" s="409">
        <f t="shared" si="82"/>
        <v>0.06</v>
      </c>
      <c r="BI43" s="409">
        <f t="shared" si="82"/>
        <v>0.12</v>
      </c>
      <c r="BJ43" s="409">
        <f t="shared" si="82"/>
        <v>0.12</v>
      </c>
      <c r="BK43" s="409">
        <f t="shared" si="82"/>
        <v>0.18</v>
      </c>
      <c r="BL43" s="409">
        <f t="shared" si="82"/>
        <v>0.18</v>
      </c>
      <c r="BM43" s="409">
        <f t="shared" si="82"/>
        <v>0.24</v>
      </c>
      <c r="BN43" s="409">
        <f t="shared" si="82"/>
        <v>0.24</v>
      </c>
      <c r="BO43" s="409">
        <f t="shared" si="82"/>
        <v>0.3</v>
      </c>
      <c r="BP43" s="409">
        <f t="shared" si="82"/>
        <v>0.3</v>
      </c>
      <c r="BQ43" s="409">
        <f t="shared" si="82"/>
        <v>0.3</v>
      </c>
      <c r="BR43" s="409">
        <f t="shared" si="82"/>
        <v>0.3</v>
      </c>
      <c r="BS43" s="409">
        <f t="shared" si="82"/>
        <v>0.3</v>
      </c>
      <c r="BT43" s="409">
        <f t="shared" si="82"/>
        <v>0.3</v>
      </c>
      <c r="BU43" s="409">
        <f t="shared" si="82"/>
        <v>0.3</v>
      </c>
      <c r="BV43" s="409">
        <f t="shared" si="82"/>
        <v>0.3</v>
      </c>
      <c r="BW43" s="409">
        <f t="shared" si="82"/>
        <v>0.3</v>
      </c>
      <c r="BX43" s="409">
        <f t="shared" si="82"/>
        <v>0.3</v>
      </c>
      <c r="BY43" s="409">
        <f t="shared" si="82"/>
        <v>0.3</v>
      </c>
      <c r="BZ43" s="409">
        <f t="shared" si="82"/>
        <v>0.3</v>
      </c>
      <c r="CA43" s="409">
        <f t="shared" si="82"/>
        <v>0.3</v>
      </c>
      <c r="CB43" s="409">
        <f t="shared" si="82"/>
        <v>0.3</v>
      </c>
      <c r="CC43" s="409">
        <f t="shared" si="82"/>
        <v>0.3</v>
      </c>
      <c r="CD43" s="409">
        <f t="shared" si="82"/>
        <v>0.3</v>
      </c>
      <c r="CE43" s="419">
        <f t="shared" si="80"/>
        <v>2.9999999999999996</v>
      </c>
      <c r="CF43" s="419">
        <f>+CF38+CF41</f>
        <v>2.9999999999999996</v>
      </c>
      <c r="CG43" s="419">
        <f>+CG38+CG41</f>
        <v>2.9999999999999996</v>
      </c>
      <c r="CH43" s="419">
        <f>CH38+CH41</f>
        <v>2.9999999999999996</v>
      </c>
      <c r="CI43" s="419">
        <f>CI38+CI41</f>
        <v>2.9999999999999996</v>
      </c>
      <c r="CJ43" s="425">
        <f t="shared" ref="CJ43:DH43" si="83">+CJ38+CJ41</f>
        <v>3</v>
      </c>
      <c r="CK43" s="409">
        <f t="shared" si="83"/>
        <v>0.06</v>
      </c>
      <c r="CL43" s="409">
        <f t="shared" si="83"/>
        <v>0.06</v>
      </c>
      <c r="CM43" s="409">
        <f t="shared" si="83"/>
        <v>0.09</v>
      </c>
      <c r="CN43" s="409">
        <f t="shared" si="83"/>
        <v>0.09</v>
      </c>
      <c r="CO43" s="409">
        <f t="shared" si="83"/>
        <v>0.15</v>
      </c>
      <c r="CP43" s="409">
        <f t="shared" si="83"/>
        <v>0.15</v>
      </c>
      <c r="CQ43" s="409">
        <f t="shared" si="83"/>
        <v>0.24</v>
      </c>
      <c r="CR43" s="409">
        <f t="shared" si="83"/>
        <v>0.24</v>
      </c>
      <c r="CS43" s="409">
        <f t="shared" si="83"/>
        <v>0.36</v>
      </c>
      <c r="CT43" s="409">
        <f t="shared" si="83"/>
        <v>0.36</v>
      </c>
      <c r="CU43" s="409">
        <f t="shared" si="83"/>
        <v>0.51</v>
      </c>
      <c r="CV43" s="409">
        <f t="shared" si="83"/>
        <v>0.51</v>
      </c>
      <c r="CW43" s="409">
        <f t="shared" si="83"/>
        <v>0.54</v>
      </c>
      <c r="CX43" s="409">
        <f t="shared" si="83"/>
        <v>0.54</v>
      </c>
      <c r="CY43" s="409">
        <f t="shared" si="83"/>
        <v>0.39</v>
      </c>
      <c r="CZ43" s="409">
        <f t="shared" si="83"/>
        <v>0.39</v>
      </c>
      <c r="DA43" s="409">
        <f t="shared" si="83"/>
        <v>0.27</v>
      </c>
      <c r="DB43" s="409">
        <f t="shared" si="83"/>
        <v>0.27</v>
      </c>
      <c r="DC43" s="409">
        <f t="shared" si="83"/>
        <v>0.18</v>
      </c>
      <c r="DD43" s="426">
        <f t="shared" si="83"/>
        <v>0.18</v>
      </c>
      <c r="DE43" s="409">
        <f t="shared" si="83"/>
        <v>0.12</v>
      </c>
      <c r="DF43" s="409">
        <f t="shared" si="83"/>
        <v>0.12</v>
      </c>
      <c r="DG43" s="409">
        <f t="shared" si="83"/>
        <v>0.09</v>
      </c>
      <c r="DH43" s="409">
        <f t="shared" si="83"/>
        <v>0.09</v>
      </c>
      <c r="DI43" s="422">
        <f t="shared" si="38"/>
        <v>3.0000000000000004</v>
      </c>
      <c r="DJ43" s="409">
        <f t="shared" ref="DJ43:DM44" si="84">DJ38+DJ41</f>
        <v>3.0000000000000004</v>
      </c>
      <c r="DK43" s="409">
        <f t="shared" si="84"/>
        <v>3.0000000000000004</v>
      </c>
      <c r="DL43" s="422">
        <f t="shared" si="84"/>
        <v>3.0000000000000004</v>
      </c>
      <c r="DM43" s="409">
        <f t="shared" si="84"/>
        <v>3.0000000000000004</v>
      </c>
      <c r="DN43" s="425">
        <f>+DN38+DN41</f>
        <v>2</v>
      </c>
      <c r="DO43" s="425">
        <f>+DO38+DO41</f>
        <v>0.2</v>
      </c>
      <c r="DP43" s="425">
        <f t="shared" ref="DP43:DX43" si="85">+DP38+DP41</f>
        <v>0.2</v>
      </c>
      <c r="DQ43" s="425">
        <f>+DQ38+DQ41</f>
        <v>0.3</v>
      </c>
      <c r="DR43" s="425">
        <f t="shared" si="85"/>
        <v>0.3</v>
      </c>
      <c r="DS43" s="425">
        <f t="shared" si="85"/>
        <v>0.5</v>
      </c>
      <c r="DT43" s="425">
        <f t="shared" si="85"/>
        <v>0.5</v>
      </c>
      <c r="DU43" s="425">
        <f t="shared" si="85"/>
        <v>0.5</v>
      </c>
      <c r="DV43" s="425">
        <f t="shared" si="85"/>
        <v>0.5</v>
      </c>
      <c r="DW43" s="425">
        <f t="shared" si="85"/>
        <v>0.5</v>
      </c>
      <c r="DX43" s="425">
        <f t="shared" si="85"/>
        <v>0.5</v>
      </c>
      <c r="DY43" s="425"/>
      <c r="DZ43" s="425"/>
      <c r="EA43" s="425"/>
      <c r="EB43" s="425"/>
      <c r="EC43" s="425"/>
      <c r="ED43" s="425"/>
      <c r="EE43" s="425"/>
      <c r="EF43" s="425"/>
      <c r="EG43" s="425"/>
      <c r="EH43" s="425"/>
      <c r="EI43" s="425"/>
      <c r="EJ43" s="425"/>
      <c r="EK43" s="425"/>
      <c r="EL43" s="425"/>
      <c r="EM43" s="465">
        <f>EM38+EM41</f>
        <v>2</v>
      </c>
      <c r="EN43" s="465">
        <f t="shared" ref="EN43:EQ44" si="86">+EN38+EN41</f>
        <v>2</v>
      </c>
      <c r="EO43" s="465">
        <f t="shared" si="86"/>
        <v>2</v>
      </c>
      <c r="EP43" s="428">
        <f t="shared" si="86"/>
        <v>2</v>
      </c>
      <c r="EQ43" s="428">
        <f t="shared" si="86"/>
        <v>2</v>
      </c>
      <c r="ER43" s="467">
        <f t="shared" si="7"/>
        <v>1</v>
      </c>
      <c r="ES43" s="468">
        <f t="shared" si="8"/>
        <v>1</v>
      </c>
      <c r="ET43" s="468">
        <f t="shared" si="9"/>
        <v>1</v>
      </c>
      <c r="EU43" s="469">
        <f t="shared" si="11"/>
        <v>0.99616858237547889</v>
      </c>
      <c r="EV43" s="470">
        <f t="shared" si="10"/>
        <v>1</v>
      </c>
      <c r="EW43" s="629"/>
      <c r="EX43" s="627"/>
      <c r="EY43" s="627"/>
      <c r="EZ43" s="629"/>
      <c r="FA43" s="627"/>
      <c r="FB43" s="625"/>
    </row>
    <row r="44" spans="1:158" ht="48.75" customHeight="1" thickBot="1" x14ac:dyDescent="0.3">
      <c r="A44" s="606"/>
      <c r="B44" s="606"/>
      <c r="C44" s="606"/>
      <c r="D44" s="606"/>
      <c r="E44" s="606"/>
      <c r="F44" s="61" t="s">
        <v>328</v>
      </c>
      <c r="G44" s="477">
        <f>G39+G42</f>
        <v>1122081700</v>
      </c>
      <c r="H44" s="275">
        <f>+H39+H42</f>
        <v>166584000</v>
      </c>
      <c r="I44" s="275"/>
      <c r="J44" s="275"/>
      <c r="K44" s="275">
        <v>166584000</v>
      </c>
      <c r="L44" s="275">
        <v>0</v>
      </c>
      <c r="M44" s="275">
        <v>166584000</v>
      </c>
      <c r="N44" s="275">
        <v>91612000</v>
      </c>
      <c r="O44" s="275">
        <v>166584000</v>
      </c>
      <c r="P44" s="275">
        <v>91612000</v>
      </c>
      <c r="Q44" s="275">
        <v>166584000</v>
      </c>
      <c r="R44" s="275">
        <v>91612000</v>
      </c>
      <c r="S44" s="275">
        <v>166584000</v>
      </c>
      <c r="T44" s="275">
        <v>91612000</v>
      </c>
      <c r="U44" s="275">
        <v>166584000</v>
      </c>
      <c r="V44" s="275">
        <v>122884000</v>
      </c>
      <c r="W44" s="275">
        <v>166584000</v>
      </c>
      <c r="X44" s="275">
        <v>122884000</v>
      </c>
      <c r="Y44" s="275">
        <v>122884000</v>
      </c>
      <c r="Z44" s="275">
        <v>166584000</v>
      </c>
      <c r="AA44" s="275">
        <v>122884000</v>
      </c>
      <c r="AB44" s="275">
        <f t="shared" ref="AB44:AZ44" si="87">+AB39+AB42</f>
        <v>276430733</v>
      </c>
      <c r="AC44" s="275">
        <f t="shared" si="87"/>
        <v>10775000</v>
      </c>
      <c r="AD44" s="275">
        <f t="shared" si="87"/>
        <v>10775000</v>
      </c>
      <c r="AE44" s="275">
        <f t="shared" si="87"/>
        <v>115201000</v>
      </c>
      <c r="AF44" s="275">
        <f t="shared" si="87"/>
        <v>115201000</v>
      </c>
      <c r="AG44" s="275">
        <f t="shared" si="87"/>
        <v>72752600</v>
      </c>
      <c r="AH44" s="275">
        <f t="shared" si="87"/>
        <v>72752600</v>
      </c>
      <c r="AI44" s="275">
        <f t="shared" si="87"/>
        <v>6319300</v>
      </c>
      <c r="AJ44" s="275">
        <f t="shared" si="87"/>
        <v>6319300</v>
      </c>
      <c r="AK44" s="275">
        <f t="shared" si="87"/>
        <v>0</v>
      </c>
      <c r="AL44" s="275">
        <f t="shared" si="87"/>
        <v>0</v>
      </c>
      <c r="AM44" s="275">
        <f t="shared" si="87"/>
        <v>0</v>
      </c>
      <c r="AN44" s="275">
        <f t="shared" si="87"/>
        <v>0</v>
      </c>
      <c r="AO44" s="275">
        <f t="shared" si="87"/>
        <v>0</v>
      </c>
      <c r="AP44" s="275">
        <f t="shared" si="87"/>
        <v>0</v>
      </c>
      <c r="AQ44" s="275">
        <f t="shared" si="87"/>
        <v>0</v>
      </c>
      <c r="AR44" s="275">
        <f t="shared" si="87"/>
        <v>0</v>
      </c>
      <c r="AS44" s="275">
        <f t="shared" si="87"/>
        <v>0</v>
      </c>
      <c r="AT44" s="275">
        <f t="shared" si="87"/>
        <v>0</v>
      </c>
      <c r="AU44" s="275">
        <f t="shared" si="87"/>
        <v>0</v>
      </c>
      <c r="AV44" s="275">
        <f t="shared" si="87"/>
        <v>0</v>
      </c>
      <c r="AW44" s="275">
        <f t="shared" si="87"/>
        <v>1676000</v>
      </c>
      <c r="AX44" s="275">
        <f t="shared" si="87"/>
        <v>0</v>
      </c>
      <c r="AY44" s="275">
        <f t="shared" si="87"/>
        <v>0</v>
      </c>
      <c r="AZ44" s="275">
        <f t="shared" si="87"/>
        <v>0</v>
      </c>
      <c r="BA44" s="275">
        <f t="shared" si="79"/>
        <v>206723900</v>
      </c>
      <c r="BB44" s="275">
        <f t="shared" ref="BB44:CD44" si="88">+BB39+BB42</f>
        <v>206723900</v>
      </c>
      <c r="BC44" s="275">
        <f t="shared" si="88"/>
        <v>205047900</v>
      </c>
      <c r="BD44" s="275">
        <f t="shared" si="88"/>
        <v>206723900</v>
      </c>
      <c r="BE44" s="275">
        <f t="shared" si="88"/>
        <v>205047900</v>
      </c>
      <c r="BF44" s="275">
        <f t="shared" si="88"/>
        <v>182263800</v>
      </c>
      <c r="BG44" s="275">
        <f t="shared" si="88"/>
        <v>171954000</v>
      </c>
      <c r="BH44" s="275">
        <f t="shared" si="88"/>
        <v>171954000</v>
      </c>
      <c r="BI44" s="275">
        <f t="shared" si="88"/>
        <v>9073800</v>
      </c>
      <c r="BJ44" s="275">
        <f t="shared" si="88"/>
        <v>0</v>
      </c>
      <c r="BK44" s="275">
        <f t="shared" si="88"/>
        <v>0</v>
      </c>
      <c r="BL44" s="275">
        <f t="shared" si="88"/>
        <v>9073800</v>
      </c>
      <c r="BM44" s="275">
        <f t="shared" si="88"/>
        <v>0</v>
      </c>
      <c r="BN44" s="275">
        <f t="shared" si="88"/>
        <v>0</v>
      </c>
      <c r="BO44" s="275">
        <f t="shared" si="88"/>
        <v>-22580000</v>
      </c>
      <c r="BP44" s="275">
        <f t="shared" si="88"/>
        <v>0</v>
      </c>
      <c r="BQ44" s="275">
        <f t="shared" si="88"/>
        <v>0</v>
      </c>
      <c r="BR44" s="275">
        <f t="shared" si="88"/>
        <v>0</v>
      </c>
      <c r="BS44" s="275">
        <f t="shared" si="88"/>
        <v>0</v>
      </c>
      <c r="BT44" s="275">
        <f t="shared" si="88"/>
        <v>0</v>
      </c>
      <c r="BU44" s="275">
        <f t="shared" si="88"/>
        <v>0</v>
      </c>
      <c r="BV44" s="275">
        <f t="shared" si="88"/>
        <v>0</v>
      </c>
      <c r="BW44" s="275">
        <f t="shared" si="88"/>
        <v>0</v>
      </c>
      <c r="BX44" s="275">
        <f t="shared" si="88"/>
        <v>0</v>
      </c>
      <c r="BY44" s="275">
        <f t="shared" si="88"/>
        <v>0</v>
      </c>
      <c r="BZ44" s="275">
        <f t="shared" si="88"/>
        <v>0</v>
      </c>
      <c r="CA44" s="275">
        <f t="shared" si="88"/>
        <v>14647933</v>
      </c>
      <c r="CB44" s="275">
        <f t="shared" si="88"/>
        <v>0</v>
      </c>
      <c r="CC44" s="275">
        <f t="shared" si="88"/>
        <v>22580000</v>
      </c>
      <c r="CD44" s="275">
        <f t="shared" si="88"/>
        <v>14647933</v>
      </c>
      <c r="CE44" s="275">
        <f t="shared" si="80"/>
        <v>195675733</v>
      </c>
      <c r="CF44" s="275">
        <f t="shared" ref="CF44:DH44" si="89">+CF39+CF42</f>
        <v>195675733</v>
      </c>
      <c r="CG44" s="275">
        <f t="shared" si="89"/>
        <v>195675733</v>
      </c>
      <c r="CH44" s="275">
        <f t="shared" si="89"/>
        <v>195675733</v>
      </c>
      <c r="CI44" s="275">
        <f t="shared" si="89"/>
        <v>195675733</v>
      </c>
      <c r="CJ44" s="275">
        <f t="shared" si="89"/>
        <v>129795933</v>
      </c>
      <c r="CK44" s="275">
        <f t="shared" si="89"/>
        <v>9553000</v>
      </c>
      <c r="CL44" s="275">
        <f t="shared" si="89"/>
        <v>9553000</v>
      </c>
      <c r="CM44" s="275">
        <f t="shared" si="89"/>
        <v>109774933</v>
      </c>
      <c r="CN44" s="275">
        <f t="shared" si="89"/>
        <v>109774933</v>
      </c>
      <c r="CO44" s="275">
        <f t="shared" si="89"/>
        <v>0</v>
      </c>
      <c r="CP44" s="275">
        <f t="shared" si="89"/>
        <v>0</v>
      </c>
      <c r="CQ44" s="275">
        <f t="shared" si="89"/>
        <v>0</v>
      </c>
      <c r="CR44" s="275">
        <f t="shared" si="89"/>
        <v>0</v>
      </c>
      <c r="CS44" s="275">
        <f t="shared" si="89"/>
        <v>0</v>
      </c>
      <c r="CT44" s="275">
        <f t="shared" si="89"/>
        <v>0</v>
      </c>
      <c r="CU44" s="275">
        <f t="shared" si="89"/>
        <v>98928000</v>
      </c>
      <c r="CV44" s="275">
        <f t="shared" si="89"/>
        <v>0</v>
      </c>
      <c r="CW44" s="275">
        <f t="shared" si="89"/>
        <v>0</v>
      </c>
      <c r="CX44" s="275">
        <f t="shared" si="89"/>
        <v>90030000</v>
      </c>
      <c r="CY44" s="275">
        <f t="shared" si="89"/>
        <v>0</v>
      </c>
      <c r="CZ44" s="275">
        <f t="shared" si="89"/>
        <v>0</v>
      </c>
      <c r="DA44" s="275">
        <f t="shared" si="89"/>
        <v>0</v>
      </c>
      <c r="DB44" s="275">
        <f t="shared" si="89"/>
        <v>0</v>
      </c>
      <c r="DC44" s="275">
        <f t="shared" si="89"/>
        <v>-8898000</v>
      </c>
      <c r="DD44" s="478">
        <f>+DD39+DD42</f>
        <v>0</v>
      </c>
      <c r="DE44" s="275">
        <f t="shared" si="89"/>
        <v>28360467</v>
      </c>
      <c r="DF44" s="275">
        <f t="shared" si="89"/>
        <v>0</v>
      </c>
      <c r="DG44" s="275">
        <f t="shared" si="89"/>
        <v>0</v>
      </c>
      <c r="DH44" s="275">
        <f t="shared" si="89"/>
        <v>28360467</v>
      </c>
      <c r="DI44" s="275">
        <f t="shared" si="38"/>
        <v>237718400</v>
      </c>
      <c r="DJ44" s="275">
        <f t="shared" si="84"/>
        <v>237718400</v>
      </c>
      <c r="DK44" s="275">
        <f t="shared" si="84"/>
        <v>237718400</v>
      </c>
      <c r="DL44" s="275">
        <f t="shared" si="84"/>
        <v>237718400</v>
      </c>
      <c r="DM44" s="275">
        <f t="shared" si="84"/>
        <v>237718400</v>
      </c>
      <c r="DN44" s="275">
        <f t="shared" ref="DN44:DX44" si="90">+DN39+DN42</f>
        <v>360755667</v>
      </c>
      <c r="DO44" s="275">
        <f>+DO39+DO42</f>
        <v>106666000</v>
      </c>
      <c r="DP44" s="275">
        <f t="shared" si="90"/>
        <v>53257000</v>
      </c>
      <c r="DQ44" s="275">
        <f>+DQ39+DQ42</f>
        <v>23466667</v>
      </c>
      <c r="DR44" s="275">
        <f>+DR39+DR42</f>
        <v>72501667</v>
      </c>
      <c r="DS44" s="275">
        <f t="shared" si="90"/>
        <v>0</v>
      </c>
      <c r="DT44" s="275">
        <f t="shared" si="90"/>
        <v>0</v>
      </c>
      <c r="DU44" s="275">
        <f t="shared" si="90"/>
        <v>230623000</v>
      </c>
      <c r="DV44" s="275">
        <f t="shared" si="90"/>
        <v>36352000</v>
      </c>
      <c r="DW44" s="275">
        <f t="shared" si="90"/>
        <v>0</v>
      </c>
      <c r="DX44" s="275">
        <f t="shared" si="90"/>
        <v>92304000</v>
      </c>
      <c r="DY44" s="485">
        <f t="shared" ref="DY44:EL44" si="91">+DY39+DY42</f>
        <v>0</v>
      </c>
      <c r="DZ44" s="485">
        <f t="shared" si="91"/>
        <v>0</v>
      </c>
      <c r="EA44" s="485">
        <f t="shared" si="91"/>
        <v>0</v>
      </c>
      <c r="EB44" s="485">
        <f t="shared" si="91"/>
        <v>0</v>
      </c>
      <c r="EC44" s="485">
        <f t="shared" si="91"/>
        <v>0</v>
      </c>
      <c r="ED44" s="485">
        <f t="shared" si="91"/>
        <v>0</v>
      </c>
      <c r="EE44" s="485">
        <f t="shared" si="91"/>
        <v>0</v>
      </c>
      <c r="EF44" s="485">
        <f t="shared" si="91"/>
        <v>0</v>
      </c>
      <c r="EG44" s="485">
        <f t="shared" si="91"/>
        <v>0</v>
      </c>
      <c r="EH44" s="485">
        <f t="shared" si="91"/>
        <v>0</v>
      </c>
      <c r="EI44" s="485">
        <f t="shared" si="91"/>
        <v>0</v>
      </c>
      <c r="EJ44" s="485">
        <f t="shared" si="91"/>
        <v>0</v>
      </c>
      <c r="EK44" s="485">
        <f t="shared" si="91"/>
        <v>0</v>
      </c>
      <c r="EL44" s="485">
        <f t="shared" si="91"/>
        <v>0</v>
      </c>
      <c r="EM44" s="485">
        <f>EM39+EM42</f>
        <v>360755667</v>
      </c>
      <c r="EN44" s="485">
        <f t="shared" si="86"/>
        <v>360755667</v>
      </c>
      <c r="EO44" s="485">
        <f t="shared" si="86"/>
        <v>254414667</v>
      </c>
      <c r="EP44" s="485">
        <f t="shared" si="86"/>
        <v>360755667</v>
      </c>
      <c r="EQ44" s="485">
        <f t="shared" si="86"/>
        <v>254414667</v>
      </c>
      <c r="ER44" s="480">
        <f>IFERROR(DX44/DW44,0)</f>
        <v>0</v>
      </c>
      <c r="ES44" s="481">
        <f t="shared" si="8"/>
        <v>0.70522708379242172</v>
      </c>
      <c r="ET44" s="481">
        <f t="shared" si="9"/>
        <v>0.70522708379242172</v>
      </c>
      <c r="EU44" s="482">
        <f t="shared" si="11"/>
        <v>0.87004497036594985</v>
      </c>
      <c r="EV44" s="483">
        <f>(AA44+BE44+CI44+DM44+EQ44)/G44</f>
        <v>0.90522882602933463</v>
      </c>
      <c r="EW44" s="651"/>
      <c r="EX44" s="627"/>
      <c r="EY44" s="627"/>
      <c r="EZ44" s="629"/>
      <c r="FA44" s="627"/>
      <c r="FB44" s="625"/>
    </row>
    <row r="45" spans="1:158" ht="38.25" customHeight="1" thickBot="1" x14ac:dyDescent="0.3">
      <c r="A45" s="646" t="s">
        <v>337</v>
      </c>
      <c r="B45" s="647"/>
      <c r="C45" s="647"/>
      <c r="D45" s="647"/>
      <c r="E45" s="648"/>
      <c r="F45" s="64" t="s">
        <v>338</v>
      </c>
      <c r="G45" s="488">
        <f>G11+G18+G25+G32+G39</f>
        <v>24955046150.333336</v>
      </c>
      <c r="H45" s="489">
        <f t="shared" ref="H45:DL45" si="92">H11+H18+H25+H32+H39</f>
        <v>3531650000</v>
      </c>
      <c r="I45" s="489">
        <f t="shared" si="92"/>
        <v>0</v>
      </c>
      <c r="J45" s="489">
        <f t="shared" si="92"/>
        <v>0</v>
      </c>
      <c r="K45" s="489">
        <f t="shared" si="92"/>
        <v>3531650000</v>
      </c>
      <c r="L45" s="489">
        <f t="shared" si="92"/>
        <v>127032000</v>
      </c>
      <c r="M45" s="489">
        <f t="shared" si="92"/>
        <v>3531650000</v>
      </c>
      <c r="N45" s="489">
        <f t="shared" si="92"/>
        <v>552744000</v>
      </c>
      <c r="O45" s="489">
        <f t="shared" si="92"/>
        <v>3531650000</v>
      </c>
      <c r="P45" s="489">
        <f t="shared" si="92"/>
        <v>552744000</v>
      </c>
      <c r="Q45" s="489">
        <f t="shared" si="92"/>
        <v>3531650000</v>
      </c>
      <c r="R45" s="489">
        <f t="shared" si="92"/>
        <v>571244160</v>
      </c>
      <c r="S45" s="489">
        <f t="shared" si="92"/>
        <v>3531650000</v>
      </c>
      <c r="T45" s="489">
        <f t="shared" si="92"/>
        <v>643151350</v>
      </c>
      <c r="U45" s="489">
        <f t="shared" si="92"/>
        <v>3531650000</v>
      </c>
      <c r="V45" s="489">
        <f t="shared" si="92"/>
        <v>3356203598</v>
      </c>
      <c r="W45" s="489">
        <f t="shared" si="92"/>
        <v>3531650000</v>
      </c>
      <c r="X45" s="489">
        <f t="shared" si="92"/>
        <v>3356203598</v>
      </c>
      <c r="Y45" s="489">
        <f t="shared" si="92"/>
        <v>3356203598</v>
      </c>
      <c r="Z45" s="489">
        <f t="shared" si="92"/>
        <v>3531650000</v>
      </c>
      <c r="AA45" s="489">
        <f t="shared" si="92"/>
        <v>3356203598</v>
      </c>
      <c r="AB45" s="489">
        <f t="shared" si="92"/>
        <v>4671772000</v>
      </c>
      <c r="AC45" s="489">
        <f t="shared" si="92"/>
        <v>0</v>
      </c>
      <c r="AD45" s="489">
        <f t="shared" si="92"/>
        <v>0</v>
      </c>
      <c r="AE45" s="489">
        <f t="shared" si="92"/>
        <v>684862300</v>
      </c>
      <c r="AF45" s="489">
        <f t="shared" si="92"/>
        <v>684862300</v>
      </c>
      <c r="AG45" s="489">
        <f t="shared" si="92"/>
        <v>937780875</v>
      </c>
      <c r="AH45" s="489">
        <f t="shared" si="92"/>
        <v>937780875</v>
      </c>
      <c r="AI45" s="489">
        <f t="shared" si="92"/>
        <v>20043150</v>
      </c>
      <c r="AJ45" s="489">
        <f t="shared" si="92"/>
        <v>20043150</v>
      </c>
      <c r="AK45" s="489">
        <f t="shared" si="92"/>
        <v>212857150</v>
      </c>
      <c r="AL45" s="489">
        <f t="shared" si="92"/>
        <v>212857150</v>
      </c>
      <c r="AM45" s="489">
        <f t="shared" si="92"/>
        <v>455830219</v>
      </c>
      <c r="AN45" s="489">
        <f t="shared" si="92"/>
        <v>1023403671</v>
      </c>
      <c r="AO45" s="489">
        <f t="shared" si="92"/>
        <v>601921602</v>
      </c>
      <c r="AP45" s="489">
        <f t="shared" si="92"/>
        <v>30903150</v>
      </c>
      <c r="AQ45" s="489">
        <f t="shared" si="92"/>
        <v>56992410</v>
      </c>
      <c r="AR45" s="489">
        <f t="shared" si="92"/>
        <v>28843150</v>
      </c>
      <c r="AS45" s="489">
        <f t="shared" si="92"/>
        <v>64813257</v>
      </c>
      <c r="AT45" s="489">
        <f t="shared" si="92"/>
        <v>58619997</v>
      </c>
      <c r="AU45" s="489">
        <f t="shared" si="92"/>
        <v>348932410</v>
      </c>
      <c r="AV45" s="489">
        <f t="shared" si="92"/>
        <v>0</v>
      </c>
      <c r="AW45" s="489">
        <f t="shared" si="92"/>
        <v>526416501</v>
      </c>
      <c r="AX45" s="489">
        <f t="shared" si="92"/>
        <v>432841878</v>
      </c>
      <c r="AY45" s="489">
        <f t="shared" si="92"/>
        <v>185085126</v>
      </c>
      <c r="AZ45" s="489">
        <f t="shared" si="92"/>
        <v>496936526</v>
      </c>
      <c r="BA45" s="489">
        <f t="shared" si="92"/>
        <v>4095535000</v>
      </c>
      <c r="BB45" s="489">
        <f t="shared" si="92"/>
        <v>4095535000</v>
      </c>
      <c r="BC45" s="489">
        <f t="shared" si="92"/>
        <v>3927091847</v>
      </c>
      <c r="BD45" s="489">
        <f t="shared" si="92"/>
        <v>4095535000</v>
      </c>
      <c r="BE45" s="489">
        <f t="shared" si="92"/>
        <v>3927091847</v>
      </c>
      <c r="BF45" s="489">
        <f t="shared" si="92"/>
        <v>5479879000</v>
      </c>
      <c r="BG45" s="489">
        <f t="shared" si="92"/>
        <v>2025100152</v>
      </c>
      <c r="BH45" s="489">
        <f t="shared" si="92"/>
        <v>2025100152</v>
      </c>
      <c r="BI45" s="489">
        <f t="shared" si="92"/>
        <v>714684000</v>
      </c>
      <c r="BJ45" s="489">
        <f t="shared" si="92"/>
        <v>546748956</v>
      </c>
      <c r="BK45" s="489">
        <f t="shared" si="92"/>
        <v>-52879044</v>
      </c>
      <c r="BL45" s="489">
        <f t="shared" si="92"/>
        <v>0</v>
      </c>
      <c r="BM45" s="489">
        <f t="shared" si="92"/>
        <v>0</v>
      </c>
      <c r="BN45" s="489">
        <f t="shared" si="92"/>
        <v>9913477</v>
      </c>
      <c r="BO45" s="489">
        <f t="shared" si="92"/>
        <v>0</v>
      </c>
      <c r="BP45" s="489">
        <f t="shared" si="92"/>
        <v>2888724</v>
      </c>
      <c r="BQ45" s="489">
        <f t="shared" si="92"/>
        <v>378848366</v>
      </c>
      <c r="BR45" s="489">
        <f t="shared" si="92"/>
        <v>382160016</v>
      </c>
      <c r="BS45" s="489">
        <f t="shared" si="92"/>
        <v>770291000</v>
      </c>
      <c r="BT45" s="489">
        <f t="shared" si="92"/>
        <v>211556173</v>
      </c>
      <c r="BU45" s="489">
        <f t="shared" si="92"/>
        <v>1210736610</v>
      </c>
      <c r="BV45" s="489">
        <f t="shared" si="92"/>
        <v>621352478</v>
      </c>
      <c r="BW45" s="489">
        <f t="shared" si="92"/>
        <v>122905572</v>
      </c>
      <c r="BX45" s="489">
        <f t="shared" si="92"/>
        <v>173197900</v>
      </c>
      <c r="BY45" s="489">
        <f t="shared" si="92"/>
        <v>40201902</v>
      </c>
      <c r="BZ45" s="489">
        <f t="shared" si="92"/>
        <v>128349230</v>
      </c>
      <c r="CA45" s="489">
        <f t="shared" si="92"/>
        <v>173571466.33333331</v>
      </c>
      <c r="CB45" s="489">
        <f t="shared" si="92"/>
        <v>104714383.33333334</v>
      </c>
      <c r="CC45" s="489">
        <f t="shared" si="92"/>
        <v>96418975.666666657</v>
      </c>
      <c r="CD45" s="489">
        <f t="shared" si="92"/>
        <v>1206180168</v>
      </c>
      <c r="CE45" s="489">
        <f t="shared" si="92"/>
        <v>5479879000</v>
      </c>
      <c r="CF45" s="489">
        <f t="shared" si="92"/>
        <v>5479879000</v>
      </c>
      <c r="CG45" s="489">
        <f t="shared" si="92"/>
        <v>5412161657.333333</v>
      </c>
      <c r="CH45" s="489">
        <f t="shared" si="92"/>
        <v>5479879000</v>
      </c>
      <c r="CI45" s="489">
        <f t="shared" si="92"/>
        <v>5412161657.333333</v>
      </c>
      <c r="CJ45" s="489">
        <f t="shared" si="92"/>
        <v>6000000000</v>
      </c>
      <c r="CK45" s="489">
        <f t="shared" si="92"/>
        <v>0</v>
      </c>
      <c r="CL45" s="489">
        <f t="shared" si="92"/>
        <v>0</v>
      </c>
      <c r="CM45" s="489">
        <f t="shared" si="92"/>
        <v>1695271984</v>
      </c>
      <c r="CN45" s="489">
        <f t="shared" si="92"/>
        <v>1629995444</v>
      </c>
      <c r="CO45" s="489">
        <f t="shared" si="92"/>
        <v>388500000</v>
      </c>
      <c r="CP45" s="489">
        <f t="shared" si="92"/>
        <v>392475701</v>
      </c>
      <c r="CQ45" s="489">
        <f t="shared" si="92"/>
        <v>1674920621</v>
      </c>
      <c r="CR45" s="489">
        <f t="shared" si="92"/>
        <v>125987655</v>
      </c>
      <c r="CS45" s="489">
        <f t="shared" si="92"/>
        <v>192592000</v>
      </c>
      <c r="CT45" s="489">
        <f t="shared" si="92"/>
        <v>490685240</v>
      </c>
      <c r="CU45" s="489">
        <f t="shared" si="92"/>
        <v>1601323000</v>
      </c>
      <c r="CV45" s="489">
        <f t="shared" si="92"/>
        <v>715416428</v>
      </c>
      <c r="CW45" s="489">
        <f t="shared" si="92"/>
        <v>0</v>
      </c>
      <c r="CX45" s="489">
        <f t="shared" si="92"/>
        <v>199539710</v>
      </c>
      <c r="CY45" s="489">
        <f t="shared" si="92"/>
        <v>150000000</v>
      </c>
      <c r="CZ45" s="489">
        <f t="shared" si="92"/>
        <v>204826046</v>
      </c>
      <c r="DA45" s="489">
        <f t="shared" si="92"/>
        <v>463425000</v>
      </c>
      <c r="DB45" s="489">
        <f>DB11+DB18+DB25+DB32+DB39</f>
        <v>279916860</v>
      </c>
      <c r="DC45" s="489">
        <f t="shared" si="92"/>
        <v>-849471422</v>
      </c>
      <c r="DD45" s="490">
        <f t="shared" si="92"/>
        <v>4129048</v>
      </c>
      <c r="DE45" s="489">
        <f t="shared" si="92"/>
        <v>380442563</v>
      </c>
      <c r="DF45" s="489">
        <f t="shared" si="92"/>
        <v>212706036</v>
      </c>
      <c r="DG45" s="489">
        <f t="shared" si="92"/>
        <v>172625854</v>
      </c>
      <c r="DH45" s="489">
        <f t="shared" si="92"/>
        <v>442910880</v>
      </c>
      <c r="DI45" s="489">
        <f t="shared" si="92"/>
        <v>5869629600</v>
      </c>
      <c r="DJ45" s="489">
        <f>DJ11+DJ18+DJ25+DJ32+DJ39</f>
        <v>5869629600</v>
      </c>
      <c r="DK45" s="489">
        <f t="shared" si="92"/>
        <v>4698589048</v>
      </c>
      <c r="DL45" s="489">
        <f t="shared" si="92"/>
        <v>5869629600</v>
      </c>
      <c r="DM45" s="489">
        <f>DM11+DM18+DM25+DM32+DM39</f>
        <v>4698589048</v>
      </c>
      <c r="DN45" s="491">
        <f>DN11+DN18+DN25+DN32+DN39</f>
        <v>7561000000</v>
      </c>
      <c r="DO45" s="492">
        <f t="shared" ref="DO45:DW45" si="93">+DO11+DO18+DO25+DO39+DO32</f>
        <v>2361127000</v>
      </c>
      <c r="DP45" s="492">
        <f t="shared" si="93"/>
        <v>358863000</v>
      </c>
      <c r="DQ45" s="492">
        <f t="shared" si="93"/>
        <v>650000000</v>
      </c>
      <c r="DR45" s="492">
        <f>+DR11+DR18+DR25+DR39+DR32</f>
        <v>251761714</v>
      </c>
      <c r="DS45" s="492">
        <f t="shared" si="93"/>
        <v>43740000</v>
      </c>
      <c r="DT45" s="492">
        <f t="shared" si="93"/>
        <v>39275998</v>
      </c>
      <c r="DU45" s="492">
        <f t="shared" si="93"/>
        <v>2423633000</v>
      </c>
      <c r="DV45" s="492">
        <f>+DV11+DV18+DV25+DV39+DV32</f>
        <v>598234404</v>
      </c>
      <c r="DW45" s="492">
        <f t="shared" si="93"/>
        <v>1302500000</v>
      </c>
      <c r="DX45" s="492">
        <f>+DX11+DX18+DX25+DX39+DX32</f>
        <v>1392729733</v>
      </c>
      <c r="DY45" s="493">
        <f t="shared" ref="DY45:EL45" si="94">+DY11+DY18+DY25+DY39+DY32</f>
        <v>500000000</v>
      </c>
      <c r="DZ45" s="493">
        <f t="shared" si="94"/>
        <v>0</v>
      </c>
      <c r="EA45" s="493">
        <f t="shared" si="94"/>
        <v>180000000</v>
      </c>
      <c r="EB45" s="493">
        <f t="shared" si="94"/>
        <v>0</v>
      </c>
      <c r="EC45" s="493">
        <f t="shared" si="94"/>
        <v>100000000</v>
      </c>
      <c r="ED45" s="493">
        <f t="shared" si="94"/>
        <v>0</v>
      </c>
      <c r="EE45" s="493">
        <f t="shared" si="94"/>
        <v>0</v>
      </c>
      <c r="EF45" s="493">
        <f t="shared" si="94"/>
        <v>0</v>
      </c>
      <c r="EG45" s="493">
        <f t="shared" si="94"/>
        <v>0</v>
      </c>
      <c r="EH45" s="493">
        <f t="shared" si="94"/>
        <v>0</v>
      </c>
      <c r="EI45" s="493">
        <f t="shared" si="94"/>
        <v>0</v>
      </c>
      <c r="EJ45" s="493">
        <f t="shared" si="94"/>
        <v>0</v>
      </c>
      <c r="EK45" s="493">
        <f t="shared" si="94"/>
        <v>0</v>
      </c>
      <c r="EL45" s="493">
        <f t="shared" si="94"/>
        <v>-22388000</v>
      </c>
      <c r="EM45" s="494">
        <f>+EM11+EM18+EM25+EM39+EM32</f>
        <v>7561000000</v>
      </c>
      <c r="EN45" s="495">
        <f>+EN11+EN18+EN25+EN39+EN32</f>
        <v>6781000000</v>
      </c>
      <c r="EO45" s="496">
        <f>+EO11+EO18+EO25+EO39+EO32</f>
        <v>2618476849</v>
      </c>
      <c r="EP45" s="496">
        <f>+EP11+EP18+EP25+EP39+EP32</f>
        <v>7561000000</v>
      </c>
      <c r="EQ45" s="497">
        <f>+EQ11+EQ18+EQ25+EQ39+EQ32</f>
        <v>2618476849</v>
      </c>
      <c r="ER45" s="652"/>
      <c r="ES45" s="653"/>
      <c r="ET45" s="653"/>
      <c r="EU45" s="653"/>
      <c r="EV45" s="653"/>
      <c r="EW45" s="653"/>
      <c r="EX45" s="653"/>
      <c r="EY45" s="653"/>
      <c r="EZ45" s="653"/>
      <c r="FA45" s="654"/>
    </row>
    <row r="46" spans="1:158" ht="38.25" customHeight="1" x14ac:dyDescent="0.25">
      <c r="A46" s="578"/>
      <c r="B46" s="579"/>
      <c r="C46" s="579"/>
      <c r="D46" s="579"/>
      <c r="E46" s="649"/>
      <c r="F46" s="65" t="s">
        <v>339</v>
      </c>
      <c r="G46" s="498">
        <f t="shared" ref="G46:DM46" si="95">G14+G21+G28+G35+G42</f>
        <v>5794431860</v>
      </c>
      <c r="H46" s="499">
        <f t="shared" si="95"/>
        <v>0</v>
      </c>
      <c r="I46" s="499">
        <f t="shared" si="95"/>
        <v>0</v>
      </c>
      <c r="J46" s="499">
        <f t="shared" si="95"/>
        <v>0</v>
      </c>
      <c r="K46" s="499">
        <f t="shared" si="95"/>
        <v>0</v>
      </c>
      <c r="L46" s="499">
        <f t="shared" si="95"/>
        <v>0</v>
      </c>
      <c r="M46" s="499">
        <f t="shared" si="95"/>
        <v>0</v>
      </c>
      <c r="N46" s="499">
        <f t="shared" si="95"/>
        <v>0</v>
      </c>
      <c r="O46" s="499">
        <f t="shared" si="95"/>
        <v>0</v>
      </c>
      <c r="P46" s="499">
        <f t="shared" si="95"/>
        <v>0</v>
      </c>
      <c r="Q46" s="499">
        <f t="shared" si="95"/>
        <v>0</v>
      </c>
      <c r="R46" s="499">
        <f t="shared" si="95"/>
        <v>0</v>
      </c>
      <c r="S46" s="499">
        <f t="shared" si="95"/>
        <v>0</v>
      </c>
      <c r="T46" s="499">
        <f t="shared" si="95"/>
        <v>0</v>
      </c>
      <c r="U46" s="499">
        <f t="shared" si="95"/>
        <v>0</v>
      </c>
      <c r="V46" s="499">
        <f t="shared" si="95"/>
        <v>0</v>
      </c>
      <c r="W46" s="499">
        <f t="shared" si="95"/>
        <v>0</v>
      </c>
      <c r="X46" s="499">
        <f t="shared" si="95"/>
        <v>0</v>
      </c>
      <c r="Y46" s="499">
        <f t="shared" si="95"/>
        <v>0</v>
      </c>
      <c r="Z46" s="499">
        <f t="shared" si="95"/>
        <v>0</v>
      </c>
      <c r="AA46" s="499">
        <f t="shared" si="95"/>
        <v>0</v>
      </c>
      <c r="AB46" s="499">
        <f t="shared" si="95"/>
        <v>2788089293.1600003</v>
      </c>
      <c r="AC46" s="499">
        <f t="shared" si="95"/>
        <v>88395723</v>
      </c>
      <c r="AD46" s="499">
        <f t="shared" si="95"/>
        <v>88395723</v>
      </c>
      <c r="AE46" s="499">
        <f t="shared" si="95"/>
        <v>505599677</v>
      </c>
      <c r="AF46" s="499">
        <f t="shared" si="95"/>
        <v>505599677</v>
      </c>
      <c r="AG46" s="499">
        <f t="shared" si="95"/>
        <v>220776445</v>
      </c>
      <c r="AH46" s="499">
        <f t="shared" si="95"/>
        <v>220776445</v>
      </c>
      <c r="AI46" s="499">
        <f t="shared" si="95"/>
        <v>224392451</v>
      </c>
      <c r="AJ46" s="499">
        <f t="shared" si="95"/>
        <v>224392451</v>
      </c>
      <c r="AK46" s="499">
        <f t="shared" si="95"/>
        <v>344960804</v>
      </c>
      <c r="AL46" s="499">
        <f t="shared" si="95"/>
        <v>344960804</v>
      </c>
      <c r="AM46" s="499">
        <f t="shared" si="95"/>
        <v>58928348</v>
      </c>
      <c r="AN46" s="499">
        <f t="shared" si="95"/>
        <v>58928348</v>
      </c>
      <c r="AO46" s="499">
        <f t="shared" si="95"/>
        <v>751508348</v>
      </c>
      <c r="AP46" s="499">
        <f t="shared" si="95"/>
        <v>58928348</v>
      </c>
      <c r="AQ46" s="499">
        <f t="shared" si="95"/>
        <v>129741404</v>
      </c>
      <c r="AR46" s="499">
        <f t="shared" si="95"/>
        <v>822321404</v>
      </c>
      <c r="AS46" s="499">
        <f t="shared" si="95"/>
        <v>192362194</v>
      </c>
      <c r="AT46" s="499">
        <f t="shared" si="95"/>
        <v>141543580</v>
      </c>
      <c r="AU46" s="499">
        <f t="shared" si="95"/>
        <v>135725701</v>
      </c>
      <c r="AV46" s="499">
        <f t="shared" si="95"/>
        <v>186544315</v>
      </c>
      <c r="AW46" s="499">
        <f t="shared" si="95"/>
        <v>58928347.799999997</v>
      </c>
      <c r="AX46" s="499">
        <f t="shared" si="95"/>
        <v>58928348</v>
      </c>
      <c r="AY46" s="499">
        <f t="shared" si="95"/>
        <v>70714017.359999999</v>
      </c>
      <c r="AZ46" s="499">
        <f t="shared" si="95"/>
        <v>0</v>
      </c>
      <c r="BA46" s="499">
        <f t="shared" si="95"/>
        <v>2782033460.1600003</v>
      </c>
      <c r="BB46" s="499">
        <f t="shared" si="95"/>
        <v>2782033460.1600003</v>
      </c>
      <c r="BC46" s="499">
        <f t="shared" si="95"/>
        <v>2711319443</v>
      </c>
      <c r="BD46" s="499">
        <f t="shared" si="95"/>
        <v>2782033460.1600003</v>
      </c>
      <c r="BE46" s="499">
        <f t="shared" si="95"/>
        <v>2711319443</v>
      </c>
      <c r="BF46" s="499">
        <f t="shared" si="95"/>
        <v>1007601184</v>
      </c>
      <c r="BG46" s="499">
        <f t="shared" si="95"/>
        <v>367015096</v>
      </c>
      <c r="BH46" s="499">
        <f t="shared" si="95"/>
        <v>367015096</v>
      </c>
      <c r="BI46" s="499">
        <f t="shared" si="95"/>
        <v>138550892</v>
      </c>
      <c r="BJ46" s="499">
        <f t="shared" si="95"/>
        <v>111058172</v>
      </c>
      <c r="BK46" s="499">
        <f t="shared" si="95"/>
        <v>405061036</v>
      </c>
      <c r="BL46" s="499">
        <f t="shared" si="95"/>
        <v>66747370</v>
      </c>
      <c r="BM46" s="499">
        <f t="shared" si="95"/>
        <v>47404770</v>
      </c>
      <c r="BN46" s="499">
        <f t="shared" si="95"/>
        <v>406721836</v>
      </c>
      <c r="BO46" s="499">
        <f t="shared" si="95"/>
        <v>-25105830</v>
      </c>
      <c r="BP46" s="499">
        <f t="shared" si="95"/>
        <v>16656903</v>
      </c>
      <c r="BQ46" s="499">
        <f t="shared" si="95"/>
        <v>7441000</v>
      </c>
      <c r="BR46" s="499">
        <f t="shared" si="95"/>
        <v>7441000</v>
      </c>
      <c r="BS46" s="499">
        <f t="shared" si="95"/>
        <v>7441000</v>
      </c>
      <c r="BT46" s="499">
        <f t="shared" si="95"/>
        <v>7441000</v>
      </c>
      <c r="BU46" s="499">
        <f t="shared" si="95"/>
        <v>4960667</v>
      </c>
      <c r="BV46" s="499">
        <f t="shared" si="95"/>
        <v>4960667</v>
      </c>
      <c r="BW46" s="499">
        <f t="shared" si="95"/>
        <v>-6876001</v>
      </c>
      <c r="BX46" s="499">
        <f t="shared" si="95"/>
        <v>0</v>
      </c>
      <c r="BY46" s="499">
        <f t="shared" si="95"/>
        <v>0</v>
      </c>
      <c r="BZ46" s="499">
        <f t="shared" si="95"/>
        <v>0</v>
      </c>
      <c r="CA46" s="499">
        <f t="shared" si="95"/>
        <v>0</v>
      </c>
      <c r="CB46" s="499">
        <f t="shared" si="95"/>
        <v>0</v>
      </c>
      <c r="CC46" s="499">
        <f t="shared" si="95"/>
        <v>42149414</v>
      </c>
      <c r="CD46" s="499">
        <f t="shared" si="95"/>
        <v>0</v>
      </c>
      <c r="CE46" s="499">
        <f t="shared" si="95"/>
        <v>988042044</v>
      </c>
      <c r="CF46" s="499">
        <f t="shared" si="95"/>
        <v>988042044</v>
      </c>
      <c r="CG46" s="499">
        <f t="shared" si="95"/>
        <v>988042044</v>
      </c>
      <c r="CH46" s="499">
        <f t="shared" si="95"/>
        <v>988042044</v>
      </c>
      <c r="CI46" s="499">
        <f t="shared" si="95"/>
        <v>988042044</v>
      </c>
      <c r="CJ46" s="499">
        <f t="shared" si="95"/>
        <v>1348308118</v>
      </c>
      <c r="CK46" s="499">
        <f t="shared" si="95"/>
        <v>91405609</v>
      </c>
      <c r="CL46" s="499">
        <f t="shared" si="95"/>
        <v>91405609</v>
      </c>
      <c r="CM46" s="499">
        <f t="shared" si="95"/>
        <v>226022332</v>
      </c>
      <c r="CN46" s="499">
        <f t="shared" si="95"/>
        <v>226022332</v>
      </c>
      <c r="CO46" s="499">
        <f t="shared" si="95"/>
        <v>50602533</v>
      </c>
      <c r="CP46" s="499">
        <f t="shared" si="95"/>
        <v>50602533</v>
      </c>
      <c r="CQ46" s="499">
        <f t="shared" si="95"/>
        <v>234375136</v>
      </c>
      <c r="CR46" s="499">
        <f t="shared" si="95"/>
        <v>314487069</v>
      </c>
      <c r="CS46" s="499">
        <f t="shared" si="95"/>
        <v>642925800</v>
      </c>
      <c r="CT46" s="499">
        <f t="shared" si="95"/>
        <v>4947100</v>
      </c>
      <c r="CU46" s="499">
        <f t="shared" si="95"/>
        <v>50313000</v>
      </c>
      <c r="CV46" s="499">
        <f t="shared" si="95"/>
        <v>6607067</v>
      </c>
      <c r="CW46" s="499">
        <f t="shared" si="95"/>
        <v>50312999</v>
      </c>
      <c r="CX46" s="499">
        <f t="shared" si="95"/>
        <v>642925800</v>
      </c>
      <c r="CY46" s="499">
        <f t="shared" si="95"/>
        <v>-3260500</v>
      </c>
      <c r="CZ46" s="499">
        <f t="shared" si="95"/>
        <v>0</v>
      </c>
      <c r="DA46" s="499">
        <f t="shared" si="95"/>
        <v>-5699399</v>
      </c>
      <c r="DB46" s="499">
        <f t="shared" si="95"/>
        <v>0</v>
      </c>
      <c r="DC46" s="499">
        <f t="shared" si="95"/>
        <v>0</v>
      </c>
      <c r="DD46" s="500">
        <f t="shared" si="95"/>
        <v>0</v>
      </c>
      <c r="DE46" s="499">
        <f t="shared" si="95"/>
        <v>0</v>
      </c>
      <c r="DF46" s="499">
        <f t="shared" si="95"/>
        <v>0</v>
      </c>
      <c r="DG46" s="499">
        <f t="shared" si="95"/>
        <v>6</v>
      </c>
      <c r="DH46" s="499">
        <f t="shared" si="95"/>
        <v>0</v>
      </c>
      <c r="DI46" s="501">
        <f t="shared" si="95"/>
        <v>1336997516</v>
      </c>
      <c r="DJ46" s="499">
        <f t="shared" si="95"/>
        <v>1336997516</v>
      </c>
      <c r="DK46" s="499">
        <f t="shared" si="95"/>
        <v>1336997510</v>
      </c>
      <c r="DL46" s="499">
        <f t="shared" si="95"/>
        <v>1336997516</v>
      </c>
      <c r="DM46" s="499">
        <f t="shared" si="95"/>
        <v>1336997510</v>
      </c>
      <c r="DN46" s="502">
        <f>DN14+DN21+DN28+DN35+DN42</f>
        <v>758072863</v>
      </c>
      <c r="DO46" s="503">
        <f t="shared" ref="DO46:EL46" si="96">DO14+DO21+DO28+DO35+DO42</f>
        <v>143267000</v>
      </c>
      <c r="DP46" s="503">
        <f t="shared" si="96"/>
        <v>133078098</v>
      </c>
      <c r="DQ46" s="503">
        <f>DQ14+DQ21+DQ28+DQ35+DQ42</f>
        <v>408021018</v>
      </c>
      <c r="DR46" s="503">
        <f>DR14+DR21+DR28+DR35+DR42</f>
        <v>391686094</v>
      </c>
      <c r="DS46" s="503">
        <f t="shared" si="96"/>
        <v>111580425</v>
      </c>
      <c r="DT46" s="503">
        <f t="shared" si="96"/>
        <v>63240627</v>
      </c>
      <c r="DU46" s="503">
        <f t="shared" si="96"/>
        <v>47460920</v>
      </c>
      <c r="DV46" s="503">
        <f t="shared" si="96"/>
        <v>75888019</v>
      </c>
      <c r="DW46" s="503">
        <f t="shared" si="96"/>
        <v>12307500</v>
      </c>
      <c r="DX46" s="503">
        <f t="shared" si="96"/>
        <v>10843500</v>
      </c>
      <c r="DY46" s="503">
        <f t="shared" si="96"/>
        <v>12307500</v>
      </c>
      <c r="DZ46" s="503">
        <f t="shared" si="96"/>
        <v>0</v>
      </c>
      <c r="EA46" s="503">
        <f t="shared" si="96"/>
        <v>19536500</v>
      </c>
      <c r="EB46" s="503">
        <f t="shared" si="96"/>
        <v>0</v>
      </c>
      <c r="EC46" s="503">
        <f t="shared" si="96"/>
        <v>1464000</v>
      </c>
      <c r="ED46" s="503">
        <f t="shared" si="96"/>
        <v>0</v>
      </c>
      <c r="EE46" s="503">
        <f t="shared" si="96"/>
        <v>1464000</v>
      </c>
      <c r="EF46" s="503">
        <f t="shared" si="96"/>
        <v>0</v>
      </c>
      <c r="EG46" s="503">
        <f t="shared" si="96"/>
        <v>664000</v>
      </c>
      <c r="EH46" s="503">
        <f t="shared" si="96"/>
        <v>0</v>
      </c>
      <c r="EI46" s="503">
        <f t="shared" si="96"/>
        <v>0</v>
      </c>
      <c r="EJ46" s="503">
        <f t="shared" si="96"/>
        <v>0</v>
      </c>
      <c r="EK46" s="503">
        <f t="shared" si="96"/>
        <v>0</v>
      </c>
      <c r="EL46" s="503">
        <f t="shared" si="96"/>
        <v>0</v>
      </c>
      <c r="EM46" s="504">
        <f>+EM14+EM21+EM28+EM35+EM42</f>
        <v>758072863</v>
      </c>
      <c r="EN46" s="505">
        <f>+EN14+EN21+EN28+EN35+EN42</f>
        <v>722636863</v>
      </c>
      <c r="EO46" s="506">
        <f>+EO14+EO21+EO28+EO35+EO42</f>
        <v>674736338</v>
      </c>
      <c r="EP46" s="506">
        <f>+EP14+EP21+EP28+EP35+EP42</f>
        <v>758072863</v>
      </c>
      <c r="EQ46" s="507">
        <f>+EQ14+EQ21+EQ28+EQ35+EQ42</f>
        <v>674736338</v>
      </c>
      <c r="ER46" s="653"/>
      <c r="ES46" s="655"/>
      <c r="ET46" s="655"/>
      <c r="EU46" s="655"/>
      <c r="EV46" s="655"/>
      <c r="EW46" s="655"/>
      <c r="EX46" s="655"/>
      <c r="EY46" s="655"/>
      <c r="EZ46" s="655"/>
      <c r="FA46" s="654"/>
    </row>
    <row r="47" spans="1:158" ht="38.25" customHeight="1" thickBot="1" x14ac:dyDescent="0.3">
      <c r="A47" s="580"/>
      <c r="B47" s="581"/>
      <c r="C47" s="581"/>
      <c r="D47" s="581"/>
      <c r="E47" s="650"/>
      <c r="F47" s="66" t="s">
        <v>340</v>
      </c>
      <c r="G47" s="508">
        <f t="shared" ref="G47:DM47" si="97">G45+G46</f>
        <v>30749478010.333336</v>
      </c>
      <c r="H47" s="509">
        <f t="shared" si="97"/>
        <v>3531650000</v>
      </c>
      <c r="I47" s="509">
        <f t="shared" si="97"/>
        <v>0</v>
      </c>
      <c r="J47" s="509">
        <f t="shared" si="97"/>
        <v>0</v>
      </c>
      <c r="K47" s="509">
        <f t="shared" si="97"/>
        <v>3531650000</v>
      </c>
      <c r="L47" s="509">
        <f t="shared" si="97"/>
        <v>127032000</v>
      </c>
      <c r="M47" s="509">
        <f t="shared" si="97"/>
        <v>3531650000</v>
      </c>
      <c r="N47" s="509">
        <f t="shared" si="97"/>
        <v>552744000</v>
      </c>
      <c r="O47" s="509">
        <f t="shared" si="97"/>
        <v>3531650000</v>
      </c>
      <c r="P47" s="509">
        <f t="shared" si="97"/>
        <v>552744000</v>
      </c>
      <c r="Q47" s="509">
        <f t="shared" si="97"/>
        <v>3531650000</v>
      </c>
      <c r="R47" s="509">
        <f t="shared" si="97"/>
        <v>571244160</v>
      </c>
      <c r="S47" s="509">
        <f t="shared" si="97"/>
        <v>3531650000</v>
      </c>
      <c r="T47" s="509">
        <f t="shared" si="97"/>
        <v>643151350</v>
      </c>
      <c r="U47" s="509">
        <f t="shared" si="97"/>
        <v>3531650000</v>
      </c>
      <c r="V47" s="509">
        <f t="shared" si="97"/>
        <v>3356203598</v>
      </c>
      <c r="W47" s="509">
        <f t="shared" si="97"/>
        <v>3531650000</v>
      </c>
      <c r="X47" s="509">
        <f t="shared" si="97"/>
        <v>3356203598</v>
      </c>
      <c r="Y47" s="509">
        <f t="shared" si="97"/>
        <v>3356203598</v>
      </c>
      <c r="Z47" s="509">
        <f t="shared" si="97"/>
        <v>3531650000</v>
      </c>
      <c r="AA47" s="509">
        <f t="shared" si="97"/>
        <v>3356203598</v>
      </c>
      <c r="AB47" s="509">
        <f t="shared" si="97"/>
        <v>7459861293.1599998</v>
      </c>
      <c r="AC47" s="509">
        <f t="shared" si="97"/>
        <v>88395723</v>
      </c>
      <c r="AD47" s="509">
        <f t="shared" si="97"/>
        <v>88395723</v>
      </c>
      <c r="AE47" s="509">
        <f t="shared" si="97"/>
        <v>1190461977</v>
      </c>
      <c r="AF47" s="509">
        <f t="shared" si="97"/>
        <v>1190461977</v>
      </c>
      <c r="AG47" s="509">
        <f t="shared" si="97"/>
        <v>1158557320</v>
      </c>
      <c r="AH47" s="509">
        <f t="shared" si="97"/>
        <v>1158557320</v>
      </c>
      <c r="AI47" s="509">
        <f t="shared" si="97"/>
        <v>244435601</v>
      </c>
      <c r="AJ47" s="509">
        <f t="shared" si="97"/>
        <v>244435601</v>
      </c>
      <c r="AK47" s="509">
        <f t="shared" si="97"/>
        <v>557817954</v>
      </c>
      <c r="AL47" s="509">
        <f t="shared" si="97"/>
        <v>557817954</v>
      </c>
      <c r="AM47" s="509">
        <f t="shared" si="97"/>
        <v>514758567</v>
      </c>
      <c r="AN47" s="509">
        <f t="shared" si="97"/>
        <v>1082332019</v>
      </c>
      <c r="AO47" s="509">
        <f t="shared" si="97"/>
        <v>1353429950</v>
      </c>
      <c r="AP47" s="509">
        <f t="shared" si="97"/>
        <v>89831498</v>
      </c>
      <c r="AQ47" s="509">
        <f t="shared" si="97"/>
        <v>186733814</v>
      </c>
      <c r="AR47" s="509">
        <f t="shared" si="97"/>
        <v>851164554</v>
      </c>
      <c r="AS47" s="509">
        <f t="shared" si="97"/>
        <v>257175451</v>
      </c>
      <c r="AT47" s="509">
        <f t="shared" si="97"/>
        <v>200163577</v>
      </c>
      <c r="AU47" s="509">
        <f t="shared" si="97"/>
        <v>484658111</v>
      </c>
      <c r="AV47" s="509">
        <f t="shared" si="97"/>
        <v>186544315</v>
      </c>
      <c r="AW47" s="509">
        <f t="shared" si="97"/>
        <v>585344848.79999995</v>
      </c>
      <c r="AX47" s="509">
        <f t="shared" si="97"/>
        <v>491770226</v>
      </c>
      <c r="AY47" s="509">
        <f t="shared" si="97"/>
        <v>255799143.36000001</v>
      </c>
      <c r="AZ47" s="509">
        <f t="shared" si="97"/>
        <v>496936526</v>
      </c>
      <c r="BA47" s="509">
        <f t="shared" si="97"/>
        <v>6877568460.1599998</v>
      </c>
      <c r="BB47" s="509">
        <f t="shared" si="97"/>
        <v>6877568460.1599998</v>
      </c>
      <c r="BC47" s="509">
        <f t="shared" si="97"/>
        <v>6638411290</v>
      </c>
      <c r="BD47" s="509">
        <f t="shared" si="97"/>
        <v>6877568460.1599998</v>
      </c>
      <c r="BE47" s="509">
        <f t="shared" si="97"/>
        <v>6638411290</v>
      </c>
      <c r="BF47" s="509">
        <f t="shared" si="97"/>
        <v>6487480184</v>
      </c>
      <c r="BG47" s="509">
        <f t="shared" si="97"/>
        <v>2392115248</v>
      </c>
      <c r="BH47" s="509">
        <f t="shared" si="97"/>
        <v>2392115248</v>
      </c>
      <c r="BI47" s="509">
        <f t="shared" si="97"/>
        <v>853234892</v>
      </c>
      <c r="BJ47" s="509">
        <f t="shared" si="97"/>
        <v>657807128</v>
      </c>
      <c r="BK47" s="509">
        <f t="shared" si="97"/>
        <v>352181992</v>
      </c>
      <c r="BL47" s="509">
        <f t="shared" si="97"/>
        <v>66747370</v>
      </c>
      <c r="BM47" s="509">
        <f t="shared" si="97"/>
        <v>47404770</v>
      </c>
      <c r="BN47" s="509">
        <f t="shared" si="97"/>
        <v>416635313</v>
      </c>
      <c r="BO47" s="509">
        <f t="shared" si="97"/>
        <v>-25105830</v>
      </c>
      <c r="BP47" s="509">
        <f t="shared" si="97"/>
        <v>19545627</v>
      </c>
      <c r="BQ47" s="509">
        <f t="shared" si="97"/>
        <v>386289366</v>
      </c>
      <c r="BR47" s="509">
        <f t="shared" si="97"/>
        <v>389601016</v>
      </c>
      <c r="BS47" s="509">
        <f t="shared" si="97"/>
        <v>777732000</v>
      </c>
      <c r="BT47" s="509">
        <f t="shared" si="97"/>
        <v>218997173</v>
      </c>
      <c r="BU47" s="509">
        <f t="shared" si="97"/>
        <v>1215697277</v>
      </c>
      <c r="BV47" s="509">
        <f t="shared" si="97"/>
        <v>626313145</v>
      </c>
      <c r="BW47" s="509">
        <f t="shared" si="97"/>
        <v>116029571</v>
      </c>
      <c r="BX47" s="509">
        <f t="shared" si="97"/>
        <v>173197900</v>
      </c>
      <c r="BY47" s="509">
        <f t="shared" si="97"/>
        <v>40201902</v>
      </c>
      <c r="BZ47" s="509">
        <f t="shared" si="97"/>
        <v>128349230</v>
      </c>
      <c r="CA47" s="509">
        <f t="shared" si="97"/>
        <v>173571466.33333331</v>
      </c>
      <c r="CB47" s="509">
        <f t="shared" si="97"/>
        <v>104714383.33333334</v>
      </c>
      <c r="CC47" s="509">
        <f t="shared" si="97"/>
        <v>138568389.66666666</v>
      </c>
      <c r="CD47" s="509">
        <f t="shared" si="97"/>
        <v>1206180168</v>
      </c>
      <c r="CE47" s="509">
        <f t="shared" si="97"/>
        <v>6467921044</v>
      </c>
      <c r="CF47" s="509">
        <f t="shared" si="97"/>
        <v>6467921044</v>
      </c>
      <c r="CG47" s="509">
        <f t="shared" si="97"/>
        <v>6400203701.333333</v>
      </c>
      <c r="CH47" s="509">
        <f t="shared" si="97"/>
        <v>6467921044</v>
      </c>
      <c r="CI47" s="509">
        <f t="shared" si="97"/>
        <v>6400203701.333333</v>
      </c>
      <c r="CJ47" s="509">
        <f t="shared" si="97"/>
        <v>7348308118</v>
      </c>
      <c r="CK47" s="509">
        <f t="shared" si="97"/>
        <v>91405609</v>
      </c>
      <c r="CL47" s="509">
        <f t="shared" si="97"/>
        <v>91405609</v>
      </c>
      <c r="CM47" s="509">
        <f t="shared" si="97"/>
        <v>1921294316</v>
      </c>
      <c r="CN47" s="509">
        <f t="shared" si="97"/>
        <v>1856017776</v>
      </c>
      <c r="CO47" s="509">
        <f t="shared" si="97"/>
        <v>439102533</v>
      </c>
      <c r="CP47" s="509">
        <f t="shared" si="97"/>
        <v>443078234</v>
      </c>
      <c r="CQ47" s="509">
        <f t="shared" si="97"/>
        <v>1909295757</v>
      </c>
      <c r="CR47" s="509">
        <f t="shared" si="97"/>
        <v>440474724</v>
      </c>
      <c r="CS47" s="509">
        <f t="shared" si="97"/>
        <v>835517800</v>
      </c>
      <c r="CT47" s="509">
        <f t="shared" si="97"/>
        <v>495632340</v>
      </c>
      <c r="CU47" s="509">
        <f t="shared" si="97"/>
        <v>1651636000</v>
      </c>
      <c r="CV47" s="509">
        <f t="shared" si="97"/>
        <v>722023495</v>
      </c>
      <c r="CW47" s="509">
        <f t="shared" si="97"/>
        <v>50312999</v>
      </c>
      <c r="CX47" s="509">
        <f t="shared" si="97"/>
        <v>842465510</v>
      </c>
      <c r="CY47" s="509">
        <f t="shared" si="97"/>
        <v>146739500</v>
      </c>
      <c r="CZ47" s="509">
        <f t="shared" si="97"/>
        <v>204826046</v>
      </c>
      <c r="DA47" s="509">
        <f t="shared" si="97"/>
        <v>457725601</v>
      </c>
      <c r="DB47" s="509">
        <f t="shared" si="97"/>
        <v>279916860</v>
      </c>
      <c r="DC47" s="509">
        <f t="shared" si="97"/>
        <v>-849471422</v>
      </c>
      <c r="DD47" s="510">
        <f t="shared" si="97"/>
        <v>4129048</v>
      </c>
      <c r="DE47" s="509">
        <f t="shared" si="97"/>
        <v>380442563</v>
      </c>
      <c r="DF47" s="509">
        <f t="shared" si="97"/>
        <v>212706036</v>
      </c>
      <c r="DG47" s="509">
        <f t="shared" si="97"/>
        <v>172625860</v>
      </c>
      <c r="DH47" s="509">
        <f t="shared" si="97"/>
        <v>442910880</v>
      </c>
      <c r="DI47" s="509">
        <f t="shared" si="97"/>
        <v>7206627116</v>
      </c>
      <c r="DJ47" s="509">
        <f t="shared" si="97"/>
        <v>7206627116</v>
      </c>
      <c r="DK47" s="509">
        <f t="shared" si="97"/>
        <v>6035586558</v>
      </c>
      <c r="DL47" s="509">
        <f t="shared" si="97"/>
        <v>7206627116</v>
      </c>
      <c r="DM47" s="509">
        <f t="shared" si="97"/>
        <v>6035586558</v>
      </c>
      <c r="DN47" s="511">
        <f>DN45+DN46</f>
        <v>8319072863</v>
      </c>
      <c r="DO47" s="512">
        <f>+DO45+DO46</f>
        <v>2504394000</v>
      </c>
      <c r="DP47" s="512">
        <f>+DP45+DP46</f>
        <v>491941098</v>
      </c>
      <c r="DQ47" s="513">
        <f t="shared" ref="DQ47:DX47" si="98">+DQ45+DQ46</f>
        <v>1058021018</v>
      </c>
      <c r="DR47" s="513">
        <f>+DR45+DR46</f>
        <v>643447808</v>
      </c>
      <c r="DS47" s="513">
        <f t="shared" si="98"/>
        <v>155320425</v>
      </c>
      <c r="DT47" s="513">
        <f t="shared" si="98"/>
        <v>102516625</v>
      </c>
      <c r="DU47" s="513">
        <f t="shared" si="98"/>
        <v>2471093920</v>
      </c>
      <c r="DV47" s="513">
        <f t="shared" si="98"/>
        <v>674122423</v>
      </c>
      <c r="DW47" s="513">
        <f t="shared" si="98"/>
        <v>1314807500</v>
      </c>
      <c r="DX47" s="513">
        <f t="shared" si="98"/>
        <v>1403573233</v>
      </c>
      <c r="DY47" s="513"/>
      <c r="DZ47" s="513"/>
      <c r="EA47" s="513"/>
      <c r="EB47" s="513"/>
      <c r="EC47" s="513"/>
      <c r="ED47" s="513"/>
      <c r="EE47" s="513"/>
      <c r="EF47" s="513"/>
      <c r="EG47" s="513"/>
      <c r="EH47" s="513"/>
      <c r="EI47" s="513"/>
      <c r="EJ47" s="513"/>
      <c r="EK47" s="513"/>
      <c r="EL47" s="513"/>
      <c r="EM47" s="512">
        <f>+EM16+EM23+EM30+EM37+EM44</f>
        <v>8319072863</v>
      </c>
      <c r="EN47" s="514">
        <f>+EN16+EN23+EN30+EN37+EN44</f>
        <v>7503636863</v>
      </c>
      <c r="EO47" s="515">
        <f>+EO16+EO23+EO30+EO37+EO44</f>
        <v>3293213187</v>
      </c>
      <c r="EP47" s="515">
        <f>+EP16+EP23+EP30+EP37+EP44</f>
        <v>8319072863</v>
      </c>
      <c r="EQ47" s="516">
        <f>+EQ16+EQ23+EQ30+EQ37+EQ44</f>
        <v>3293213187</v>
      </c>
      <c r="ER47" s="656"/>
      <c r="ES47" s="657"/>
      <c r="ET47" s="657"/>
      <c r="EU47" s="657"/>
      <c r="EV47" s="657"/>
      <c r="EW47" s="657"/>
      <c r="EX47" s="657"/>
      <c r="EY47" s="657"/>
      <c r="EZ47" s="657"/>
      <c r="FA47" s="658"/>
    </row>
    <row r="48" spans="1:158" ht="15.75" customHeight="1" x14ac:dyDescent="0.25">
      <c r="D48" s="67"/>
      <c r="E48" s="67"/>
      <c r="F48" s="68"/>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R48" s="3"/>
      <c r="ES48" s="3"/>
      <c r="ET48" s="3"/>
    </row>
    <row r="49" spans="4:150" ht="15.75" hidden="1" customHeight="1" x14ac:dyDescent="0.25">
      <c r="D49" s="67"/>
      <c r="E49" s="67"/>
      <c r="F49" s="68"/>
      <c r="G49" s="29"/>
      <c r="H49" s="29"/>
      <c r="I49" s="29"/>
      <c r="J49" s="29"/>
      <c r="K49" s="29"/>
      <c r="L49" s="29"/>
      <c r="M49" s="29"/>
      <c r="N49" s="29"/>
      <c r="O49" s="29"/>
      <c r="P49" s="29"/>
      <c r="Q49" s="29"/>
      <c r="R49" s="29"/>
      <c r="S49" s="29"/>
      <c r="T49" s="29"/>
      <c r="U49" s="29"/>
      <c r="V49" s="29"/>
      <c r="W49" s="29"/>
      <c r="X49" s="29"/>
      <c r="Y49" s="29"/>
      <c r="Z49" s="29"/>
      <c r="AA49" s="29"/>
      <c r="AB49" s="29"/>
      <c r="AC49" s="69">
        <f t="shared" ref="AC49:AZ49" si="99">+AC12+AC19+AC26+AC33+AC40</f>
        <v>0</v>
      </c>
      <c r="AD49" s="69">
        <f t="shared" si="99"/>
        <v>0</v>
      </c>
      <c r="AE49" s="69">
        <f t="shared" si="99"/>
        <v>5846300</v>
      </c>
      <c r="AF49" s="69">
        <f t="shared" si="99"/>
        <v>5846300</v>
      </c>
      <c r="AG49" s="69">
        <f t="shared" si="99"/>
        <v>25555717</v>
      </c>
      <c r="AH49" s="69">
        <f t="shared" si="99"/>
        <v>25555717</v>
      </c>
      <c r="AI49" s="69">
        <f t="shared" si="99"/>
        <v>136654440</v>
      </c>
      <c r="AJ49" s="69">
        <f t="shared" si="99"/>
        <v>136654440</v>
      </c>
      <c r="AK49" s="69">
        <f t="shared" si="99"/>
        <v>127701617</v>
      </c>
      <c r="AL49" s="69">
        <f t="shared" si="99"/>
        <v>127701617</v>
      </c>
      <c r="AM49" s="69">
        <f t="shared" si="99"/>
        <v>226443628</v>
      </c>
      <c r="AN49" s="69">
        <f t="shared" si="99"/>
        <v>215022128</v>
      </c>
      <c r="AO49" s="69">
        <f t="shared" si="99"/>
        <v>275906806</v>
      </c>
      <c r="AP49" s="69">
        <f t="shared" si="99"/>
        <v>597713179</v>
      </c>
      <c r="AQ49" s="69">
        <f t="shared" si="99"/>
        <v>1219142587</v>
      </c>
      <c r="AR49" s="69">
        <f t="shared" si="99"/>
        <v>786501058</v>
      </c>
      <c r="AS49" s="69">
        <f t="shared" si="99"/>
        <v>220415066</v>
      </c>
      <c r="AT49" s="69">
        <f t="shared" si="99"/>
        <v>191043806</v>
      </c>
      <c r="AU49" s="69">
        <f t="shared" si="99"/>
        <v>217002593</v>
      </c>
      <c r="AV49" s="69">
        <f t="shared" si="99"/>
        <v>322022079</v>
      </c>
      <c r="AW49" s="69">
        <f t="shared" si="99"/>
        <v>220478430</v>
      </c>
      <c r="AX49" s="69">
        <f t="shared" si="99"/>
        <v>206421430</v>
      </c>
      <c r="AY49" s="69">
        <f t="shared" si="99"/>
        <v>1420387816</v>
      </c>
      <c r="AZ49" s="69">
        <f t="shared" si="99"/>
        <v>255484108</v>
      </c>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R49" s="3"/>
      <c r="ES49" s="3"/>
      <c r="ET49" s="3"/>
    </row>
    <row r="50" spans="4:150" ht="15.75" customHeight="1" x14ac:dyDescent="0.25">
      <c r="D50" s="67"/>
      <c r="E50" s="67"/>
      <c r="F50" s="70" t="s">
        <v>180</v>
      </c>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2"/>
      <c r="BD50" s="71"/>
      <c r="BE50" s="71"/>
      <c r="BF50" s="29"/>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29"/>
      <c r="CK50" s="29"/>
      <c r="CL50" s="29"/>
      <c r="CM50" s="29"/>
      <c r="CN50" s="29"/>
      <c r="CO50" s="29"/>
      <c r="CP50" s="29"/>
      <c r="CQ50" s="29"/>
      <c r="CR50" s="29"/>
      <c r="CS50" s="29"/>
      <c r="CT50" s="29"/>
      <c r="CU50" s="29"/>
      <c r="CV50" s="29"/>
      <c r="CW50" s="29"/>
      <c r="DI50" s="73"/>
      <c r="DK50" s="73"/>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O50" s="74" t="s">
        <v>341</v>
      </c>
      <c r="ER50" s="3"/>
      <c r="ES50" s="3"/>
      <c r="ET50" s="3"/>
    </row>
    <row r="51" spans="4:150" ht="15.75" customHeight="1" x14ac:dyDescent="0.25">
      <c r="D51" s="67"/>
      <c r="E51" s="67"/>
      <c r="F51" s="254" t="s">
        <v>181</v>
      </c>
      <c r="G51" s="619" t="s">
        <v>182</v>
      </c>
      <c r="H51" s="596"/>
      <c r="I51" s="596"/>
      <c r="J51" s="596"/>
      <c r="K51" s="596"/>
      <c r="L51" s="596"/>
      <c r="M51" s="596"/>
      <c r="N51" s="620" t="s">
        <v>183</v>
      </c>
      <c r="O51" s="598"/>
      <c r="P51" s="598"/>
      <c r="Q51" s="598"/>
      <c r="R51" s="598"/>
      <c r="S51" s="598"/>
      <c r="T51" s="59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6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R51" s="3"/>
      <c r="ES51" s="3"/>
      <c r="ET51" s="3"/>
    </row>
    <row r="52" spans="4:150" ht="15.75" customHeight="1" x14ac:dyDescent="0.25">
      <c r="D52" s="67"/>
      <c r="E52" s="67"/>
      <c r="F52" s="255">
        <v>13</v>
      </c>
      <c r="G52" s="595" t="s">
        <v>184</v>
      </c>
      <c r="H52" s="596"/>
      <c r="I52" s="596"/>
      <c r="J52" s="596"/>
      <c r="K52" s="596"/>
      <c r="L52" s="596"/>
      <c r="M52" s="596"/>
      <c r="N52" s="597" t="s">
        <v>185</v>
      </c>
      <c r="O52" s="598"/>
      <c r="P52" s="598"/>
      <c r="Q52" s="598"/>
      <c r="R52" s="598"/>
      <c r="S52" s="598"/>
      <c r="T52" s="59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R52" s="3"/>
      <c r="ES52" s="3"/>
      <c r="ET52" s="3"/>
    </row>
    <row r="53" spans="4:150" ht="15.75" customHeight="1" x14ac:dyDescent="0.25">
      <c r="D53" s="67"/>
      <c r="E53" s="67"/>
      <c r="F53" s="255">
        <v>14</v>
      </c>
      <c r="G53" s="595" t="s">
        <v>186</v>
      </c>
      <c r="H53" s="596"/>
      <c r="I53" s="596"/>
      <c r="J53" s="596"/>
      <c r="K53" s="596"/>
      <c r="L53" s="596"/>
      <c r="M53" s="596"/>
      <c r="N53" s="597" t="s">
        <v>187</v>
      </c>
      <c r="O53" s="598"/>
      <c r="P53" s="598"/>
      <c r="Q53" s="598"/>
      <c r="R53" s="598"/>
      <c r="S53" s="598"/>
      <c r="T53" s="59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6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O53" s="349"/>
      <c r="ER53" s="3"/>
      <c r="ES53" s="3"/>
      <c r="ET53" s="3"/>
    </row>
    <row r="54" spans="4:150" ht="15.75" customHeight="1" x14ac:dyDescent="0.25">
      <c r="D54" s="67"/>
      <c r="E54" s="67"/>
      <c r="F54" s="68"/>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R54" s="3"/>
      <c r="ES54" s="3"/>
      <c r="ET54" s="3"/>
    </row>
    <row r="55" spans="4:150" ht="15.75" customHeight="1" x14ac:dyDescent="0.25">
      <c r="D55" s="67"/>
      <c r="E55" s="67"/>
      <c r="F55" s="68"/>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R55" s="3"/>
      <c r="ES55" s="3"/>
      <c r="ET55" s="3"/>
    </row>
    <row r="56" spans="4:150" ht="15.75" customHeight="1" x14ac:dyDescent="0.25">
      <c r="D56" s="67"/>
      <c r="E56" s="67"/>
      <c r="F56" s="68"/>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R56" s="3"/>
      <c r="ES56" s="3"/>
      <c r="ET56" s="3"/>
    </row>
    <row r="57" spans="4:150" ht="15.75" customHeight="1" x14ac:dyDescent="0.25">
      <c r="D57" s="67"/>
      <c r="E57" s="67"/>
      <c r="F57" s="68"/>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R57" s="3"/>
      <c r="ES57" s="3"/>
      <c r="ET57" s="3"/>
    </row>
    <row r="58" spans="4:150" ht="15.75" customHeight="1" x14ac:dyDescent="0.25">
      <c r="D58" s="67"/>
      <c r="E58" s="67"/>
      <c r="F58" s="68"/>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R58" s="3"/>
      <c r="ES58" s="3"/>
      <c r="ET58" s="3"/>
    </row>
    <row r="59" spans="4:150" ht="15.75" customHeight="1" x14ac:dyDescent="0.25">
      <c r="D59" s="67"/>
      <c r="E59" s="67"/>
      <c r="F59" s="68"/>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R59" s="3"/>
      <c r="ES59" s="3"/>
      <c r="ET59" s="3"/>
    </row>
    <row r="60" spans="4:150" ht="15.75" customHeight="1" x14ac:dyDescent="0.25">
      <c r="D60" s="67"/>
      <c r="E60" s="67"/>
      <c r="F60" s="68"/>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R60" s="3"/>
      <c r="ES60" s="3"/>
      <c r="ET60" s="3"/>
    </row>
    <row r="61" spans="4:150" ht="15.75" customHeight="1" x14ac:dyDescent="0.25">
      <c r="D61" s="67"/>
      <c r="E61" s="67"/>
      <c r="F61" s="68"/>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R61" s="3"/>
      <c r="ES61" s="3"/>
      <c r="ET61" s="3"/>
    </row>
    <row r="62" spans="4:150" ht="15.75" customHeight="1" x14ac:dyDescent="0.25">
      <c r="D62" s="67"/>
      <c r="E62" s="67"/>
      <c r="F62" s="68"/>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R62" s="3"/>
      <c r="ES62" s="3"/>
      <c r="ET62" s="3"/>
    </row>
    <row r="63" spans="4:150" ht="15.75" customHeight="1" x14ac:dyDescent="0.25">
      <c r="D63" s="67"/>
      <c r="E63" s="67"/>
      <c r="F63" s="68"/>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R63" s="3"/>
      <c r="ES63" s="3"/>
      <c r="ET63" s="3"/>
    </row>
    <row r="64" spans="4:150" ht="15.75" customHeight="1" x14ac:dyDescent="0.25">
      <c r="D64" s="67"/>
      <c r="E64" s="67"/>
      <c r="F64" s="68"/>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R64" s="3"/>
      <c r="ES64" s="3"/>
      <c r="ET64" s="3"/>
    </row>
    <row r="65" spans="4:150" ht="15.75" customHeight="1" x14ac:dyDescent="0.25">
      <c r="D65" s="67"/>
      <c r="E65" s="67"/>
      <c r="F65" s="68"/>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R65" s="3"/>
      <c r="ES65" s="3"/>
      <c r="ET65" s="3"/>
    </row>
    <row r="66" spans="4:150" ht="15.75" customHeight="1" x14ac:dyDescent="0.25">
      <c r="D66" s="67"/>
      <c r="E66" s="67"/>
      <c r="F66" s="68"/>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R66" s="3"/>
      <c r="ES66" s="3"/>
      <c r="ET66" s="3"/>
    </row>
    <row r="67" spans="4:150" ht="15.75" customHeight="1" x14ac:dyDescent="0.25">
      <c r="D67" s="67"/>
      <c r="E67" s="67"/>
      <c r="F67" s="68"/>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R67" s="3"/>
      <c r="ES67" s="3"/>
      <c r="ET67" s="3"/>
    </row>
    <row r="68" spans="4:150" ht="15.75" customHeight="1" x14ac:dyDescent="0.25">
      <c r="D68" s="67"/>
      <c r="E68" s="67"/>
      <c r="F68" s="68"/>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R68" s="3"/>
      <c r="ES68" s="3"/>
      <c r="ET68" s="3"/>
    </row>
    <row r="69" spans="4:150" ht="15.75" customHeight="1" x14ac:dyDescent="0.25">
      <c r="D69" s="67"/>
      <c r="E69" s="67"/>
      <c r="F69" s="68"/>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R69" s="3"/>
      <c r="ES69" s="3"/>
      <c r="ET69" s="3"/>
    </row>
    <row r="70" spans="4:150" ht="15.75" customHeight="1" x14ac:dyDescent="0.25">
      <c r="D70" s="67"/>
      <c r="E70" s="67"/>
      <c r="F70" s="68"/>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R70" s="3"/>
      <c r="ES70" s="3"/>
      <c r="ET70" s="3"/>
    </row>
    <row r="71" spans="4:150" ht="15.75" customHeight="1" x14ac:dyDescent="0.25">
      <c r="D71" s="67"/>
      <c r="E71" s="67"/>
      <c r="F71" s="68"/>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R71" s="3"/>
      <c r="ES71" s="3"/>
      <c r="ET71" s="3"/>
    </row>
    <row r="72" spans="4:150" ht="15.75" customHeight="1" x14ac:dyDescent="0.25">
      <c r="D72" s="67"/>
      <c r="E72" s="67"/>
      <c r="F72" s="68"/>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R72" s="3"/>
      <c r="ES72" s="3"/>
      <c r="ET72" s="3"/>
    </row>
    <row r="73" spans="4:150" ht="15.75" customHeight="1" x14ac:dyDescent="0.25">
      <c r="D73" s="67"/>
      <c r="E73" s="67"/>
      <c r="F73" s="68"/>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R73" s="3"/>
      <c r="ES73" s="3"/>
      <c r="ET73" s="3"/>
    </row>
    <row r="74" spans="4:150" ht="15.75" customHeight="1" x14ac:dyDescent="0.25">
      <c r="D74" s="67"/>
      <c r="E74" s="67"/>
      <c r="F74" s="6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R74" s="3"/>
      <c r="ES74" s="3"/>
      <c r="ET74" s="3"/>
    </row>
    <row r="75" spans="4:150" ht="15.75" customHeight="1" x14ac:dyDescent="0.25">
      <c r="D75" s="67"/>
      <c r="E75" s="67"/>
      <c r="F75" s="68"/>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R75" s="3"/>
      <c r="ES75" s="3"/>
      <c r="ET75" s="3"/>
    </row>
    <row r="76" spans="4:150" ht="15.75" customHeight="1" x14ac:dyDescent="0.25">
      <c r="D76" s="67"/>
      <c r="E76" s="67"/>
      <c r="F76" s="68"/>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R76" s="3"/>
      <c r="ES76" s="3"/>
      <c r="ET76" s="3"/>
    </row>
    <row r="77" spans="4:150" ht="15.75" customHeight="1" x14ac:dyDescent="0.25">
      <c r="D77" s="67"/>
      <c r="E77" s="67"/>
      <c r="F77" s="6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R77" s="3"/>
      <c r="ES77" s="3"/>
      <c r="ET77" s="3"/>
    </row>
    <row r="78" spans="4:150" ht="15.75" customHeight="1" x14ac:dyDescent="0.25">
      <c r="D78" s="67"/>
      <c r="E78" s="67"/>
      <c r="F78" s="68"/>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R78" s="3"/>
      <c r="ES78" s="3"/>
      <c r="ET78" s="3"/>
    </row>
    <row r="79" spans="4:150" ht="15.75" customHeight="1" x14ac:dyDescent="0.25">
      <c r="D79" s="67"/>
      <c r="E79" s="67"/>
      <c r="F79" s="68"/>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R79" s="3"/>
      <c r="ES79" s="3"/>
      <c r="ET79" s="3"/>
    </row>
    <row r="80" spans="4:150" ht="15.75" customHeight="1" x14ac:dyDescent="0.25">
      <c r="D80" s="67"/>
      <c r="E80" s="67"/>
      <c r="F80" s="68"/>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R80" s="3"/>
      <c r="ES80" s="3"/>
      <c r="ET80" s="3"/>
    </row>
    <row r="81" spans="4:150" ht="15.75" customHeight="1" x14ac:dyDescent="0.25">
      <c r="D81" s="67"/>
      <c r="E81" s="67"/>
      <c r="F81" s="68"/>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R81" s="3"/>
      <c r="ES81" s="3"/>
      <c r="ET81" s="3"/>
    </row>
    <row r="82" spans="4:150" ht="15.75" customHeight="1" x14ac:dyDescent="0.25">
      <c r="D82" s="67"/>
      <c r="E82" s="67"/>
      <c r="F82" s="68"/>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R82" s="3"/>
      <c r="ES82" s="3"/>
      <c r="ET82" s="3"/>
    </row>
    <row r="83" spans="4:150" ht="15.75" customHeight="1" x14ac:dyDescent="0.25">
      <c r="D83" s="67"/>
      <c r="E83" s="67"/>
      <c r="F83" s="68"/>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R83" s="3"/>
      <c r="ES83" s="3"/>
      <c r="ET83" s="3"/>
    </row>
    <row r="84" spans="4:150" ht="15.75" customHeight="1" x14ac:dyDescent="0.25">
      <c r="D84" s="67"/>
      <c r="E84" s="67"/>
      <c r="F84" s="6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R84" s="3"/>
      <c r="ES84" s="3"/>
      <c r="ET84" s="3"/>
    </row>
    <row r="85" spans="4:150" ht="15.75" customHeight="1" x14ac:dyDescent="0.25">
      <c r="D85" s="67"/>
      <c r="E85" s="67"/>
      <c r="F85" s="68"/>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R85" s="3"/>
      <c r="ES85" s="3"/>
      <c r="ET85" s="3"/>
    </row>
    <row r="86" spans="4:150" ht="15.75" customHeight="1" x14ac:dyDescent="0.25">
      <c r="D86" s="67"/>
      <c r="E86" s="67"/>
      <c r="F86" s="68"/>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R86" s="3"/>
      <c r="ES86" s="3"/>
      <c r="ET86" s="3"/>
    </row>
    <row r="87" spans="4:150" ht="15.75" customHeight="1" x14ac:dyDescent="0.25">
      <c r="D87" s="67"/>
      <c r="E87" s="67"/>
      <c r="F87" s="68"/>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R87" s="3"/>
      <c r="ES87" s="3"/>
      <c r="ET87" s="3"/>
    </row>
    <row r="88" spans="4:150" ht="15.75" customHeight="1" x14ac:dyDescent="0.25">
      <c r="D88" s="67"/>
      <c r="E88" s="67"/>
      <c r="F88" s="68"/>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R88" s="3"/>
      <c r="ES88" s="3"/>
      <c r="ET88" s="3"/>
    </row>
    <row r="89" spans="4:150" ht="15.75" customHeight="1" x14ac:dyDescent="0.25">
      <c r="D89" s="67"/>
      <c r="E89" s="67"/>
      <c r="F89" s="68"/>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R89" s="3"/>
      <c r="ES89" s="3"/>
      <c r="ET89" s="3"/>
    </row>
    <row r="90" spans="4:150" ht="15.75" customHeight="1" x14ac:dyDescent="0.25">
      <c r="D90" s="67"/>
      <c r="E90" s="67"/>
      <c r="F90" s="68"/>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R90" s="3"/>
      <c r="ES90" s="3"/>
      <c r="ET90" s="3"/>
    </row>
    <row r="91" spans="4:150" ht="15.75" customHeight="1" x14ac:dyDescent="0.25">
      <c r="D91" s="67"/>
      <c r="E91" s="67"/>
      <c r="F91" s="68"/>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R91" s="3"/>
      <c r="ES91" s="3"/>
      <c r="ET91" s="3"/>
    </row>
    <row r="92" spans="4:150" ht="15.75" customHeight="1" x14ac:dyDescent="0.25">
      <c r="D92" s="67"/>
      <c r="E92" s="67"/>
      <c r="F92" s="68"/>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R92" s="3"/>
      <c r="ES92" s="3"/>
      <c r="ET92" s="3"/>
    </row>
    <row r="93" spans="4:150" ht="15.75" customHeight="1" x14ac:dyDescent="0.25">
      <c r="D93" s="67"/>
      <c r="E93" s="67"/>
      <c r="F93" s="68"/>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R93" s="3"/>
      <c r="ES93" s="3"/>
      <c r="ET93" s="3"/>
    </row>
    <row r="94" spans="4:150" ht="15.75" customHeight="1" x14ac:dyDescent="0.25">
      <c r="D94" s="67"/>
      <c r="E94" s="67"/>
      <c r="F94" s="68"/>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R94" s="3"/>
      <c r="ES94" s="3"/>
      <c r="ET94" s="3"/>
    </row>
    <row r="95" spans="4:150" ht="15.75" customHeight="1" x14ac:dyDescent="0.25">
      <c r="D95" s="67"/>
      <c r="E95" s="67"/>
      <c r="F95" s="68"/>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R95" s="3"/>
      <c r="ES95" s="3"/>
      <c r="ET95" s="3"/>
    </row>
    <row r="96" spans="4:150" ht="15.75" customHeight="1" x14ac:dyDescent="0.25">
      <c r="D96" s="67"/>
      <c r="E96" s="67"/>
      <c r="F96" s="68"/>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R96" s="3"/>
      <c r="ES96" s="3"/>
      <c r="ET96" s="3"/>
    </row>
    <row r="97" spans="4:150" ht="15.75" customHeight="1" x14ac:dyDescent="0.25">
      <c r="D97" s="67"/>
      <c r="E97" s="67"/>
      <c r="F97" s="68"/>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R97" s="3"/>
      <c r="ES97" s="3"/>
      <c r="ET97" s="3"/>
    </row>
    <row r="98" spans="4:150" ht="15.75" customHeight="1" x14ac:dyDescent="0.25">
      <c r="D98" s="67"/>
      <c r="E98" s="67"/>
      <c r="F98" s="68"/>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R98" s="3"/>
      <c r="ES98" s="3"/>
      <c r="ET98" s="3"/>
    </row>
    <row r="99" spans="4:150" ht="15.75" customHeight="1" x14ac:dyDescent="0.25">
      <c r="D99" s="67"/>
      <c r="E99" s="67"/>
      <c r="F99" s="68"/>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R99" s="3"/>
      <c r="ES99" s="3"/>
      <c r="ET99" s="3"/>
    </row>
    <row r="100" spans="4:150" ht="15.75" customHeight="1" x14ac:dyDescent="0.25">
      <c r="D100" s="67"/>
      <c r="E100" s="67"/>
      <c r="F100" s="68"/>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R100" s="3"/>
      <c r="ES100" s="3"/>
      <c r="ET100" s="3"/>
    </row>
    <row r="101" spans="4:150" ht="15.75" customHeight="1" x14ac:dyDescent="0.25">
      <c r="D101" s="67"/>
      <c r="E101" s="67"/>
      <c r="F101" s="68"/>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R101" s="3"/>
      <c r="ES101" s="3"/>
      <c r="ET101" s="3"/>
    </row>
    <row r="102" spans="4:150" ht="15.75" customHeight="1" x14ac:dyDescent="0.25">
      <c r="D102" s="67"/>
      <c r="E102" s="67"/>
      <c r="F102" s="68"/>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R102" s="3"/>
      <c r="ES102" s="3"/>
      <c r="ET102" s="3"/>
    </row>
    <row r="103" spans="4:150" ht="15.75" customHeight="1" x14ac:dyDescent="0.25">
      <c r="D103" s="67"/>
      <c r="E103" s="67"/>
      <c r="F103" s="68"/>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R103" s="3"/>
      <c r="ES103" s="3"/>
      <c r="ET103" s="3"/>
    </row>
    <row r="104" spans="4:150" ht="15.75" customHeight="1" x14ac:dyDescent="0.25">
      <c r="D104" s="67"/>
      <c r="E104" s="67"/>
      <c r="F104" s="68"/>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R104" s="3"/>
      <c r="ES104" s="3"/>
      <c r="ET104" s="3"/>
    </row>
    <row r="105" spans="4:150" ht="15.75" customHeight="1" x14ac:dyDescent="0.25">
      <c r="D105" s="67"/>
      <c r="E105" s="67"/>
      <c r="F105" s="68"/>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R105" s="3"/>
      <c r="ES105" s="3"/>
      <c r="ET105" s="3"/>
    </row>
    <row r="106" spans="4:150" ht="15.75" customHeight="1" x14ac:dyDescent="0.25">
      <c r="D106" s="67"/>
      <c r="E106" s="67"/>
      <c r="F106" s="68"/>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R106" s="3"/>
      <c r="ES106" s="3"/>
      <c r="ET106" s="3"/>
    </row>
    <row r="107" spans="4:150" ht="15.75" customHeight="1" x14ac:dyDescent="0.25">
      <c r="D107" s="67"/>
      <c r="E107" s="67"/>
      <c r="F107" s="68"/>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R107" s="3"/>
      <c r="ES107" s="3"/>
      <c r="ET107" s="3"/>
    </row>
    <row r="108" spans="4:150" ht="15.75" customHeight="1" x14ac:dyDescent="0.25">
      <c r="D108" s="67"/>
      <c r="E108" s="67"/>
      <c r="F108" s="68"/>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R108" s="3"/>
      <c r="ES108" s="3"/>
      <c r="ET108" s="3"/>
    </row>
    <row r="109" spans="4:150" ht="15.75" customHeight="1" x14ac:dyDescent="0.25">
      <c r="D109" s="67"/>
      <c r="E109" s="67"/>
      <c r="F109" s="68"/>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R109" s="3"/>
      <c r="ES109" s="3"/>
      <c r="ET109" s="3"/>
    </row>
    <row r="110" spans="4:150" ht="15.75" customHeight="1" x14ac:dyDescent="0.25">
      <c r="D110" s="67"/>
      <c r="E110" s="67"/>
      <c r="F110" s="68"/>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R110" s="3"/>
      <c r="ES110" s="3"/>
      <c r="ET110" s="3"/>
    </row>
    <row r="111" spans="4:150" ht="15.75" customHeight="1" x14ac:dyDescent="0.25">
      <c r="D111" s="67"/>
      <c r="E111" s="67"/>
      <c r="F111" s="68"/>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R111" s="3"/>
      <c r="ES111" s="3"/>
      <c r="ET111" s="3"/>
    </row>
    <row r="112" spans="4:150" ht="15.75" customHeight="1" x14ac:dyDescent="0.25">
      <c r="D112" s="67"/>
      <c r="E112" s="67"/>
      <c r="F112" s="68"/>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R112" s="3"/>
      <c r="ES112" s="3"/>
      <c r="ET112" s="3"/>
    </row>
    <row r="113" spans="4:150" ht="15.75" customHeight="1" x14ac:dyDescent="0.25">
      <c r="D113" s="67"/>
      <c r="E113" s="67"/>
      <c r="F113" s="68"/>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R113" s="3"/>
      <c r="ES113" s="3"/>
      <c r="ET113" s="3"/>
    </row>
    <row r="114" spans="4:150" ht="15.75" customHeight="1" x14ac:dyDescent="0.25">
      <c r="D114" s="67"/>
      <c r="E114" s="67"/>
      <c r="F114" s="68"/>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R114" s="3"/>
      <c r="ES114" s="3"/>
      <c r="ET114" s="3"/>
    </row>
    <row r="115" spans="4:150" ht="15.75" customHeight="1" x14ac:dyDescent="0.25">
      <c r="D115" s="67"/>
      <c r="E115" s="67"/>
      <c r="F115" s="68"/>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R115" s="3"/>
      <c r="ES115" s="3"/>
      <c r="ET115" s="3"/>
    </row>
    <row r="116" spans="4:150" ht="15.75" customHeight="1" x14ac:dyDescent="0.25">
      <c r="D116" s="67"/>
      <c r="E116" s="67"/>
      <c r="F116" s="68"/>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R116" s="3"/>
      <c r="ES116" s="3"/>
      <c r="ET116" s="3"/>
    </row>
    <row r="117" spans="4:150" ht="15.75" customHeight="1" x14ac:dyDescent="0.25">
      <c r="D117" s="67"/>
      <c r="E117" s="67"/>
      <c r="F117" s="68"/>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R117" s="3"/>
      <c r="ES117" s="3"/>
      <c r="ET117" s="3"/>
    </row>
    <row r="118" spans="4:150" ht="15.75" customHeight="1" x14ac:dyDescent="0.25">
      <c r="D118" s="67"/>
      <c r="E118" s="67"/>
      <c r="F118" s="68"/>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R118" s="3"/>
      <c r="ES118" s="3"/>
      <c r="ET118" s="3"/>
    </row>
    <row r="119" spans="4:150" ht="15.75" customHeight="1" x14ac:dyDescent="0.25">
      <c r="D119" s="67"/>
      <c r="E119" s="67"/>
      <c r="F119" s="68"/>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R119" s="3"/>
      <c r="ES119" s="3"/>
      <c r="ET119" s="3"/>
    </row>
    <row r="120" spans="4:150" ht="15.75" customHeight="1" x14ac:dyDescent="0.25">
      <c r="D120" s="67"/>
      <c r="E120" s="67"/>
      <c r="F120" s="68"/>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R120" s="3"/>
      <c r="ES120" s="3"/>
      <c r="ET120" s="3"/>
    </row>
    <row r="121" spans="4:150" ht="15.75" customHeight="1" x14ac:dyDescent="0.25">
      <c r="D121" s="67"/>
      <c r="E121" s="67"/>
      <c r="F121" s="68"/>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R121" s="3"/>
      <c r="ES121" s="3"/>
      <c r="ET121" s="3"/>
    </row>
    <row r="122" spans="4:150" ht="15.75" customHeight="1" x14ac:dyDescent="0.25">
      <c r="D122" s="67"/>
      <c r="E122" s="67"/>
      <c r="F122" s="68"/>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R122" s="3"/>
      <c r="ES122" s="3"/>
      <c r="ET122" s="3"/>
    </row>
    <row r="123" spans="4:150" ht="15.75" customHeight="1" x14ac:dyDescent="0.25">
      <c r="D123" s="67"/>
      <c r="E123" s="67"/>
      <c r="F123" s="68"/>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R123" s="3"/>
      <c r="ES123" s="3"/>
      <c r="ET123" s="3"/>
    </row>
    <row r="124" spans="4:150" ht="15.75" customHeight="1" x14ac:dyDescent="0.25">
      <c r="D124" s="67"/>
      <c r="E124" s="67"/>
      <c r="F124" s="68"/>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R124" s="3"/>
      <c r="ES124" s="3"/>
      <c r="ET124" s="3"/>
    </row>
    <row r="125" spans="4:150" ht="15.75" customHeight="1" x14ac:dyDescent="0.25">
      <c r="D125" s="67"/>
      <c r="E125" s="67"/>
      <c r="F125" s="68"/>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R125" s="3"/>
      <c r="ES125" s="3"/>
      <c r="ET125" s="3"/>
    </row>
    <row r="126" spans="4:150" ht="15.75" customHeight="1" x14ac:dyDescent="0.25">
      <c r="D126" s="67"/>
      <c r="E126" s="67"/>
      <c r="F126" s="68"/>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R126" s="3"/>
      <c r="ES126" s="3"/>
      <c r="ET126" s="3"/>
    </row>
    <row r="127" spans="4:150" ht="15.75" customHeight="1" x14ac:dyDescent="0.25">
      <c r="D127" s="67"/>
      <c r="E127" s="67"/>
      <c r="F127" s="68"/>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R127" s="3"/>
      <c r="ES127" s="3"/>
      <c r="ET127" s="3"/>
    </row>
    <row r="128" spans="4:150" ht="15.75" customHeight="1" x14ac:dyDescent="0.25">
      <c r="D128" s="67"/>
      <c r="E128" s="67"/>
      <c r="F128" s="68"/>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R128" s="3"/>
      <c r="ES128" s="3"/>
      <c r="ET128" s="3"/>
    </row>
    <row r="129" spans="4:150" ht="15.75" customHeight="1" x14ac:dyDescent="0.25">
      <c r="D129" s="67"/>
      <c r="E129" s="67"/>
      <c r="F129" s="68"/>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R129" s="3"/>
      <c r="ES129" s="3"/>
      <c r="ET129" s="3"/>
    </row>
    <row r="130" spans="4:150" ht="15.75" customHeight="1" x14ac:dyDescent="0.25">
      <c r="D130" s="67"/>
      <c r="E130" s="67"/>
      <c r="F130" s="68"/>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R130" s="3"/>
      <c r="ES130" s="3"/>
      <c r="ET130" s="3"/>
    </row>
    <row r="131" spans="4:150" ht="15.75" customHeight="1" x14ac:dyDescent="0.25">
      <c r="D131" s="67"/>
      <c r="E131" s="67"/>
      <c r="F131" s="68"/>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R131" s="3"/>
      <c r="ES131" s="3"/>
      <c r="ET131" s="3"/>
    </row>
    <row r="132" spans="4:150" ht="15.75" customHeight="1" x14ac:dyDescent="0.25">
      <c r="D132" s="67"/>
      <c r="E132" s="67"/>
      <c r="F132" s="68"/>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R132" s="3"/>
      <c r="ES132" s="3"/>
      <c r="ET132" s="3"/>
    </row>
    <row r="133" spans="4:150" ht="15.75" customHeight="1" x14ac:dyDescent="0.25">
      <c r="D133" s="67"/>
      <c r="E133" s="67"/>
      <c r="F133" s="68"/>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R133" s="3"/>
      <c r="ES133" s="3"/>
      <c r="ET133" s="3"/>
    </row>
    <row r="134" spans="4:150" ht="15.75" customHeight="1" x14ac:dyDescent="0.25">
      <c r="D134" s="67"/>
      <c r="E134" s="67"/>
      <c r="F134" s="68"/>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R134" s="3"/>
      <c r="ES134" s="3"/>
      <c r="ET134" s="3"/>
    </row>
    <row r="135" spans="4:150" ht="15.75" customHeight="1" x14ac:dyDescent="0.25">
      <c r="D135" s="67"/>
      <c r="E135" s="67"/>
      <c r="F135" s="68"/>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R135" s="3"/>
      <c r="ES135" s="3"/>
      <c r="ET135" s="3"/>
    </row>
    <row r="136" spans="4:150" ht="15.75" customHeight="1" x14ac:dyDescent="0.25">
      <c r="D136" s="67"/>
      <c r="E136" s="67"/>
      <c r="F136" s="68"/>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R136" s="3"/>
      <c r="ES136" s="3"/>
      <c r="ET136" s="3"/>
    </row>
    <row r="137" spans="4:150" ht="15.75" customHeight="1" x14ac:dyDescent="0.25">
      <c r="D137" s="67"/>
      <c r="E137" s="67"/>
      <c r="F137" s="68"/>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R137" s="3"/>
      <c r="ES137" s="3"/>
      <c r="ET137" s="3"/>
    </row>
    <row r="138" spans="4:150" ht="15.75" customHeight="1" x14ac:dyDescent="0.25">
      <c r="D138" s="67"/>
      <c r="E138" s="67"/>
      <c r="F138" s="68"/>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R138" s="3"/>
      <c r="ES138" s="3"/>
      <c r="ET138" s="3"/>
    </row>
    <row r="139" spans="4:150" ht="15.75" customHeight="1" x14ac:dyDescent="0.25">
      <c r="D139" s="67"/>
      <c r="E139" s="67"/>
      <c r="F139" s="68"/>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R139" s="3"/>
      <c r="ES139" s="3"/>
      <c r="ET139" s="3"/>
    </row>
    <row r="140" spans="4:150" ht="15.75" customHeight="1" x14ac:dyDescent="0.25">
      <c r="D140" s="67"/>
      <c r="E140" s="67"/>
      <c r="F140" s="68"/>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R140" s="3"/>
      <c r="ES140" s="3"/>
      <c r="ET140" s="3"/>
    </row>
    <row r="141" spans="4:150" ht="15.75" customHeight="1" x14ac:dyDescent="0.25">
      <c r="D141" s="67"/>
      <c r="E141" s="67"/>
      <c r="F141" s="68"/>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R141" s="3"/>
      <c r="ES141" s="3"/>
      <c r="ET141" s="3"/>
    </row>
    <row r="142" spans="4:150" ht="15.75" customHeight="1" x14ac:dyDescent="0.25">
      <c r="D142" s="67"/>
      <c r="E142" s="67"/>
      <c r="F142" s="68"/>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R142" s="3"/>
      <c r="ES142" s="3"/>
      <c r="ET142" s="3"/>
    </row>
    <row r="143" spans="4:150" ht="15.75" customHeight="1" x14ac:dyDescent="0.25">
      <c r="D143" s="67"/>
      <c r="E143" s="67"/>
      <c r="F143" s="68"/>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R143" s="3"/>
      <c r="ES143" s="3"/>
      <c r="ET143" s="3"/>
    </row>
    <row r="144" spans="4:150" ht="15.75" customHeight="1" x14ac:dyDescent="0.25">
      <c r="D144" s="67"/>
      <c r="E144" s="67"/>
      <c r="F144" s="68"/>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R144" s="3"/>
      <c r="ES144" s="3"/>
      <c r="ET144" s="3"/>
    </row>
    <row r="145" spans="4:150" ht="15.75" customHeight="1" x14ac:dyDescent="0.25">
      <c r="D145" s="67"/>
      <c r="E145" s="67"/>
      <c r="F145" s="68"/>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R145" s="3"/>
      <c r="ES145" s="3"/>
      <c r="ET145" s="3"/>
    </row>
    <row r="146" spans="4:150" ht="15.75" customHeight="1" x14ac:dyDescent="0.25">
      <c r="D146" s="67"/>
      <c r="E146" s="67"/>
      <c r="F146" s="68"/>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R146" s="3"/>
      <c r="ES146" s="3"/>
      <c r="ET146" s="3"/>
    </row>
    <row r="147" spans="4:150" ht="15.75" customHeight="1" x14ac:dyDescent="0.25">
      <c r="D147" s="67"/>
      <c r="E147" s="67"/>
      <c r="F147" s="68"/>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R147" s="3"/>
      <c r="ES147" s="3"/>
      <c r="ET147" s="3"/>
    </row>
    <row r="148" spans="4:150" ht="15.75" customHeight="1" x14ac:dyDescent="0.25">
      <c r="D148" s="67"/>
      <c r="E148" s="67"/>
      <c r="F148" s="68"/>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R148" s="3"/>
      <c r="ES148" s="3"/>
      <c r="ET148" s="3"/>
    </row>
    <row r="149" spans="4:150" ht="15.75" customHeight="1" x14ac:dyDescent="0.25">
      <c r="D149" s="67"/>
      <c r="E149" s="67"/>
      <c r="F149" s="68"/>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R149" s="3"/>
      <c r="ES149" s="3"/>
      <c r="ET149" s="3"/>
    </row>
    <row r="150" spans="4:150" ht="15.75" customHeight="1" x14ac:dyDescent="0.25">
      <c r="D150" s="67"/>
      <c r="E150" s="67"/>
      <c r="F150" s="68"/>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R150" s="3"/>
      <c r="ES150" s="3"/>
      <c r="ET150" s="3"/>
    </row>
    <row r="151" spans="4:150" ht="15.75" customHeight="1" x14ac:dyDescent="0.25">
      <c r="D151" s="67"/>
      <c r="E151" s="67"/>
      <c r="F151" s="68"/>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R151" s="3"/>
      <c r="ES151" s="3"/>
      <c r="ET151" s="3"/>
    </row>
    <row r="152" spans="4:150" ht="15.75" customHeight="1" x14ac:dyDescent="0.25">
      <c r="D152" s="67"/>
      <c r="E152" s="67"/>
      <c r="F152" s="68"/>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R152" s="3"/>
      <c r="ES152" s="3"/>
      <c r="ET152" s="3"/>
    </row>
    <row r="153" spans="4:150" ht="15.75" customHeight="1" x14ac:dyDescent="0.25">
      <c r="D153" s="67"/>
      <c r="E153" s="67"/>
      <c r="F153" s="6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R153" s="3"/>
      <c r="ES153" s="3"/>
      <c r="ET153" s="3"/>
    </row>
    <row r="154" spans="4:150" ht="15.75" customHeight="1" x14ac:dyDescent="0.25">
      <c r="D154" s="67"/>
      <c r="E154" s="67"/>
      <c r="F154" s="6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R154" s="3"/>
      <c r="ES154" s="3"/>
      <c r="ET154" s="3"/>
    </row>
    <row r="155" spans="4:150" ht="15.75" customHeight="1" x14ac:dyDescent="0.25">
      <c r="D155" s="67"/>
      <c r="E155" s="67"/>
      <c r="F155" s="6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R155" s="3"/>
      <c r="ES155" s="3"/>
      <c r="ET155" s="3"/>
    </row>
    <row r="156" spans="4:150" ht="15.75" customHeight="1" x14ac:dyDescent="0.25">
      <c r="D156" s="67"/>
      <c r="E156" s="67"/>
      <c r="F156" s="68"/>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R156" s="3"/>
      <c r="ES156" s="3"/>
      <c r="ET156" s="3"/>
    </row>
    <row r="157" spans="4:150" ht="15.75" customHeight="1" x14ac:dyDescent="0.25">
      <c r="D157" s="67"/>
      <c r="E157" s="67"/>
      <c r="F157" s="6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R157" s="3"/>
      <c r="ES157" s="3"/>
      <c r="ET157" s="3"/>
    </row>
    <row r="158" spans="4:150" ht="15.75" customHeight="1" x14ac:dyDescent="0.25">
      <c r="D158" s="67"/>
      <c r="E158" s="67"/>
      <c r="F158" s="68"/>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R158" s="3"/>
      <c r="ES158" s="3"/>
      <c r="ET158" s="3"/>
    </row>
    <row r="159" spans="4:150" ht="15.75" customHeight="1" x14ac:dyDescent="0.25">
      <c r="D159" s="67"/>
      <c r="E159" s="67"/>
      <c r="F159" s="68"/>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R159" s="3"/>
      <c r="ES159" s="3"/>
      <c r="ET159" s="3"/>
    </row>
    <row r="160" spans="4:150" ht="15.75" customHeight="1" x14ac:dyDescent="0.25">
      <c r="D160" s="67"/>
      <c r="E160" s="67"/>
      <c r="F160" s="68"/>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R160" s="3"/>
      <c r="ES160" s="3"/>
      <c r="ET160" s="3"/>
    </row>
    <row r="161" spans="4:150" ht="15.75" customHeight="1" x14ac:dyDescent="0.25">
      <c r="D161" s="67"/>
      <c r="E161" s="67"/>
      <c r="F161" s="68"/>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R161" s="3"/>
      <c r="ES161" s="3"/>
      <c r="ET161" s="3"/>
    </row>
    <row r="162" spans="4:150" ht="15.75" customHeight="1" x14ac:dyDescent="0.25">
      <c r="D162" s="67"/>
      <c r="E162" s="67"/>
      <c r="F162" s="68"/>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R162" s="3"/>
      <c r="ES162" s="3"/>
      <c r="ET162" s="3"/>
    </row>
    <row r="163" spans="4:150" ht="15.75" customHeight="1" x14ac:dyDescent="0.25">
      <c r="D163" s="67"/>
      <c r="E163" s="67"/>
      <c r="F163" s="68"/>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R163" s="3"/>
      <c r="ES163" s="3"/>
      <c r="ET163" s="3"/>
    </row>
    <row r="164" spans="4:150" ht="15.75" customHeight="1" x14ac:dyDescent="0.25">
      <c r="D164" s="67"/>
      <c r="E164" s="67"/>
      <c r="F164" s="68"/>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R164" s="3"/>
      <c r="ES164" s="3"/>
      <c r="ET164" s="3"/>
    </row>
    <row r="165" spans="4:150" ht="15.75" customHeight="1" x14ac:dyDescent="0.25">
      <c r="D165" s="67"/>
      <c r="E165" s="67"/>
      <c r="F165" s="68"/>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R165" s="3"/>
      <c r="ES165" s="3"/>
      <c r="ET165" s="3"/>
    </row>
    <row r="166" spans="4:150" ht="15.75" customHeight="1" x14ac:dyDescent="0.25">
      <c r="D166" s="67"/>
      <c r="E166" s="67"/>
      <c r="F166" s="68"/>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R166" s="3"/>
      <c r="ES166" s="3"/>
      <c r="ET166" s="3"/>
    </row>
    <row r="167" spans="4:150" ht="15.75" customHeight="1" x14ac:dyDescent="0.25">
      <c r="D167" s="67"/>
      <c r="E167" s="67"/>
      <c r="F167" s="68"/>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R167" s="3"/>
      <c r="ES167" s="3"/>
      <c r="ET167" s="3"/>
    </row>
    <row r="168" spans="4:150" ht="15.75" customHeight="1" x14ac:dyDescent="0.25">
      <c r="D168" s="67"/>
      <c r="E168" s="67"/>
      <c r="F168" s="68"/>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R168" s="3"/>
      <c r="ES168" s="3"/>
      <c r="ET168" s="3"/>
    </row>
    <row r="169" spans="4:150" ht="15.75" customHeight="1" x14ac:dyDescent="0.25">
      <c r="D169" s="67"/>
      <c r="E169" s="67"/>
      <c r="F169" s="68"/>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R169" s="3"/>
      <c r="ES169" s="3"/>
      <c r="ET169" s="3"/>
    </row>
    <row r="170" spans="4:150" ht="15.75" customHeight="1" x14ac:dyDescent="0.25">
      <c r="D170" s="67"/>
      <c r="E170" s="67"/>
      <c r="F170" s="68"/>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R170" s="3"/>
      <c r="ES170" s="3"/>
      <c r="ET170" s="3"/>
    </row>
    <row r="171" spans="4:150" ht="15.75" customHeight="1" x14ac:dyDescent="0.25">
      <c r="D171" s="67"/>
      <c r="E171" s="67"/>
      <c r="F171" s="68"/>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R171" s="3"/>
      <c r="ES171" s="3"/>
      <c r="ET171" s="3"/>
    </row>
    <row r="172" spans="4:150" ht="15.75" customHeight="1" x14ac:dyDescent="0.25">
      <c r="D172" s="67"/>
      <c r="E172" s="67"/>
      <c r="F172" s="68"/>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R172" s="3"/>
      <c r="ES172" s="3"/>
      <c r="ET172" s="3"/>
    </row>
    <row r="173" spans="4:150" ht="15.75" customHeight="1" x14ac:dyDescent="0.25">
      <c r="D173" s="67"/>
      <c r="E173" s="67"/>
      <c r="F173" s="68"/>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R173" s="3"/>
      <c r="ES173" s="3"/>
      <c r="ET173" s="3"/>
    </row>
    <row r="174" spans="4:150" ht="15.75" customHeight="1" x14ac:dyDescent="0.25">
      <c r="D174" s="67"/>
      <c r="E174" s="67"/>
      <c r="F174" s="68"/>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R174" s="3"/>
      <c r="ES174" s="3"/>
      <c r="ET174" s="3"/>
    </row>
    <row r="175" spans="4:150" ht="15.75" customHeight="1" x14ac:dyDescent="0.25">
      <c r="D175" s="67"/>
      <c r="E175" s="67"/>
      <c r="F175" s="68"/>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R175" s="3"/>
      <c r="ES175" s="3"/>
      <c r="ET175" s="3"/>
    </row>
    <row r="176" spans="4:150" ht="15.75" customHeight="1" x14ac:dyDescent="0.25">
      <c r="D176" s="67"/>
      <c r="E176" s="67"/>
      <c r="F176" s="68"/>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R176" s="3"/>
      <c r="ES176" s="3"/>
      <c r="ET176" s="3"/>
    </row>
    <row r="177" spans="4:150" ht="15.75" customHeight="1" x14ac:dyDescent="0.25">
      <c r="D177" s="67"/>
      <c r="E177" s="67"/>
      <c r="F177" s="68"/>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R177" s="3"/>
      <c r="ES177" s="3"/>
      <c r="ET177" s="3"/>
    </row>
    <row r="178" spans="4:150" ht="15.75" customHeight="1" x14ac:dyDescent="0.25">
      <c r="D178" s="67"/>
      <c r="E178" s="67"/>
      <c r="F178" s="68"/>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R178" s="3"/>
      <c r="ES178" s="3"/>
      <c r="ET178" s="3"/>
    </row>
    <row r="179" spans="4:150" ht="15.75" customHeight="1" x14ac:dyDescent="0.25">
      <c r="D179" s="67"/>
      <c r="E179" s="67"/>
      <c r="F179" s="68"/>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R179" s="3"/>
      <c r="ES179" s="3"/>
      <c r="ET179" s="3"/>
    </row>
    <row r="180" spans="4:150" ht="15.75" customHeight="1" x14ac:dyDescent="0.25">
      <c r="D180" s="67"/>
      <c r="E180" s="67"/>
      <c r="F180" s="68"/>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R180" s="3"/>
      <c r="ES180" s="3"/>
      <c r="ET180" s="3"/>
    </row>
    <row r="181" spans="4:150" ht="15.75" customHeight="1" x14ac:dyDescent="0.25">
      <c r="D181" s="67"/>
      <c r="E181" s="67"/>
      <c r="F181" s="68"/>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R181" s="3"/>
      <c r="ES181" s="3"/>
      <c r="ET181" s="3"/>
    </row>
    <row r="182" spans="4:150" ht="15.75" customHeight="1" x14ac:dyDescent="0.25">
      <c r="D182" s="67"/>
      <c r="E182" s="67"/>
      <c r="F182" s="68"/>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R182" s="3"/>
      <c r="ES182" s="3"/>
      <c r="ET182" s="3"/>
    </row>
    <row r="183" spans="4:150" ht="15.75" customHeight="1" x14ac:dyDescent="0.25">
      <c r="D183" s="67"/>
      <c r="E183" s="67"/>
      <c r="F183" s="68"/>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R183" s="3"/>
      <c r="ES183" s="3"/>
      <c r="ET183" s="3"/>
    </row>
    <row r="184" spans="4:150" ht="15.75" customHeight="1" x14ac:dyDescent="0.25">
      <c r="D184" s="67"/>
      <c r="E184" s="67"/>
      <c r="F184" s="68"/>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R184" s="3"/>
      <c r="ES184" s="3"/>
      <c r="ET184" s="3"/>
    </row>
    <row r="185" spans="4:150" ht="15.75" customHeight="1" x14ac:dyDescent="0.25">
      <c r="D185" s="67"/>
      <c r="E185" s="67"/>
      <c r="F185" s="68"/>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R185" s="3"/>
      <c r="ES185" s="3"/>
      <c r="ET185" s="3"/>
    </row>
    <row r="186" spans="4:150" ht="15.75" customHeight="1" x14ac:dyDescent="0.25">
      <c r="D186" s="67"/>
      <c r="E186" s="67"/>
      <c r="F186" s="68"/>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R186" s="3"/>
      <c r="ES186" s="3"/>
      <c r="ET186" s="3"/>
    </row>
    <row r="187" spans="4:150" ht="15.75" customHeight="1" x14ac:dyDescent="0.25">
      <c r="D187" s="67"/>
      <c r="E187" s="67"/>
      <c r="F187" s="68"/>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R187" s="3"/>
      <c r="ES187" s="3"/>
      <c r="ET187" s="3"/>
    </row>
    <row r="188" spans="4:150" ht="15.75" customHeight="1" x14ac:dyDescent="0.25">
      <c r="D188" s="67"/>
      <c r="E188" s="67"/>
      <c r="F188" s="68"/>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R188" s="3"/>
      <c r="ES188" s="3"/>
      <c r="ET188" s="3"/>
    </row>
    <row r="189" spans="4:150" ht="15.75" customHeight="1" x14ac:dyDescent="0.25">
      <c r="D189" s="67"/>
      <c r="E189" s="67"/>
      <c r="F189" s="68"/>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R189" s="3"/>
      <c r="ES189" s="3"/>
      <c r="ET189" s="3"/>
    </row>
    <row r="190" spans="4:150" ht="15.75" customHeight="1" x14ac:dyDescent="0.25">
      <c r="D190" s="67"/>
      <c r="E190" s="67"/>
      <c r="F190" s="68"/>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c r="DT190" s="29"/>
      <c r="DU190" s="29"/>
      <c r="DV190" s="29"/>
      <c r="DW190" s="29"/>
      <c r="DX190" s="29"/>
      <c r="DY190" s="29"/>
      <c r="DZ190" s="29"/>
      <c r="EA190" s="29"/>
      <c r="EB190" s="29"/>
      <c r="EC190" s="29"/>
      <c r="ED190" s="29"/>
      <c r="EE190" s="29"/>
      <c r="EF190" s="29"/>
      <c r="EG190" s="29"/>
      <c r="EH190" s="29"/>
      <c r="EI190" s="29"/>
      <c r="EJ190" s="29"/>
      <c r="EK190" s="29"/>
      <c r="EL190" s="29"/>
      <c r="ER190" s="3"/>
      <c r="ES190" s="3"/>
      <c r="ET190" s="3"/>
    </row>
    <row r="191" spans="4:150" ht="15.75" customHeight="1" x14ac:dyDescent="0.25">
      <c r="D191" s="67"/>
      <c r="E191" s="67"/>
      <c r="F191" s="68"/>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R191" s="3"/>
      <c r="ES191" s="3"/>
      <c r="ET191" s="3"/>
    </row>
    <row r="192" spans="4:150" ht="15.75" customHeight="1" x14ac:dyDescent="0.25">
      <c r="D192" s="67"/>
      <c r="E192" s="67"/>
      <c r="F192" s="68"/>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c r="DQ192" s="29"/>
      <c r="DR192" s="29"/>
      <c r="DS192" s="29"/>
      <c r="DT192" s="29"/>
      <c r="DU192" s="29"/>
      <c r="DV192" s="29"/>
      <c r="DW192" s="29"/>
      <c r="DX192" s="29"/>
      <c r="DY192" s="29"/>
      <c r="DZ192" s="29"/>
      <c r="EA192" s="29"/>
      <c r="EB192" s="29"/>
      <c r="EC192" s="29"/>
      <c r="ED192" s="29"/>
      <c r="EE192" s="29"/>
      <c r="EF192" s="29"/>
      <c r="EG192" s="29"/>
      <c r="EH192" s="29"/>
      <c r="EI192" s="29"/>
      <c r="EJ192" s="29"/>
      <c r="EK192" s="29"/>
      <c r="EL192" s="29"/>
      <c r="ER192" s="3"/>
      <c r="ES192" s="3"/>
      <c r="ET192" s="3"/>
    </row>
    <row r="193" spans="4:150" ht="15.75" customHeight="1" x14ac:dyDescent="0.25">
      <c r="D193" s="67"/>
      <c r="E193" s="67"/>
      <c r="F193" s="68"/>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R193" s="3"/>
      <c r="ES193" s="3"/>
      <c r="ET193" s="3"/>
    </row>
    <row r="194" spans="4:150" ht="15.75" customHeight="1" x14ac:dyDescent="0.25">
      <c r="D194" s="67"/>
      <c r="E194" s="67"/>
      <c r="F194" s="68"/>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R194" s="3"/>
      <c r="ES194" s="3"/>
      <c r="ET194" s="3"/>
    </row>
    <row r="195" spans="4:150" ht="15.75" customHeight="1" x14ac:dyDescent="0.25">
      <c r="D195" s="67"/>
      <c r="E195" s="67"/>
      <c r="F195" s="68"/>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R195" s="3"/>
      <c r="ES195" s="3"/>
      <c r="ET195" s="3"/>
    </row>
    <row r="196" spans="4:150" ht="15.75" customHeight="1" x14ac:dyDescent="0.25">
      <c r="D196" s="67"/>
      <c r="E196" s="67"/>
      <c r="F196" s="68"/>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R196" s="3"/>
      <c r="ES196" s="3"/>
      <c r="ET196" s="3"/>
    </row>
    <row r="197" spans="4:150" ht="15.75" customHeight="1" x14ac:dyDescent="0.25">
      <c r="D197" s="67"/>
      <c r="E197" s="67"/>
      <c r="F197" s="68"/>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R197" s="3"/>
      <c r="ES197" s="3"/>
      <c r="ET197" s="3"/>
    </row>
    <row r="198" spans="4:150" ht="15.75" customHeight="1" x14ac:dyDescent="0.25">
      <c r="D198" s="67"/>
      <c r="E198" s="67"/>
      <c r="F198" s="68"/>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R198" s="3"/>
      <c r="ES198" s="3"/>
      <c r="ET198" s="3"/>
    </row>
    <row r="199" spans="4:150" ht="15.75" customHeight="1" x14ac:dyDescent="0.25">
      <c r="D199" s="67"/>
      <c r="E199" s="67"/>
      <c r="F199" s="68"/>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R199" s="3"/>
      <c r="ES199" s="3"/>
      <c r="ET199" s="3"/>
    </row>
    <row r="200" spans="4:150" ht="15.75" customHeight="1" x14ac:dyDescent="0.25">
      <c r="D200" s="67"/>
      <c r="E200" s="67"/>
      <c r="F200" s="68"/>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R200" s="3"/>
      <c r="ES200" s="3"/>
      <c r="ET200" s="3"/>
    </row>
    <row r="201" spans="4:150" ht="15.75" customHeight="1" x14ac:dyDescent="0.25">
      <c r="D201" s="67"/>
      <c r="E201" s="67"/>
      <c r="F201" s="68"/>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R201" s="3"/>
      <c r="ES201" s="3"/>
      <c r="ET201" s="3"/>
    </row>
    <row r="202" spans="4:150" ht="15.75" customHeight="1" x14ac:dyDescent="0.25">
      <c r="D202" s="67"/>
      <c r="E202" s="67"/>
      <c r="F202" s="68"/>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R202" s="3"/>
      <c r="ES202" s="3"/>
      <c r="ET202" s="3"/>
    </row>
    <row r="203" spans="4:150" ht="15.75" customHeight="1" x14ac:dyDescent="0.25">
      <c r="D203" s="67"/>
      <c r="E203" s="67"/>
      <c r="F203" s="68"/>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R203" s="3"/>
      <c r="ES203" s="3"/>
      <c r="ET203" s="3"/>
    </row>
    <row r="204" spans="4:150" ht="15.75" customHeight="1" x14ac:dyDescent="0.25">
      <c r="D204" s="67"/>
      <c r="E204" s="67"/>
      <c r="F204" s="68"/>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R204" s="3"/>
      <c r="ES204" s="3"/>
      <c r="ET204" s="3"/>
    </row>
    <row r="205" spans="4:150" ht="15.75" customHeight="1" x14ac:dyDescent="0.25">
      <c r="D205" s="67"/>
      <c r="E205" s="67"/>
      <c r="F205" s="68"/>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R205" s="3"/>
      <c r="ES205" s="3"/>
      <c r="ET205" s="3"/>
    </row>
    <row r="206" spans="4:150" ht="15.75" customHeight="1" x14ac:dyDescent="0.25">
      <c r="D206" s="67"/>
      <c r="E206" s="67"/>
      <c r="F206" s="68"/>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R206" s="3"/>
      <c r="ES206" s="3"/>
      <c r="ET206" s="3"/>
    </row>
    <row r="207" spans="4:150" ht="15.75" customHeight="1" x14ac:dyDescent="0.25">
      <c r="D207" s="67"/>
      <c r="E207" s="67"/>
      <c r="F207" s="68"/>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R207" s="3"/>
      <c r="ES207" s="3"/>
      <c r="ET207" s="3"/>
    </row>
    <row r="208" spans="4:150" ht="15.75" customHeight="1" x14ac:dyDescent="0.25">
      <c r="D208" s="67"/>
      <c r="E208" s="67"/>
      <c r="F208" s="68"/>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R208" s="3"/>
      <c r="ES208" s="3"/>
      <c r="ET208" s="3"/>
    </row>
    <row r="209" spans="4:150" ht="15.75" customHeight="1" x14ac:dyDescent="0.25">
      <c r="D209" s="67"/>
      <c r="E209" s="67"/>
      <c r="F209" s="68"/>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R209" s="3"/>
      <c r="ES209" s="3"/>
      <c r="ET209" s="3"/>
    </row>
    <row r="210" spans="4:150" ht="15.75" customHeight="1" x14ac:dyDescent="0.25">
      <c r="D210" s="67"/>
      <c r="E210" s="67"/>
      <c r="F210" s="68"/>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R210" s="3"/>
      <c r="ES210" s="3"/>
      <c r="ET210" s="3"/>
    </row>
    <row r="211" spans="4:150" ht="15.75" customHeight="1" x14ac:dyDescent="0.25">
      <c r="D211" s="67"/>
      <c r="E211" s="67"/>
      <c r="F211" s="68"/>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R211" s="3"/>
      <c r="ES211" s="3"/>
      <c r="ET211" s="3"/>
    </row>
    <row r="212" spans="4:150" ht="15.75" customHeight="1" x14ac:dyDescent="0.25">
      <c r="D212" s="67"/>
      <c r="E212" s="67"/>
      <c r="F212" s="68"/>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R212" s="3"/>
      <c r="ES212" s="3"/>
      <c r="ET212" s="3"/>
    </row>
    <row r="213" spans="4:150" ht="15.75" customHeight="1" x14ac:dyDescent="0.25">
      <c r="D213" s="67"/>
      <c r="E213" s="67"/>
      <c r="F213" s="68"/>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R213" s="3"/>
      <c r="ES213" s="3"/>
      <c r="ET213" s="3"/>
    </row>
    <row r="214" spans="4:150" ht="15.75" customHeight="1" x14ac:dyDescent="0.25">
      <c r="D214" s="67"/>
      <c r="E214" s="67"/>
      <c r="F214" s="68"/>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R214" s="3"/>
      <c r="ES214" s="3"/>
      <c r="ET214" s="3"/>
    </row>
    <row r="215" spans="4:150" ht="15.75" customHeight="1" x14ac:dyDescent="0.25">
      <c r="D215" s="67"/>
      <c r="E215" s="67"/>
      <c r="F215" s="68"/>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R215" s="3"/>
      <c r="ES215" s="3"/>
      <c r="ET215" s="3"/>
    </row>
    <row r="216" spans="4:150" ht="15.75" customHeight="1" x14ac:dyDescent="0.25">
      <c r="D216" s="67"/>
      <c r="E216" s="67"/>
      <c r="F216" s="68"/>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R216" s="3"/>
      <c r="ES216" s="3"/>
      <c r="ET216" s="3"/>
    </row>
    <row r="217" spans="4:150" ht="15.75" customHeight="1" x14ac:dyDescent="0.25">
      <c r="D217" s="67"/>
      <c r="E217" s="67"/>
      <c r="F217" s="68"/>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R217" s="3"/>
      <c r="ES217" s="3"/>
      <c r="ET217" s="3"/>
    </row>
    <row r="218" spans="4:150" ht="15.75" customHeight="1" x14ac:dyDescent="0.25">
      <c r="D218" s="67"/>
      <c r="E218" s="67"/>
      <c r="F218" s="68"/>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R218" s="3"/>
      <c r="ES218" s="3"/>
      <c r="ET218" s="3"/>
    </row>
    <row r="219" spans="4:150" ht="15.75" customHeight="1" x14ac:dyDescent="0.25">
      <c r="D219" s="67"/>
      <c r="E219" s="67"/>
      <c r="F219" s="68"/>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R219" s="3"/>
      <c r="ES219" s="3"/>
      <c r="ET219" s="3"/>
    </row>
    <row r="220" spans="4:150" ht="15.75" customHeight="1" x14ac:dyDescent="0.25">
      <c r="D220" s="67"/>
      <c r="E220" s="67"/>
      <c r="F220" s="68"/>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R220" s="3"/>
      <c r="ES220" s="3"/>
      <c r="ET220" s="3"/>
    </row>
    <row r="221" spans="4:150" ht="15.75" customHeight="1" x14ac:dyDescent="0.25">
      <c r="D221" s="67"/>
      <c r="E221" s="67"/>
      <c r="F221" s="68"/>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R221" s="3"/>
      <c r="ES221" s="3"/>
      <c r="ET221" s="3"/>
    </row>
    <row r="222" spans="4:150" ht="15.75" customHeight="1" x14ac:dyDescent="0.25">
      <c r="D222" s="67"/>
      <c r="E222" s="67"/>
      <c r="F222" s="68"/>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R222" s="3"/>
      <c r="ES222" s="3"/>
      <c r="ET222" s="3"/>
    </row>
    <row r="223" spans="4:150" ht="15.75" customHeight="1" x14ac:dyDescent="0.25">
      <c r="D223" s="67"/>
      <c r="E223" s="67"/>
      <c r="F223" s="68"/>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R223" s="3"/>
      <c r="ES223" s="3"/>
      <c r="ET223" s="3"/>
    </row>
    <row r="224" spans="4:150" ht="15.75" customHeight="1" x14ac:dyDescent="0.25">
      <c r="D224" s="67"/>
      <c r="E224" s="67"/>
      <c r="F224" s="68"/>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R224" s="3"/>
      <c r="ES224" s="3"/>
      <c r="ET224" s="3"/>
    </row>
    <row r="225" spans="4:150" ht="15.75" customHeight="1" x14ac:dyDescent="0.25">
      <c r="D225" s="67"/>
      <c r="E225" s="67"/>
      <c r="F225" s="68"/>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R225" s="3"/>
      <c r="ES225" s="3"/>
      <c r="ET225" s="3"/>
    </row>
    <row r="226" spans="4:150" ht="15.75" customHeight="1" x14ac:dyDescent="0.25">
      <c r="D226" s="67"/>
      <c r="E226" s="67"/>
      <c r="F226" s="68"/>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R226" s="3"/>
      <c r="ES226" s="3"/>
      <c r="ET226" s="3"/>
    </row>
    <row r="227" spans="4:150" ht="15.75" customHeight="1" x14ac:dyDescent="0.25">
      <c r="D227" s="67"/>
      <c r="E227" s="67"/>
      <c r="F227" s="68"/>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R227" s="3"/>
      <c r="ES227" s="3"/>
      <c r="ET227" s="3"/>
    </row>
    <row r="228" spans="4:150" ht="15.75" customHeight="1" x14ac:dyDescent="0.25">
      <c r="D228" s="67"/>
      <c r="E228" s="67"/>
      <c r="F228" s="68"/>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R228" s="3"/>
      <c r="ES228" s="3"/>
      <c r="ET228" s="3"/>
    </row>
    <row r="229" spans="4:150" ht="15.75" customHeight="1" x14ac:dyDescent="0.25">
      <c r="D229" s="67"/>
      <c r="E229" s="67"/>
      <c r="F229" s="68"/>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R229" s="3"/>
      <c r="ES229" s="3"/>
      <c r="ET229" s="3"/>
    </row>
    <row r="230" spans="4:150" ht="15.75" customHeight="1" x14ac:dyDescent="0.25">
      <c r="D230" s="67"/>
      <c r="E230" s="67"/>
      <c r="F230" s="68"/>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R230" s="3"/>
      <c r="ES230" s="3"/>
      <c r="ET230" s="3"/>
    </row>
    <row r="231" spans="4:150" ht="15.75" customHeight="1" x14ac:dyDescent="0.25">
      <c r="D231" s="67"/>
      <c r="E231" s="67"/>
      <c r="F231" s="68"/>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R231" s="3"/>
      <c r="ES231" s="3"/>
      <c r="ET231" s="3"/>
    </row>
    <row r="232" spans="4:150" ht="15.75" customHeight="1" x14ac:dyDescent="0.25">
      <c r="D232" s="67"/>
      <c r="E232" s="67"/>
      <c r="F232" s="68"/>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R232" s="3"/>
      <c r="ES232" s="3"/>
      <c r="ET232" s="3"/>
    </row>
    <row r="233" spans="4:150" ht="15.75" customHeight="1" x14ac:dyDescent="0.25">
      <c r="D233" s="67"/>
      <c r="E233" s="67"/>
      <c r="F233" s="68"/>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R233" s="3"/>
      <c r="ES233" s="3"/>
      <c r="ET233" s="3"/>
    </row>
    <row r="234" spans="4:150" ht="15.75" customHeight="1" x14ac:dyDescent="0.25">
      <c r="D234" s="67"/>
      <c r="E234" s="67"/>
      <c r="F234" s="68"/>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R234" s="3"/>
      <c r="ES234" s="3"/>
      <c r="ET234" s="3"/>
    </row>
    <row r="235" spans="4:150" ht="15.75" customHeight="1" x14ac:dyDescent="0.25">
      <c r="D235" s="67"/>
      <c r="E235" s="67"/>
      <c r="F235" s="68"/>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R235" s="3"/>
      <c r="ES235" s="3"/>
      <c r="ET235" s="3"/>
    </row>
    <row r="236" spans="4:150" ht="15.75" customHeight="1" x14ac:dyDescent="0.25">
      <c r="D236" s="67"/>
      <c r="E236" s="67"/>
      <c r="F236" s="68"/>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R236" s="3"/>
      <c r="ES236" s="3"/>
      <c r="ET236" s="3"/>
    </row>
    <row r="237" spans="4:150" ht="15.75" customHeight="1" x14ac:dyDescent="0.25">
      <c r="D237" s="67"/>
      <c r="E237" s="67"/>
      <c r="F237" s="68"/>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R237" s="3"/>
      <c r="ES237" s="3"/>
      <c r="ET237" s="3"/>
    </row>
    <row r="238" spans="4:150" ht="15.75" customHeight="1" x14ac:dyDescent="0.25">
      <c r="D238" s="67"/>
      <c r="E238" s="67"/>
      <c r="F238" s="68"/>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R238" s="3"/>
      <c r="ES238" s="3"/>
      <c r="ET238" s="3"/>
    </row>
    <row r="239" spans="4:150" ht="15.75" customHeight="1" x14ac:dyDescent="0.25">
      <c r="D239" s="67"/>
      <c r="E239" s="67"/>
      <c r="F239" s="68"/>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R239" s="3"/>
      <c r="ES239" s="3"/>
      <c r="ET239" s="3"/>
    </row>
    <row r="240" spans="4:150" ht="15.75" customHeight="1" x14ac:dyDescent="0.25">
      <c r="D240" s="67"/>
      <c r="E240" s="67"/>
      <c r="F240" s="68"/>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R240" s="3"/>
      <c r="ES240" s="3"/>
      <c r="ET240" s="3"/>
    </row>
    <row r="241" spans="4:150" ht="15.75" customHeight="1" x14ac:dyDescent="0.25">
      <c r="D241" s="67"/>
      <c r="E241" s="67"/>
      <c r="F241" s="68"/>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R241" s="3"/>
      <c r="ES241" s="3"/>
      <c r="ET241" s="3"/>
    </row>
    <row r="242" spans="4:150" ht="15.75" customHeight="1" x14ac:dyDescent="0.25">
      <c r="D242" s="67"/>
      <c r="E242" s="67"/>
      <c r="F242" s="68"/>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R242" s="3"/>
      <c r="ES242" s="3"/>
      <c r="ET242" s="3"/>
    </row>
    <row r="243" spans="4:150" ht="15.75" customHeight="1" x14ac:dyDescent="0.25">
      <c r="D243" s="67"/>
      <c r="E243" s="67"/>
      <c r="F243" s="68"/>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c r="DL243" s="29"/>
      <c r="DM243" s="29"/>
      <c r="DN243" s="29"/>
      <c r="DO243" s="29"/>
      <c r="DP243" s="29"/>
      <c r="DQ243" s="29"/>
      <c r="DR243" s="29"/>
      <c r="DS243" s="29"/>
      <c r="DT243" s="29"/>
      <c r="DU243" s="29"/>
      <c r="DV243" s="29"/>
      <c r="DW243" s="29"/>
      <c r="DX243" s="29"/>
      <c r="DY243" s="29"/>
      <c r="DZ243" s="29"/>
      <c r="EA243" s="29"/>
      <c r="EB243" s="29"/>
      <c r="EC243" s="29"/>
      <c r="ED243" s="29"/>
      <c r="EE243" s="29"/>
      <c r="EF243" s="29"/>
      <c r="EG243" s="29"/>
      <c r="EH243" s="29"/>
      <c r="EI243" s="29"/>
      <c r="EJ243" s="29"/>
      <c r="EK243" s="29"/>
      <c r="EL243" s="29"/>
      <c r="ER243" s="3"/>
      <c r="ES243" s="3"/>
      <c r="ET243" s="3"/>
    </row>
    <row r="244" spans="4:150" ht="15.75" customHeight="1" x14ac:dyDescent="0.25">
      <c r="D244" s="67"/>
      <c r="E244" s="67"/>
      <c r="F244" s="68"/>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c r="DL244" s="29"/>
      <c r="DM244" s="29"/>
      <c r="DN244" s="29"/>
      <c r="DO244" s="29"/>
      <c r="DP244" s="29"/>
      <c r="DQ244" s="29"/>
      <c r="DR244" s="29"/>
      <c r="DS244" s="29"/>
      <c r="DT244" s="29"/>
      <c r="DU244" s="29"/>
      <c r="DV244" s="29"/>
      <c r="DW244" s="29"/>
      <c r="DX244" s="29"/>
      <c r="DY244" s="29"/>
      <c r="DZ244" s="29"/>
      <c r="EA244" s="29"/>
      <c r="EB244" s="29"/>
      <c r="EC244" s="29"/>
      <c r="ED244" s="29"/>
      <c r="EE244" s="29"/>
      <c r="EF244" s="29"/>
      <c r="EG244" s="29"/>
      <c r="EH244" s="29"/>
      <c r="EI244" s="29"/>
      <c r="EJ244" s="29"/>
      <c r="EK244" s="29"/>
      <c r="EL244" s="29"/>
      <c r="ER244" s="3"/>
      <c r="ES244" s="3"/>
      <c r="ET244" s="3"/>
    </row>
    <row r="245" spans="4:150" ht="15.75" customHeight="1" x14ac:dyDescent="0.25">
      <c r="D245" s="67"/>
      <c r="E245" s="67"/>
      <c r="F245" s="68"/>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29"/>
      <c r="DB245" s="29"/>
      <c r="DC245" s="29"/>
      <c r="DD245" s="29"/>
      <c r="DE245" s="29"/>
      <c r="DF245" s="29"/>
      <c r="DG245" s="29"/>
      <c r="DH245" s="29"/>
      <c r="DI245" s="29"/>
      <c r="DJ245" s="29"/>
      <c r="DK245" s="29"/>
      <c r="DL245" s="29"/>
      <c r="DM245" s="29"/>
      <c r="DN245" s="29"/>
      <c r="DO245" s="29"/>
      <c r="DP245" s="29"/>
      <c r="DQ245" s="29"/>
      <c r="DR245" s="29"/>
      <c r="DS245" s="29"/>
      <c r="DT245" s="29"/>
      <c r="DU245" s="29"/>
      <c r="DV245" s="29"/>
      <c r="DW245" s="29"/>
      <c r="DX245" s="29"/>
      <c r="DY245" s="29"/>
      <c r="DZ245" s="29"/>
      <c r="EA245" s="29"/>
      <c r="EB245" s="29"/>
      <c r="EC245" s="29"/>
      <c r="ED245" s="29"/>
      <c r="EE245" s="29"/>
      <c r="EF245" s="29"/>
      <c r="EG245" s="29"/>
      <c r="EH245" s="29"/>
      <c r="EI245" s="29"/>
      <c r="EJ245" s="29"/>
      <c r="EK245" s="29"/>
      <c r="EL245" s="29"/>
      <c r="ER245" s="3"/>
      <c r="ES245" s="3"/>
      <c r="ET245" s="3"/>
    </row>
    <row r="246" spans="4:150" ht="15.75" customHeight="1" x14ac:dyDescent="0.25">
      <c r="D246" s="67"/>
      <c r="E246" s="67"/>
      <c r="F246" s="68"/>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R246" s="3"/>
      <c r="ES246" s="3"/>
      <c r="ET246" s="3"/>
    </row>
    <row r="247" spans="4:150" ht="15.75" customHeight="1" x14ac:dyDescent="0.25">
      <c r="D247" s="67"/>
      <c r="E247" s="67"/>
      <c r="F247" s="68"/>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29"/>
      <c r="DB247" s="29"/>
      <c r="DC247" s="29"/>
      <c r="DD247" s="29"/>
      <c r="DE247" s="29"/>
      <c r="DF247" s="29"/>
      <c r="DG247" s="29"/>
      <c r="DH247" s="29"/>
      <c r="DI247" s="29"/>
      <c r="DJ247" s="29"/>
      <c r="DK247" s="29"/>
      <c r="DL247" s="29"/>
      <c r="DM247" s="29"/>
      <c r="DN247" s="29"/>
      <c r="DO247" s="29"/>
      <c r="DP247" s="29"/>
      <c r="DQ247" s="29"/>
      <c r="DR247" s="29"/>
      <c r="DS247" s="29"/>
      <c r="DT247" s="29"/>
      <c r="DU247" s="29"/>
      <c r="DV247" s="29"/>
      <c r="DW247" s="29"/>
      <c r="DX247" s="29"/>
      <c r="DY247" s="29"/>
      <c r="DZ247" s="29"/>
      <c r="EA247" s="29"/>
      <c r="EB247" s="29"/>
      <c r="EC247" s="29"/>
      <c r="ED247" s="29"/>
      <c r="EE247" s="29"/>
      <c r="EF247" s="29"/>
      <c r="EG247" s="29"/>
      <c r="EH247" s="29"/>
      <c r="EI247" s="29"/>
      <c r="EJ247" s="29"/>
      <c r="EK247" s="29"/>
      <c r="EL247" s="29"/>
      <c r="ER247" s="3"/>
      <c r="ES247" s="3"/>
      <c r="ET247" s="3"/>
    </row>
    <row r="248" spans="4:150" ht="15.75" customHeight="1" x14ac:dyDescent="0.25">
      <c r="D248" s="67"/>
      <c r="E248" s="67"/>
      <c r="F248" s="68"/>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29"/>
      <c r="DB248" s="29"/>
      <c r="DC248" s="29"/>
      <c r="DD248" s="29"/>
      <c r="DE248" s="29"/>
      <c r="DF248" s="29"/>
      <c r="DG248" s="29"/>
      <c r="DH248" s="29"/>
      <c r="DI248" s="29"/>
      <c r="DJ248" s="29"/>
      <c r="DK248" s="29"/>
      <c r="DL248" s="29"/>
      <c r="DM248" s="29"/>
      <c r="DN248" s="29"/>
      <c r="DO248" s="29"/>
      <c r="DP248" s="29"/>
      <c r="DQ248" s="29"/>
      <c r="DR248" s="29"/>
      <c r="DS248" s="29"/>
      <c r="DT248" s="29"/>
      <c r="DU248" s="29"/>
      <c r="DV248" s="29"/>
      <c r="DW248" s="29"/>
      <c r="DX248" s="29"/>
      <c r="DY248" s="29"/>
      <c r="DZ248" s="29"/>
      <c r="EA248" s="29"/>
      <c r="EB248" s="29"/>
      <c r="EC248" s="29"/>
      <c r="ED248" s="29"/>
      <c r="EE248" s="29"/>
      <c r="EF248" s="29"/>
      <c r="EG248" s="29"/>
      <c r="EH248" s="29"/>
      <c r="EI248" s="29"/>
      <c r="EJ248" s="29"/>
      <c r="EK248" s="29"/>
      <c r="EL248" s="29"/>
      <c r="ER248" s="3"/>
      <c r="ES248" s="3"/>
      <c r="ET248" s="3"/>
    </row>
    <row r="249" spans="4:150" ht="15.75" customHeight="1" x14ac:dyDescent="0.25">
      <c r="D249" s="67"/>
      <c r="E249" s="67"/>
      <c r="F249" s="68"/>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R249" s="3"/>
      <c r="ES249" s="3"/>
      <c r="ET249" s="3"/>
    </row>
    <row r="250" spans="4:150" ht="15.75" customHeight="1" x14ac:dyDescent="0.25">
      <c r="D250" s="67"/>
      <c r="E250" s="67"/>
      <c r="F250" s="68"/>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29"/>
      <c r="DB250" s="29"/>
      <c r="DC250" s="29"/>
      <c r="DD250" s="29"/>
      <c r="DE250" s="29"/>
      <c r="DF250" s="29"/>
      <c r="DG250" s="29"/>
      <c r="DH250" s="29"/>
      <c r="DI250" s="29"/>
      <c r="DJ250" s="29"/>
      <c r="DK250" s="29"/>
      <c r="DL250" s="29"/>
      <c r="DM250" s="29"/>
      <c r="DN250" s="29"/>
      <c r="DO250" s="29"/>
      <c r="DP250" s="29"/>
      <c r="DQ250" s="29"/>
      <c r="DR250" s="29"/>
      <c r="DS250" s="29"/>
      <c r="DT250" s="29"/>
      <c r="DU250" s="29"/>
      <c r="DV250" s="29"/>
      <c r="DW250" s="29"/>
      <c r="DX250" s="29"/>
      <c r="DY250" s="29"/>
      <c r="DZ250" s="29"/>
      <c r="EA250" s="29"/>
      <c r="EB250" s="29"/>
      <c r="EC250" s="29"/>
      <c r="ED250" s="29"/>
      <c r="EE250" s="29"/>
      <c r="EF250" s="29"/>
      <c r="EG250" s="29"/>
      <c r="EH250" s="29"/>
      <c r="EI250" s="29"/>
      <c r="EJ250" s="29"/>
      <c r="EK250" s="29"/>
      <c r="EL250" s="29"/>
      <c r="ER250" s="3"/>
      <c r="ES250" s="3"/>
      <c r="ET250" s="3"/>
    </row>
    <row r="251" spans="4:150" ht="15.75" customHeight="1" x14ac:dyDescent="0.25">
      <c r="D251" s="67"/>
      <c r="E251" s="67"/>
      <c r="F251" s="68"/>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29"/>
      <c r="DB251" s="29"/>
      <c r="DC251" s="29"/>
      <c r="DD251" s="29"/>
      <c r="DE251" s="29"/>
      <c r="DF251" s="29"/>
      <c r="DG251" s="29"/>
      <c r="DH251" s="29"/>
      <c r="DI251" s="29"/>
      <c r="DJ251" s="29"/>
      <c r="DK251" s="29"/>
      <c r="DL251" s="29"/>
      <c r="DM251" s="29"/>
      <c r="DN251" s="29"/>
      <c r="DO251" s="29"/>
      <c r="DP251" s="29"/>
      <c r="DQ251" s="29"/>
      <c r="DR251" s="29"/>
      <c r="DS251" s="29"/>
      <c r="DT251" s="29"/>
      <c r="DU251" s="29"/>
      <c r="DV251" s="29"/>
      <c r="DW251" s="29"/>
      <c r="DX251" s="29"/>
      <c r="DY251" s="29"/>
      <c r="DZ251" s="29"/>
      <c r="EA251" s="29"/>
      <c r="EB251" s="29"/>
      <c r="EC251" s="29"/>
      <c r="ED251" s="29"/>
      <c r="EE251" s="29"/>
      <c r="EF251" s="29"/>
      <c r="EG251" s="29"/>
      <c r="EH251" s="29"/>
      <c r="EI251" s="29"/>
      <c r="EJ251" s="29"/>
      <c r="EK251" s="29"/>
      <c r="EL251" s="29"/>
      <c r="ER251" s="3"/>
      <c r="ES251" s="3"/>
      <c r="ET251" s="3"/>
    </row>
    <row r="252" spans="4:150" ht="15.75" customHeight="1" x14ac:dyDescent="0.25">
      <c r="D252" s="67"/>
      <c r="E252" s="67"/>
      <c r="F252" s="68"/>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R252" s="3"/>
      <c r="ES252" s="3"/>
      <c r="ET252" s="3"/>
    </row>
    <row r="253" spans="4:150" ht="15.75" customHeight="1" x14ac:dyDescent="0.25">
      <c r="D253" s="67"/>
      <c r="E253" s="67"/>
      <c r="F253" s="68"/>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29"/>
      <c r="DB253" s="29"/>
      <c r="DC253" s="29"/>
      <c r="DD253" s="29"/>
      <c r="DE253" s="29"/>
      <c r="DF253" s="29"/>
      <c r="DG253" s="29"/>
      <c r="DH253" s="29"/>
      <c r="DI253" s="29"/>
      <c r="DJ253" s="29"/>
      <c r="DK253" s="29"/>
      <c r="DL253" s="29"/>
      <c r="DM253" s="29"/>
      <c r="DN253" s="29"/>
      <c r="DO253" s="29"/>
      <c r="DP253" s="29"/>
      <c r="DQ253" s="29"/>
      <c r="DR253" s="29"/>
      <c r="DS253" s="29"/>
      <c r="DT253" s="29"/>
      <c r="DU253" s="29"/>
      <c r="DV253" s="29"/>
      <c r="DW253" s="29"/>
      <c r="DX253" s="29"/>
      <c r="DY253" s="29"/>
      <c r="DZ253" s="29"/>
      <c r="EA253" s="29"/>
      <c r="EB253" s="29"/>
      <c r="EC253" s="29"/>
      <c r="ED253" s="29"/>
      <c r="EE253" s="29"/>
      <c r="EF253" s="29"/>
      <c r="EG253" s="29"/>
      <c r="EH253" s="29"/>
      <c r="EI253" s="29"/>
      <c r="EJ253" s="29"/>
      <c r="EK253" s="29"/>
      <c r="EL253" s="29"/>
      <c r="ER253" s="3"/>
      <c r="ES253" s="3"/>
      <c r="ET253" s="3"/>
    </row>
  </sheetData>
  <mergeCells count="88">
    <mergeCell ref="EY10:EY16"/>
    <mergeCell ref="EZ10:EZ16"/>
    <mergeCell ref="FA10:FA16"/>
    <mergeCell ref="A5:E5"/>
    <mergeCell ref="H7:EQ7"/>
    <mergeCell ref="ER7:ER9"/>
    <mergeCell ref="F5:DL5"/>
    <mergeCell ref="ES7:ES9"/>
    <mergeCell ref="A1:E3"/>
    <mergeCell ref="F1:FA1"/>
    <mergeCell ref="F2:FA2"/>
    <mergeCell ref="EO3:FA3"/>
    <mergeCell ref="FA17:FA23"/>
    <mergeCell ref="A17:A23"/>
    <mergeCell ref="B17:B23"/>
    <mergeCell ref="C17:C23"/>
    <mergeCell ref="D17:D23"/>
    <mergeCell ref="A4:E4"/>
    <mergeCell ref="EU7:EU9"/>
    <mergeCell ref="EV7:EV9"/>
    <mergeCell ref="EY7:EY9"/>
    <mergeCell ref="EZ7:EZ9"/>
    <mergeCell ref="AB8:BE8"/>
    <mergeCell ref="BF8:CI8"/>
    <mergeCell ref="A45:E47"/>
    <mergeCell ref="EY24:EY30"/>
    <mergeCell ref="EZ24:EZ30"/>
    <mergeCell ref="EW17:EW23"/>
    <mergeCell ref="EX17:EX23"/>
    <mergeCell ref="EY17:EY23"/>
    <mergeCell ref="EZ17:EZ23"/>
    <mergeCell ref="ER45:FA47"/>
    <mergeCell ref="EW24:EW30"/>
    <mergeCell ref="EW31:EW37"/>
    <mergeCell ref="EW38:EW44"/>
    <mergeCell ref="A31:A37"/>
    <mergeCell ref="B31:B37"/>
    <mergeCell ref="C31:C37"/>
    <mergeCell ref="D31:D37"/>
    <mergeCell ref="EX24:EX30"/>
    <mergeCell ref="G53:M53"/>
    <mergeCell ref="N53:T53"/>
    <mergeCell ref="E17:E23"/>
    <mergeCell ref="B24:B30"/>
    <mergeCell ref="E24:E30"/>
    <mergeCell ref="B38:B44"/>
    <mergeCell ref="C38:C44"/>
    <mergeCell ref="D38:D44"/>
    <mergeCell ref="E38:E44"/>
    <mergeCell ref="C24:C30"/>
    <mergeCell ref="D24:D30"/>
    <mergeCell ref="E31:E37"/>
    <mergeCell ref="G51:M51"/>
    <mergeCell ref="N51:T51"/>
    <mergeCell ref="G52:M52"/>
    <mergeCell ref="N52:T52"/>
    <mergeCell ref="FB38:FB44"/>
    <mergeCell ref="A24:A30"/>
    <mergeCell ref="A7:G8"/>
    <mergeCell ref="H8:AA8"/>
    <mergeCell ref="A10:A16"/>
    <mergeCell ref="B10:B16"/>
    <mergeCell ref="C10:C16"/>
    <mergeCell ref="D10:D16"/>
    <mergeCell ref="E10:E16"/>
    <mergeCell ref="A38:A44"/>
    <mergeCell ref="FA24:FA30"/>
    <mergeCell ref="EX38:EX44"/>
    <mergeCell ref="EY38:EY44"/>
    <mergeCell ref="EZ38:EZ44"/>
    <mergeCell ref="FA38:FA44"/>
    <mergeCell ref="EX31:EX37"/>
    <mergeCell ref="F4:DL4"/>
    <mergeCell ref="FB10:FB16"/>
    <mergeCell ref="FB17:FB23"/>
    <mergeCell ref="FB24:FB30"/>
    <mergeCell ref="FB31:FB37"/>
    <mergeCell ref="EY31:EY37"/>
    <mergeCell ref="EZ31:EZ37"/>
    <mergeCell ref="FA31:FA37"/>
    <mergeCell ref="CJ8:DM8"/>
    <mergeCell ref="DN8:EQ8"/>
    <mergeCell ref="ET7:ET9"/>
    <mergeCell ref="FA7:FA9"/>
    <mergeCell ref="EW7:EW9"/>
    <mergeCell ref="EX7:EX9"/>
    <mergeCell ref="EW10:EW16"/>
    <mergeCell ref="EX10:EX16"/>
  </mergeCells>
  <dataValidations count="2">
    <dataValidation type="custom" allowBlank="1" showErrorMessage="1" sqref="EW10 EZ38 EW17 EZ17 EW24 EZ24 EW31 EZ31 EW38" xr:uid="{00000000-0002-0000-0100-000000000000}">
      <formula1>LT(LEN(EW10),(2000))</formula1>
    </dataValidation>
    <dataValidation type="custom" allowBlank="1" showErrorMessage="1" sqref="EX24:EY24 EX10:EY10 EX17:EY17 EX31:EY31 EX38:EY38" xr:uid="{00000000-0002-0000-0100-000001000000}">
      <formula1>LT(LEN(EX10),(500))</formula1>
    </dataValidation>
  </dataValidations>
  <printOptions horizontalCentered="1" verticalCentered="1"/>
  <pageMargins left="0" right="0" top="0.74803149606299213" bottom="0" header="0" footer="0"/>
  <pageSetup scale="2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57" zoomScaleNormal="57" workbookViewId="0">
      <selection activeCell="V9" sqref="V9:V10"/>
    </sheetView>
  </sheetViews>
  <sheetFormatPr baseColWidth="10" defaultColWidth="14.42578125" defaultRowHeight="15" customHeight="1" x14ac:dyDescent="0.25"/>
  <cols>
    <col min="1" max="1" width="10.140625" customWidth="1"/>
    <col min="2" max="2" width="19" customWidth="1"/>
    <col min="3" max="3" width="39.28515625" customWidth="1"/>
    <col min="4" max="4" width="9.5703125" customWidth="1"/>
    <col min="5" max="5" width="9.7109375" customWidth="1"/>
    <col min="6" max="6" width="11.85546875" customWidth="1"/>
    <col min="7" max="7" width="8.85546875" customWidth="1"/>
    <col min="8" max="8" width="9" customWidth="1"/>
    <col min="9" max="9" width="9.140625" customWidth="1"/>
    <col min="10" max="10" width="8.7109375" customWidth="1"/>
    <col min="11" max="11" width="8.85546875" customWidth="1"/>
    <col min="12" max="18" width="7.7109375" customWidth="1"/>
    <col min="19" max="19" width="12.42578125" customWidth="1"/>
    <col min="20" max="20" width="11.140625" customWidth="1"/>
    <col min="21" max="21" width="13.28515625" customWidth="1"/>
    <col min="22" max="22" width="75.140625" customWidth="1"/>
    <col min="23" max="23" width="14.42578125" style="276"/>
  </cols>
  <sheetData>
    <row r="1" spans="1:26" ht="43.5" customHeight="1" x14ac:dyDescent="0.25">
      <c r="A1" s="659"/>
      <c r="B1" s="577"/>
      <c r="C1" s="577"/>
      <c r="D1" s="688" t="s">
        <v>0</v>
      </c>
      <c r="E1" s="592"/>
      <c r="F1" s="592"/>
      <c r="G1" s="592"/>
      <c r="H1" s="592"/>
      <c r="I1" s="592"/>
      <c r="J1" s="592"/>
      <c r="K1" s="592"/>
      <c r="L1" s="592"/>
      <c r="M1" s="592"/>
      <c r="N1" s="592"/>
      <c r="O1" s="592"/>
      <c r="P1" s="592"/>
      <c r="Q1" s="592"/>
      <c r="R1" s="592"/>
      <c r="S1" s="592"/>
      <c r="T1" s="592"/>
      <c r="U1" s="592"/>
      <c r="V1" s="689"/>
    </row>
    <row r="2" spans="1:26" ht="64.5" customHeight="1" x14ac:dyDescent="0.25">
      <c r="A2" s="578"/>
      <c r="B2" s="579"/>
      <c r="C2" s="579"/>
      <c r="D2" s="690" t="s">
        <v>342</v>
      </c>
      <c r="E2" s="598"/>
      <c r="F2" s="598"/>
      <c r="G2" s="598"/>
      <c r="H2" s="598"/>
      <c r="I2" s="598"/>
      <c r="J2" s="598"/>
      <c r="K2" s="598"/>
      <c r="L2" s="598"/>
      <c r="M2" s="598"/>
      <c r="N2" s="598"/>
      <c r="O2" s="598"/>
      <c r="P2" s="598"/>
      <c r="Q2" s="598"/>
      <c r="R2" s="598"/>
      <c r="S2" s="598"/>
      <c r="T2" s="598"/>
      <c r="U2" s="598"/>
      <c r="V2" s="691"/>
    </row>
    <row r="3" spans="1:26" ht="43.5" customHeight="1" x14ac:dyDescent="0.25">
      <c r="A3" s="580"/>
      <c r="B3" s="581"/>
      <c r="C3" s="581"/>
      <c r="D3" s="692" t="s">
        <v>343</v>
      </c>
      <c r="E3" s="693"/>
      <c r="F3" s="693"/>
      <c r="G3" s="693"/>
      <c r="H3" s="693"/>
      <c r="I3" s="693"/>
      <c r="J3" s="693"/>
      <c r="K3" s="693"/>
      <c r="L3" s="693"/>
      <c r="M3" s="693"/>
      <c r="N3" s="693"/>
      <c r="O3" s="693"/>
      <c r="P3" s="693"/>
      <c r="Q3" s="693"/>
      <c r="R3" s="693"/>
      <c r="S3" s="693"/>
      <c r="T3" s="693"/>
      <c r="U3" s="694"/>
      <c r="V3" s="75" t="s">
        <v>344</v>
      </c>
    </row>
    <row r="4" spans="1:26" ht="43.5" customHeight="1" x14ac:dyDescent="0.25">
      <c r="A4" s="591" t="s">
        <v>4</v>
      </c>
      <c r="B4" s="592"/>
      <c r="C4" s="689"/>
      <c r="D4" s="695" t="s">
        <v>5</v>
      </c>
      <c r="E4" s="696"/>
      <c r="F4" s="696"/>
      <c r="G4" s="696"/>
      <c r="H4" s="696"/>
      <c r="I4" s="696"/>
      <c r="J4" s="696"/>
      <c r="K4" s="696"/>
      <c r="L4" s="696"/>
      <c r="M4" s="696"/>
      <c r="N4" s="696"/>
      <c r="O4" s="696"/>
      <c r="P4" s="696"/>
      <c r="Q4" s="696"/>
      <c r="R4" s="696"/>
      <c r="S4" s="696"/>
      <c r="T4" s="696"/>
      <c r="U4" s="696"/>
      <c r="V4" s="697"/>
    </row>
    <row r="5" spans="1:26" ht="43.5" customHeight="1" x14ac:dyDescent="0.25">
      <c r="A5" s="698" t="s">
        <v>6</v>
      </c>
      <c r="B5" s="693"/>
      <c r="C5" s="699"/>
      <c r="D5" s="700" t="s">
        <v>189</v>
      </c>
      <c r="E5" s="583"/>
      <c r="F5" s="583"/>
      <c r="G5" s="583"/>
      <c r="H5" s="583"/>
      <c r="I5" s="583"/>
      <c r="J5" s="583"/>
      <c r="K5" s="583"/>
      <c r="L5" s="583"/>
      <c r="M5" s="583"/>
      <c r="N5" s="583"/>
      <c r="O5" s="583"/>
      <c r="P5" s="583"/>
      <c r="Q5" s="583"/>
      <c r="R5" s="583"/>
      <c r="S5" s="583"/>
      <c r="T5" s="583"/>
      <c r="U5" s="583"/>
      <c r="V5" s="586"/>
    </row>
    <row r="6" spans="1:26" ht="18.75" customHeight="1" x14ac:dyDescent="0.25">
      <c r="A6" s="701"/>
      <c r="B6" s="583"/>
      <c r="C6" s="583"/>
      <c r="D6" s="583"/>
      <c r="E6" s="583"/>
      <c r="F6" s="583"/>
      <c r="G6" s="583"/>
      <c r="H6" s="583"/>
      <c r="I6" s="583"/>
      <c r="J6" s="583"/>
      <c r="K6" s="583"/>
      <c r="L6" s="583"/>
      <c r="M6" s="583"/>
      <c r="N6" s="583"/>
      <c r="O6" s="583"/>
      <c r="P6" s="583"/>
      <c r="Q6" s="583"/>
      <c r="R6" s="583"/>
      <c r="S6" s="583"/>
      <c r="T6" s="583"/>
      <c r="U6" s="583"/>
      <c r="V6" s="586"/>
    </row>
    <row r="7" spans="1:26" ht="42.75" customHeight="1" x14ac:dyDescent="0.25">
      <c r="A7" s="702" t="s">
        <v>345</v>
      </c>
      <c r="B7" s="703" t="s">
        <v>346</v>
      </c>
      <c r="C7" s="703" t="s">
        <v>347</v>
      </c>
      <c r="D7" s="704" t="s">
        <v>348</v>
      </c>
      <c r="E7" s="705"/>
      <c r="F7" s="706" t="s">
        <v>844</v>
      </c>
      <c r="G7" s="592"/>
      <c r="H7" s="592"/>
      <c r="I7" s="592"/>
      <c r="J7" s="592"/>
      <c r="K7" s="592"/>
      <c r="L7" s="592"/>
      <c r="M7" s="592"/>
      <c r="N7" s="592"/>
      <c r="O7" s="592"/>
      <c r="P7" s="592"/>
      <c r="Q7" s="592"/>
      <c r="R7" s="592"/>
      <c r="S7" s="705"/>
      <c r="T7" s="707" t="s">
        <v>349</v>
      </c>
      <c r="U7" s="705"/>
      <c r="V7" s="708" t="s">
        <v>923</v>
      </c>
      <c r="W7" s="284"/>
      <c r="X7" s="76"/>
      <c r="Y7" s="76"/>
      <c r="Z7" s="76"/>
    </row>
    <row r="8" spans="1:26" ht="59.25" customHeight="1" thickBot="1" x14ac:dyDescent="0.3">
      <c r="A8" s="665"/>
      <c r="B8" s="638"/>
      <c r="C8" s="638"/>
      <c r="D8" s="77" t="s">
        <v>350</v>
      </c>
      <c r="E8" s="77" t="s">
        <v>351</v>
      </c>
      <c r="F8" s="77" t="s">
        <v>352</v>
      </c>
      <c r="G8" s="264" t="s">
        <v>353</v>
      </c>
      <c r="H8" s="264" t="s">
        <v>354</v>
      </c>
      <c r="I8" s="264" t="s">
        <v>355</v>
      </c>
      <c r="J8" s="264" t="s">
        <v>356</v>
      </c>
      <c r="K8" s="264" t="s">
        <v>357</v>
      </c>
      <c r="L8" s="264" t="s">
        <v>358</v>
      </c>
      <c r="M8" s="264" t="s">
        <v>359</v>
      </c>
      <c r="N8" s="264" t="s">
        <v>360</v>
      </c>
      <c r="O8" s="264" t="s">
        <v>361</v>
      </c>
      <c r="P8" s="264" t="s">
        <v>362</v>
      </c>
      <c r="Q8" s="264" t="s">
        <v>363</v>
      </c>
      <c r="R8" s="264" t="s">
        <v>364</v>
      </c>
      <c r="S8" s="91" t="s">
        <v>365</v>
      </c>
      <c r="T8" s="91" t="s">
        <v>366</v>
      </c>
      <c r="U8" s="91" t="s">
        <v>367</v>
      </c>
      <c r="V8" s="609"/>
      <c r="W8" s="284"/>
      <c r="X8" s="76"/>
      <c r="Y8" s="76"/>
      <c r="Z8" s="76"/>
    </row>
    <row r="9" spans="1:26" ht="66" customHeight="1" x14ac:dyDescent="0.25">
      <c r="A9" s="669" t="s">
        <v>320</v>
      </c>
      <c r="B9" s="669" t="s">
        <v>321</v>
      </c>
      <c r="C9" s="675" t="s">
        <v>841</v>
      </c>
      <c r="D9" s="671" t="s">
        <v>368</v>
      </c>
      <c r="E9" s="673" t="s">
        <v>368</v>
      </c>
      <c r="F9" s="280" t="s">
        <v>369</v>
      </c>
      <c r="G9" s="517">
        <v>0.1</v>
      </c>
      <c r="H9" s="517">
        <v>0.15</v>
      </c>
      <c r="I9" s="517">
        <v>0.25</v>
      </c>
      <c r="J9" s="517">
        <v>0.25</v>
      </c>
      <c r="K9" s="517">
        <v>0.25</v>
      </c>
      <c r="L9" s="517">
        <v>0</v>
      </c>
      <c r="M9" s="517">
        <v>0</v>
      </c>
      <c r="N9" s="517">
        <v>0</v>
      </c>
      <c r="O9" s="517">
        <v>0</v>
      </c>
      <c r="P9" s="517">
        <v>0</v>
      </c>
      <c r="Q9" s="517">
        <v>0</v>
      </c>
      <c r="R9" s="517">
        <v>0</v>
      </c>
      <c r="S9" s="281">
        <f t="shared" ref="S9:S24" si="0">SUM(G9:R9)</f>
        <v>1</v>
      </c>
      <c r="T9" s="687">
        <v>0.2</v>
      </c>
      <c r="U9" s="683">
        <v>0.12</v>
      </c>
      <c r="V9" s="685" t="s">
        <v>904</v>
      </c>
      <c r="W9" s="668">
        <f>+LEN(V9)</f>
        <v>1993</v>
      </c>
    </row>
    <row r="10" spans="1:26" ht="68.25" customHeight="1" x14ac:dyDescent="0.25">
      <c r="A10" s="604"/>
      <c r="B10" s="604"/>
      <c r="C10" s="676"/>
      <c r="D10" s="672"/>
      <c r="E10" s="596"/>
      <c r="F10" s="282" t="s">
        <v>370</v>
      </c>
      <c r="G10" s="517">
        <v>0.1</v>
      </c>
      <c r="H10" s="517">
        <v>0.15</v>
      </c>
      <c r="I10" s="517">
        <v>0.25</v>
      </c>
      <c r="J10" s="517">
        <v>0.25</v>
      </c>
      <c r="K10" s="517">
        <v>0.25</v>
      </c>
      <c r="L10" s="517"/>
      <c r="M10" s="517"/>
      <c r="N10" s="517"/>
      <c r="O10" s="517"/>
      <c r="P10" s="518"/>
      <c r="Q10" s="517"/>
      <c r="R10" s="517"/>
      <c r="S10" s="282">
        <f t="shared" si="0"/>
        <v>1</v>
      </c>
      <c r="T10" s="684"/>
      <c r="U10" s="684"/>
      <c r="V10" s="686"/>
      <c r="W10" s="668"/>
    </row>
    <row r="11" spans="1:26" ht="71.25" customHeight="1" x14ac:dyDescent="0.25">
      <c r="A11" s="604"/>
      <c r="B11" s="604"/>
      <c r="C11" s="677" t="s">
        <v>371</v>
      </c>
      <c r="D11" s="679" t="s">
        <v>368</v>
      </c>
      <c r="E11" s="681" t="s">
        <v>368</v>
      </c>
      <c r="F11" s="280" t="s">
        <v>369</v>
      </c>
      <c r="G11" s="519">
        <v>0.1</v>
      </c>
      <c r="H11" s="519">
        <v>0.15</v>
      </c>
      <c r="I11" s="519">
        <v>0.25</v>
      </c>
      <c r="J11" s="519">
        <v>0.25</v>
      </c>
      <c r="K11" s="519">
        <v>0.25</v>
      </c>
      <c r="L11" s="517">
        <v>0</v>
      </c>
      <c r="M11" s="517">
        <v>0</v>
      </c>
      <c r="N11" s="517">
        <v>0</v>
      </c>
      <c r="O11" s="517">
        <v>0</v>
      </c>
      <c r="P11" s="517">
        <v>0</v>
      </c>
      <c r="Q11" s="517">
        <v>0</v>
      </c>
      <c r="R11" s="517">
        <v>0</v>
      </c>
      <c r="S11" s="281">
        <f t="shared" si="0"/>
        <v>1</v>
      </c>
      <c r="T11" s="684"/>
      <c r="U11" s="683">
        <v>0.08</v>
      </c>
      <c r="V11" s="685" t="s">
        <v>908</v>
      </c>
      <c r="W11" s="668">
        <f>+LEN(V11)</f>
        <v>1179</v>
      </c>
    </row>
    <row r="12" spans="1:26" ht="51" customHeight="1" x14ac:dyDescent="0.25">
      <c r="A12" s="670"/>
      <c r="B12" s="670"/>
      <c r="C12" s="678"/>
      <c r="D12" s="680"/>
      <c r="E12" s="682"/>
      <c r="F12" s="282" t="s">
        <v>370</v>
      </c>
      <c r="G12" s="520">
        <v>0.1</v>
      </c>
      <c r="H12" s="520">
        <v>0.15</v>
      </c>
      <c r="I12" s="520">
        <v>0.25</v>
      </c>
      <c r="J12" s="520">
        <v>0.25</v>
      </c>
      <c r="K12" s="520">
        <v>0.25</v>
      </c>
      <c r="L12" s="521"/>
      <c r="M12" s="521"/>
      <c r="N12" s="521"/>
      <c r="O12" s="521"/>
      <c r="P12" s="522"/>
      <c r="Q12" s="521"/>
      <c r="R12" s="521"/>
      <c r="S12" s="282">
        <f t="shared" si="0"/>
        <v>1</v>
      </c>
      <c r="T12" s="684"/>
      <c r="U12" s="684"/>
      <c r="V12" s="686"/>
      <c r="W12" s="668"/>
    </row>
    <row r="13" spans="1:26" ht="93.75" customHeight="1" x14ac:dyDescent="0.25">
      <c r="A13" s="669" t="s">
        <v>329</v>
      </c>
      <c r="B13" s="669" t="s">
        <v>330</v>
      </c>
      <c r="C13" s="674" t="s">
        <v>372</v>
      </c>
      <c r="D13" s="671" t="s">
        <v>368</v>
      </c>
      <c r="E13" s="673" t="s">
        <v>368</v>
      </c>
      <c r="F13" s="280" t="s">
        <v>369</v>
      </c>
      <c r="G13" s="517">
        <v>0.1</v>
      </c>
      <c r="H13" s="517">
        <v>0.15</v>
      </c>
      <c r="I13" s="517">
        <v>0.25</v>
      </c>
      <c r="J13" s="517">
        <v>0.25</v>
      </c>
      <c r="K13" s="517">
        <v>0.25</v>
      </c>
      <c r="L13" s="517">
        <v>0</v>
      </c>
      <c r="M13" s="517">
        <v>0</v>
      </c>
      <c r="N13" s="517">
        <v>0</v>
      </c>
      <c r="O13" s="517">
        <v>0</v>
      </c>
      <c r="P13" s="517">
        <v>0</v>
      </c>
      <c r="Q13" s="517">
        <v>0</v>
      </c>
      <c r="R13" s="517">
        <v>0</v>
      </c>
      <c r="S13" s="281">
        <f t="shared" si="0"/>
        <v>1</v>
      </c>
      <c r="T13" s="687">
        <v>0.2</v>
      </c>
      <c r="U13" s="683">
        <v>0.2</v>
      </c>
      <c r="V13" s="685" t="s">
        <v>924</v>
      </c>
      <c r="W13" s="668">
        <f>+LEN(V13)</f>
        <v>699</v>
      </c>
    </row>
    <row r="14" spans="1:26" ht="70.5" customHeight="1" x14ac:dyDescent="0.25">
      <c r="A14" s="670"/>
      <c r="B14" s="670"/>
      <c r="C14" s="670"/>
      <c r="D14" s="672"/>
      <c r="E14" s="596"/>
      <c r="F14" s="282" t="s">
        <v>370</v>
      </c>
      <c r="G14" s="521">
        <v>0.1</v>
      </c>
      <c r="H14" s="517">
        <v>0.15</v>
      </c>
      <c r="I14" s="517">
        <v>0.25</v>
      </c>
      <c r="J14" s="517">
        <v>0.25</v>
      </c>
      <c r="K14" s="517">
        <v>0.25</v>
      </c>
      <c r="L14" s="517"/>
      <c r="M14" s="517"/>
      <c r="N14" s="517"/>
      <c r="O14" s="517"/>
      <c r="P14" s="518"/>
      <c r="Q14" s="517"/>
      <c r="R14" s="517"/>
      <c r="S14" s="282">
        <f t="shared" si="0"/>
        <v>1</v>
      </c>
      <c r="T14" s="684"/>
      <c r="U14" s="684"/>
      <c r="V14" s="686"/>
      <c r="W14" s="668"/>
    </row>
    <row r="15" spans="1:26" ht="54.75" customHeight="1" x14ac:dyDescent="0.25">
      <c r="A15" s="669" t="s">
        <v>331</v>
      </c>
      <c r="B15" s="669" t="s">
        <v>332</v>
      </c>
      <c r="C15" s="674" t="s">
        <v>842</v>
      </c>
      <c r="D15" s="671" t="s">
        <v>368</v>
      </c>
      <c r="E15" s="673" t="s">
        <v>368</v>
      </c>
      <c r="F15" s="280" t="s">
        <v>369</v>
      </c>
      <c r="G15" s="517">
        <v>0.05</v>
      </c>
      <c r="H15" s="517">
        <v>0.15</v>
      </c>
      <c r="I15" s="517">
        <v>0.25</v>
      </c>
      <c r="J15" s="517">
        <v>0.25</v>
      </c>
      <c r="K15" s="517">
        <v>0.3</v>
      </c>
      <c r="L15" s="517">
        <v>0</v>
      </c>
      <c r="M15" s="517">
        <v>0</v>
      </c>
      <c r="N15" s="517">
        <v>0</v>
      </c>
      <c r="O15" s="517">
        <v>0</v>
      </c>
      <c r="P15" s="517">
        <v>0</v>
      </c>
      <c r="Q15" s="517">
        <v>0</v>
      </c>
      <c r="R15" s="517">
        <v>0</v>
      </c>
      <c r="S15" s="280">
        <f t="shared" si="0"/>
        <v>1</v>
      </c>
      <c r="T15" s="687">
        <v>0.2</v>
      </c>
      <c r="U15" s="683">
        <v>0.15</v>
      </c>
      <c r="V15" s="685" t="s">
        <v>909</v>
      </c>
      <c r="W15" s="668">
        <f>+LEN(V15)</f>
        <v>978</v>
      </c>
    </row>
    <row r="16" spans="1:26" ht="58.5" customHeight="1" x14ac:dyDescent="0.25">
      <c r="A16" s="604"/>
      <c r="B16" s="604"/>
      <c r="C16" s="670"/>
      <c r="D16" s="672"/>
      <c r="E16" s="596"/>
      <c r="F16" s="282" t="s">
        <v>370</v>
      </c>
      <c r="G16" s="521">
        <v>0.05</v>
      </c>
      <c r="H16" s="517">
        <v>0.15</v>
      </c>
      <c r="I16" s="517">
        <v>0.25</v>
      </c>
      <c r="J16" s="517">
        <v>0.25</v>
      </c>
      <c r="K16" s="517">
        <v>0.3</v>
      </c>
      <c r="L16" s="517"/>
      <c r="M16" s="517"/>
      <c r="N16" s="517"/>
      <c r="O16" s="517"/>
      <c r="P16" s="518"/>
      <c r="Q16" s="517"/>
      <c r="R16" s="517"/>
      <c r="S16" s="280">
        <f t="shared" si="0"/>
        <v>1</v>
      </c>
      <c r="T16" s="684"/>
      <c r="U16" s="684"/>
      <c r="V16" s="686"/>
      <c r="W16" s="668"/>
    </row>
    <row r="17" spans="1:23" ht="68.25" customHeight="1" x14ac:dyDescent="0.25">
      <c r="A17" s="604"/>
      <c r="B17" s="604"/>
      <c r="C17" s="674" t="s">
        <v>843</v>
      </c>
      <c r="D17" s="671" t="s">
        <v>368</v>
      </c>
      <c r="E17" s="673" t="s">
        <v>368</v>
      </c>
      <c r="F17" s="280" t="s">
        <v>369</v>
      </c>
      <c r="G17" s="517">
        <v>0.2</v>
      </c>
      <c r="H17" s="517">
        <v>0.15</v>
      </c>
      <c r="I17" s="517">
        <v>0.15</v>
      </c>
      <c r="J17" s="517">
        <v>0.2</v>
      </c>
      <c r="K17" s="517">
        <v>0.3</v>
      </c>
      <c r="L17" s="517">
        <v>0</v>
      </c>
      <c r="M17" s="517">
        <v>0</v>
      </c>
      <c r="N17" s="517">
        <v>0</v>
      </c>
      <c r="O17" s="517">
        <v>0</v>
      </c>
      <c r="P17" s="517">
        <v>0</v>
      </c>
      <c r="Q17" s="517">
        <v>0</v>
      </c>
      <c r="R17" s="517">
        <v>0</v>
      </c>
      <c r="S17" s="280">
        <f t="shared" si="0"/>
        <v>1</v>
      </c>
      <c r="T17" s="684"/>
      <c r="U17" s="683">
        <v>0.05</v>
      </c>
      <c r="V17" s="685" t="s">
        <v>905</v>
      </c>
      <c r="W17" s="668">
        <f>+LEN(V17)</f>
        <v>1991</v>
      </c>
    </row>
    <row r="18" spans="1:23" ht="82.5" customHeight="1" x14ac:dyDescent="0.25">
      <c r="A18" s="670"/>
      <c r="B18" s="670"/>
      <c r="C18" s="670"/>
      <c r="D18" s="672"/>
      <c r="E18" s="596"/>
      <c r="F18" s="282" t="s">
        <v>370</v>
      </c>
      <c r="G18" s="521">
        <v>0.2</v>
      </c>
      <c r="H18" s="517">
        <v>0.15</v>
      </c>
      <c r="I18" s="517">
        <v>0.15</v>
      </c>
      <c r="J18" s="517">
        <v>0.2</v>
      </c>
      <c r="K18" s="517">
        <v>0.3</v>
      </c>
      <c r="L18" s="517"/>
      <c r="M18" s="517"/>
      <c r="N18" s="517"/>
      <c r="O18" s="517"/>
      <c r="P18" s="518"/>
      <c r="Q18" s="517"/>
      <c r="R18" s="517"/>
      <c r="S18" s="283">
        <f t="shared" si="0"/>
        <v>1</v>
      </c>
      <c r="T18" s="684"/>
      <c r="U18" s="684"/>
      <c r="V18" s="686"/>
      <c r="W18" s="668"/>
    </row>
    <row r="19" spans="1:23" ht="72" customHeight="1" x14ac:dyDescent="0.25">
      <c r="A19" s="669" t="s">
        <v>333</v>
      </c>
      <c r="B19" s="669" t="s">
        <v>334</v>
      </c>
      <c r="C19" s="674" t="s">
        <v>373</v>
      </c>
      <c r="D19" s="671" t="s">
        <v>368</v>
      </c>
      <c r="E19" s="673" t="s">
        <v>368</v>
      </c>
      <c r="F19" s="280" t="s">
        <v>369</v>
      </c>
      <c r="G19" s="517">
        <v>0.2</v>
      </c>
      <c r="H19" s="517">
        <v>0.2</v>
      </c>
      <c r="I19" s="517">
        <v>0.2</v>
      </c>
      <c r="J19" s="517">
        <v>0.2</v>
      </c>
      <c r="K19" s="517">
        <v>0.2</v>
      </c>
      <c r="L19" s="517">
        <v>0</v>
      </c>
      <c r="M19" s="517">
        <v>0</v>
      </c>
      <c r="N19" s="517">
        <v>0</v>
      </c>
      <c r="O19" s="517">
        <v>0</v>
      </c>
      <c r="P19" s="517">
        <v>0</v>
      </c>
      <c r="Q19" s="517">
        <v>0</v>
      </c>
      <c r="R19" s="517">
        <v>0</v>
      </c>
      <c r="S19" s="281">
        <f t="shared" si="0"/>
        <v>1</v>
      </c>
      <c r="T19" s="687">
        <v>0.2</v>
      </c>
      <c r="U19" s="711">
        <v>0.2</v>
      </c>
      <c r="V19" s="685" t="s">
        <v>920</v>
      </c>
      <c r="W19" s="668">
        <f>+LEN(V19)</f>
        <v>1119</v>
      </c>
    </row>
    <row r="20" spans="1:23" ht="100.5" customHeight="1" x14ac:dyDescent="0.25">
      <c r="A20" s="670"/>
      <c r="B20" s="670"/>
      <c r="C20" s="670"/>
      <c r="D20" s="672"/>
      <c r="E20" s="596"/>
      <c r="F20" s="282" t="s">
        <v>370</v>
      </c>
      <c r="G20" s="521">
        <v>0.2</v>
      </c>
      <c r="H20" s="521">
        <v>0.2</v>
      </c>
      <c r="I20" s="521">
        <v>0.2</v>
      </c>
      <c r="J20" s="521">
        <v>0.2</v>
      </c>
      <c r="K20" s="521">
        <v>0.2</v>
      </c>
      <c r="L20" s="521"/>
      <c r="M20" s="521"/>
      <c r="N20" s="521"/>
      <c r="O20" s="521"/>
      <c r="P20" s="522"/>
      <c r="Q20" s="521"/>
      <c r="R20" s="521"/>
      <c r="S20" s="283">
        <f t="shared" si="0"/>
        <v>1</v>
      </c>
      <c r="T20" s="684"/>
      <c r="U20" s="684"/>
      <c r="V20" s="712"/>
      <c r="W20" s="668"/>
    </row>
    <row r="21" spans="1:23" ht="60.75" customHeight="1" x14ac:dyDescent="0.25">
      <c r="A21" s="669" t="s">
        <v>335</v>
      </c>
      <c r="B21" s="669" t="s">
        <v>336</v>
      </c>
      <c r="C21" s="677" t="s">
        <v>374</v>
      </c>
      <c r="D21" s="671" t="s">
        <v>368</v>
      </c>
      <c r="E21" s="673" t="s">
        <v>368</v>
      </c>
      <c r="F21" s="280" t="s">
        <v>369</v>
      </c>
      <c r="G21" s="517">
        <v>0.1</v>
      </c>
      <c r="H21" s="517">
        <v>0.15</v>
      </c>
      <c r="I21" s="517">
        <v>0.25</v>
      </c>
      <c r="J21" s="517">
        <v>0.25</v>
      </c>
      <c r="K21" s="517">
        <v>0.25</v>
      </c>
      <c r="L21" s="517">
        <v>0</v>
      </c>
      <c r="M21" s="517">
        <v>0</v>
      </c>
      <c r="N21" s="517">
        <v>0</v>
      </c>
      <c r="O21" s="517">
        <v>0</v>
      </c>
      <c r="P21" s="517">
        <v>0</v>
      </c>
      <c r="Q21" s="517">
        <v>0</v>
      </c>
      <c r="R21" s="517">
        <v>0</v>
      </c>
      <c r="S21" s="281">
        <f t="shared" si="0"/>
        <v>1</v>
      </c>
      <c r="T21" s="687">
        <v>0.2</v>
      </c>
      <c r="U21" s="683">
        <v>0.12</v>
      </c>
      <c r="V21" s="685" t="s">
        <v>906</v>
      </c>
      <c r="W21" s="668">
        <f>+LEN(V21)</f>
        <v>205</v>
      </c>
    </row>
    <row r="22" spans="1:23" ht="60" customHeight="1" x14ac:dyDescent="0.25">
      <c r="A22" s="604"/>
      <c r="B22" s="604"/>
      <c r="C22" s="670"/>
      <c r="D22" s="672"/>
      <c r="E22" s="596"/>
      <c r="F22" s="282" t="s">
        <v>370</v>
      </c>
      <c r="G22" s="521">
        <v>0.1</v>
      </c>
      <c r="H22" s="521">
        <v>0.15</v>
      </c>
      <c r="I22" s="521">
        <v>0.25</v>
      </c>
      <c r="J22" s="521">
        <v>0.25</v>
      </c>
      <c r="K22" s="521">
        <v>0.25</v>
      </c>
      <c r="L22" s="517"/>
      <c r="M22" s="517"/>
      <c r="N22" s="517"/>
      <c r="O22" s="517"/>
      <c r="P22" s="518"/>
      <c r="Q22" s="517"/>
      <c r="R22" s="517"/>
      <c r="S22" s="282">
        <f t="shared" si="0"/>
        <v>1</v>
      </c>
      <c r="T22" s="684"/>
      <c r="U22" s="684"/>
      <c r="V22" s="686"/>
      <c r="W22" s="668"/>
    </row>
    <row r="23" spans="1:23" ht="42.75" customHeight="1" x14ac:dyDescent="0.25">
      <c r="A23" s="604"/>
      <c r="B23" s="604"/>
      <c r="C23" s="677" t="s">
        <v>375</v>
      </c>
      <c r="D23" s="671" t="s">
        <v>368</v>
      </c>
      <c r="E23" s="673" t="s">
        <v>368</v>
      </c>
      <c r="F23" s="280" t="s">
        <v>369</v>
      </c>
      <c r="G23" s="517">
        <v>0.1</v>
      </c>
      <c r="H23" s="517">
        <v>0.15</v>
      </c>
      <c r="I23" s="517">
        <v>0.25</v>
      </c>
      <c r="J23" s="517">
        <v>0.25</v>
      </c>
      <c r="K23" s="517">
        <v>0.25</v>
      </c>
      <c r="L23" s="517">
        <v>0</v>
      </c>
      <c r="M23" s="517">
        <v>0</v>
      </c>
      <c r="N23" s="517">
        <v>0</v>
      </c>
      <c r="O23" s="517">
        <v>0</v>
      </c>
      <c r="P23" s="517">
        <v>0</v>
      </c>
      <c r="Q23" s="517">
        <v>0</v>
      </c>
      <c r="R23" s="517">
        <v>0</v>
      </c>
      <c r="S23" s="281">
        <f t="shared" si="0"/>
        <v>1</v>
      </c>
      <c r="T23" s="684"/>
      <c r="U23" s="683">
        <v>0.08</v>
      </c>
      <c r="V23" s="685" t="s">
        <v>907</v>
      </c>
      <c r="W23" s="668">
        <f>+LEN(V23)</f>
        <v>391</v>
      </c>
    </row>
    <row r="24" spans="1:23" ht="33.75" customHeight="1" x14ac:dyDescent="0.25">
      <c r="A24" s="670"/>
      <c r="B24" s="670"/>
      <c r="C24" s="670"/>
      <c r="D24" s="672"/>
      <c r="E24" s="596"/>
      <c r="F24" s="282" t="s">
        <v>370</v>
      </c>
      <c r="G24" s="521">
        <v>0.1</v>
      </c>
      <c r="H24" s="521">
        <v>0.15</v>
      </c>
      <c r="I24" s="521">
        <v>0.25</v>
      </c>
      <c r="J24" s="521">
        <v>0.25</v>
      </c>
      <c r="K24" s="521">
        <v>0.25</v>
      </c>
      <c r="L24" s="517"/>
      <c r="M24" s="517"/>
      <c r="N24" s="517"/>
      <c r="O24" s="517"/>
      <c r="P24" s="518"/>
      <c r="Q24" s="517"/>
      <c r="R24" s="517"/>
      <c r="S24" s="282">
        <f t="shared" si="0"/>
        <v>1</v>
      </c>
      <c r="T24" s="684"/>
      <c r="U24" s="684"/>
      <c r="V24" s="686"/>
      <c r="W24" s="668"/>
    </row>
    <row r="25" spans="1:23" ht="18.75" customHeight="1" thickBot="1" x14ac:dyDescent="0.3">
      <c r="A25" s="713" t="s">
        <v>376</v>
      </c>
      <c r="B25" s="588"/>
      <c r="C25" s="588"/>
      <c r="D25" s="588"/>
      <c r="E25" s="588"/>
      <c r="F25" s="588"/>
      <c r="G25" s="588"/>
      <c r="H25" s="588"/>
      <c r="I25" s="588"/>
      <c r="J25" s="588"/>
      <c r="K25" s="588"/>
      <c r="L25" s="588"/>
      <c r="M25" s="588"/>
      <c r="N25" s="588"/>
      <c r="O25" s="588"/>
      <c r="P25" s="588"/>
      <c r="Q25" s="588"/>
      <c r="R25" s="588"/>
      <c r="S25" s="714"/>
      <c r="T25" s="79">
        <f>SUM(T9:T24)</f>
        <v>1</v>
      </c>
      <c r="U25" s="79">
        <f>SUM(U9:U24)</f>
        <v>1</v>
      </c>
      <c r="V25" s="80"/>
    </row>
    <row r="26" spans="1:23" ht="12.75" customHeight="1" x14ac:dyDescent="0.25">
      <c r="A26" s="76"/>
      <c r="B26" s="76"/>
      <c r="C26" s="81"/>
      <c r="D26" s="76"/>
      <c r="E26" s="76"/>
      <c r="F26" s="76"/>
      <c r="G26" s="76"/>
      <c r="H26" s="76"/>
      <c r="I26" s="76"/>
      <c r="J26" s="76"/>
      <c r="K26" s="76"/>
      <c r="L26" s="76"/>
      <c r="M26" s="76"/>
      <c r="N26" s="82"/>
      <c r="O26" s="82"/>
      <c r="P26" s="82"/>
      <c r="Q26" s="82"/>
      <c r="R26" s="82"/>
      <c r="S26" s="82"/>
      <c r="T26" s="82"/>
      <c r="U26" s="82"/>
      <c r="V26" s="76"/>
    </row>
    <row r="27" spans="1:23" ht="12.75" customHeight="1" x14ac:dyDescent="0.25">
      <c r="A27" s="76"/>
      <c r="B27" s="76"/>
      <c r="C27" s="81"/>
      <c r="D27" s="76"/>
      <c r="E27" s="76"/>
      <c r="F27" s="76"/>
      <c r="G27" s="76"/>
      <c r="H27" s="76"/>
      <c r="I27" s="76"/>
      <c r="J27" s="76"/>
      <c r="K27" s="76"/>
      <c r="L27" s="76"/>
      <c r="M27" s="76"/>
      <c r="N27" s="82"/>
      <c r="O27" s="82"/>
      <c r="P27" s="82"/>
      <c r="Q27" s="82"/>
      <c r="R27" s="82"/>
      <c r="S27" s="82"/>
      <c r="T27" s="82"/>
      <c r="U27" s="82"/>
      <c r="V27" s="76"/>
    </row>
    <row r="28" spans="1:23" ht="12.75" customHeight="1" x14ac:dyDescent="0.25">
      <c r="A28" s="28" t="s">
        <v>181</v>
      </c>
      <c r="B28" s="715" t="s">
        <v>182</v>
      </c>
      <c r="C28" s="598"/>
      <c r="D28" s="598"/>
      <c r="E28" s="598"/>
      <c r="F28" s="598"/>
      <c r="G28" s="598"/>
      <c r="H28" s="599"/>
      <c r="I28" s="716" t="s">
        <v>183</v>
      </c>
      <c r="J28" s="598"/>
      <c r="K28" s="598"/>
      <c r="L28" s="598"/>
      <c r="M28" s="598"/>
      <c r="N28" s="598"/>
      <c r="O28" s="599"/>
      <c r="P28" s="82"/>
      <c r="Q28" s="82"/>
      <c r="R28" s="82"/>
      <c r="S28" s="82"/>
      <c r="T28" s="82"/>
      <c r="U28" s="82"/>
      <c r="V28" s="76"/>
    </row>
    <row r="29" spans="1:23" ht="12.75" customHeight="1" x14ac:dyDescent="0.25">
      <c r="A29" s="30">
        <v>13</v>
      </c>
      <c r="B29" s="709" t="s">
        <v>184</v>
      </c>
      <c r="C29" s="598"/>
      <c r="D29" s="598"/>
      <c r="E29" s="598"/>
      <c r="F29" s="598"/>
      <c r="G29" s="598"/>
      <c r="H29" s="599"/>
      <c r="I29" s="709" t="s">
        <v>185</v>
      </c>
      <c r="J29" s="598"/>
      <c r="K29" s="598"/>
      <c r="L29" s="598"/>
      <c r="M29" s="598"/>
      <c r="N29" s="598"/>
      <c r="O29" s="599"/>
      <c r="P29" s="82"/>
      <c r="Q29" s="82"/>
      <c r="R29" s="82"/>
      <c r="S29" s="82"/>
      <c r="T29" s="82"/>
      <c r="U29" s="82"/>
      <c r="V29" s="76"/>
    </row>
    <row r="30" spans="1:23" ht="12.75" customHeight="1" x14ac:dyDescent="0.25">
      <c r="A30" s="30">
        <v>14</v>
      </c>
      <c r="B30" s="709" t="s">
        <v>377</v>
      </c>
      <c r="C30" s="598"/>
      <c r="D30" s="598"/>
      <c r="E30" s="598"/>
      <c r="F30" s="598"/>
      <c r="G30" s="598"/>
      <c r="H30" s="599"/>
      <c r="I30" s="710" t="s">
        <v>187</v>
      </c>
      <c r="J30" s="598"/>
      <c r="K30" s="598"/>
      <c r="L30" s="598"/>
      <c r="M30" s="598"/>
      <c r="N30" s="598"/>
      <c r="O30" s="599"/>
      <c r="P30" s="82"/>
      <c r="Q30" s="82"/>
      <c r="R30" s="82"/>
      <c r="S30" s="82"/>
      <c r="T30" s="82"/>
      <c r="U30" s="82"/>
      <c r="V30" s="76"/>
    </row>
    <row r="31" spans="1:23" ht="12.75" customHeight="1" x14ac:dyDescent="0.25">
      <c r="A31" s="76"/>
      <c r="B31" s="76"/>
      <c r="C31" s="81"/>
      <c r="D31" s="76"/>
      <c r="E31" s="76"/>
      <c r="F31" s="76"/>
      <c r="G31" s="76"/>
      <c r="H31" s="76"/>
      <c r="I31" s="76"/>
      <c r="J31" s="76"/>
      <c r="K31" s="76"/>
      <c r="L31" s="76"/>
      <c r="M31" s="76"/>
      <c r="N31" s="82"/>
      <c r="O31" s="82"/>
      <c r="P31" s="82"/>
      <c r="Q31" s="82"/>
      <c r="R31" s="82"/>
      <c r="S31" s="82"/>
      <c r="T31" s="82"/>
      <c r="U31" s="82"/>
      <c r="V31" s="76"/>
    </row>
    <row r="32" spans="1:23" ht="12.75" customHeight="1" x14ac:dyDescent="0.25">
      <c r="A32" s="76"/>
      <c r="B32" s="76"/>
      <c r="C32" s="81"/>
      <c r="D32" s="76"/>
      <c r="E32" s="76"/>
      <c r="F32" s="76"/>
      <c r="G32" s="76"/>
      <c r="H32" s="76"/>
      <c r="I32" s="76"/>
      <c r="J32" s="76"/>
      <c r="K32" s="76"/>
      <c r="L32" s="76"/>
      <c r="M32" s="76"/>
      <c r="N32" s="82"/>
      <c r="O32" s="82"/>
      <c r="P32" s="82"/>
      <c r="Q32" s="82"/>
      <c r="R32" s="82"/>
      <c r="S32" s="82"/>
      <c r="T32" s="82"/>
      <c r="U32" s="82"/>
      <c r="V32" s="76"/>
    </row>
    <row r="33" spans="1:22" ht="12.75" customHeight="1" x14ac:dyDescent="0.25">
      <c r="A33" s="76"/>
      <c r="B33" s="76"/>
      <c r="C33" s="81"/>
      <c r="D33" s="76"/>
      <c r="E33" s="76"/>
      <c r="F33" s="76"/>
      <c r="G33" s="76"/>
      <c r="H33" s="76"/>
      <c r="I33" s="76"/>
      <c r="J33" s="76"/>
      <c r="K33" s="76"/>
      <c r="L33" s="76"/>
      <c r="M33" s="76"/>
      <c r="N33" s="82"/>
      <c r="O33" s="82"/>
      <c r="P33" s="82"/>
      <c r="Q33" s="82"/>
      <c r="R33" s="82"/>
      <c r="S33" s="82"/>
      <c r="T33" s="82"/>
      <c r="U33" s="82"/>
      <c r="V33" s="76"/>
    </row>
    <row r="34" spans="1:22" ht="12.75" customHeight="1" x14ac:dyDescent="0.25">
      <c r="A34" s="76"/>
      <c r="B34" s="76"/>
      <c r="C34" s="81"/>
      <c r="D34" s="76"/>
      <c r="E34" s="76"/>
      <c r="F34" s="76"/>
      <c r="G34" s="76"/>
      <c r="H34" s="76"/>
      <c r="I34" s="76"/>
      <c r="J34" s="76"/>
      <c r="K34" s="76"/>
      <c r="L34" s="76"/>
      <c r="M34" s="76"/>
      <c r="N34" s="82"/>
      <c r="O34" s="82"/>
      <c r="P34" s="82"/>
      <c r="Q34" s="82"/>
      <c r="R34" s="82"/>
      <c r="S34" s="82"/>
      <c r="T34" s="82"/>
      <c r="U34" s="82"/>
      <c r="V34" s="76"/>
    </row>
    <row r="35" spans="1:22" ht="12.75" customHeight="1" x14ac:dyDescent="0.25">
      <c r="A35" s="76"/>
      <c r="B35" s="76"/>
      <c r="C35" s="81"/>
      <c r="D35" s="76"/>
      <c r="E35" s="76"/>
      <c r="F35" s="76"/>
      <c r="G35" s="76"/>
      <c r="H35" s="76"/>
      <c r="I35" s="76"/>
      <c r="J35" s="76"/>
      <c r="K35" s="76"/>
      <c r="L35" s="76"/>
      <c r="M35" s="76"/>
      <c r="N35" s="82"/>
      <c r="O35" s="82"/>
      <c r="P35" s="82"/>
      <c r="Q35" s="82"/>
      <c r="R35" s="82"/>
      <c r="S35" s="82"/>
      <c r="T35" s="82"/>
      <c r="U35" s="82"/>
      <c r="V35" s="76"/>
    </row>
    <row r="36" spans="1:22" ht="12.75" customHeight="1" x14ac:dyDescent="0.25">
      <c r="A36" s="76"/>
      <c r="B36" s="76"/>
      <c r="C36" s="81"/>
      <c r="D36" s="76"/>
      <c r="E36" s="76"/>
      <c r="F36" s="76"/>
      <c r="G36" s="76"/>
      <c r="H36" s="76"/>
      <c r="I36" s="76"/>
      <c r="J36" s="76"/>
      <c r="K36" s="76"/>
      <c r="L36" s="76"/>
      <c r="M36" s="76"/>
      <c r="N36" s="82"/>
      <c r="O36" s="82"/>
      <c r="P36" s="82"/>
      <c r="Q36" s="82"/>
      <c r="R36" s="82"/>
      <c r="S36" s="82"/>
      <c r="T36" s="82"/>
      <c r="U36" s="82"/>
      <c r="V36" s="76"/>
    </row>
    <row r="37" spans="1:22" ht="12.75" customHeight="1" x14ac:dyDescent="0.25">
      <c r="A37" s="76"/>
      <c r="B37" s="76"/>
      <c r="C37" s="81"/>
      <c r="D37" s="76"/>
      <c r="E37" s="76"/>
      <c r="F37" s="76"/>
      <c r="G37" s="76"/>
      <c r="H37" s="76"/>
      <c r="I37" s="76"/>
      <c r="J37" s="76"/>
      <c r="K37" s="76"/>
      <c r="L37" s="76"/>
      <c r="M37" s="76"/>
      <c r="N37" s="82"/>
      <c r="O37" s="82"/>
      <c r="P37" s="82"/>
      <c r="Q37" s="82"/>
      <c r="R37" s="82"/>
      <c r="S37" s="82"/>
      <c r="T37" s="82"/>
      <c r="U37" s="82"/>
      <c r="V37" s="76"/>
    </row>
    <row r="38" spans="1:22" ht="12.75" customHeight="1" x14ac:dyDescent="0.25">
      <c r="A38" s="76"/>
      <c r="B38" s="76"/>
      <c r="C38" s="81"/>
      <c r="D38" s="76"/>
      <c r="E38" s="76"/>
      <c r="F38" s="76"/>
      <c r="G38" s="76"/>
      <c r="H38" s="76"/>
      <c r="I38" s="76"/>
      <c r="J38" s="76"/>
      <c r="K38" s="76"/>
      <c r="L38" s="76"/>
      <c r="M38" s="76"/>
      <c r="N38" s="82"/>
      <c r="O38" s="82"/>
      <c r="P38" s="82"/>
      <c r="Q38" s="82"/>
      <c r="R38" s="82"/>
      <c r="S38" s="82"/>
      <c r="T38" s="82"/>
      <c r="U38" s="82"/>
      <c r="V38" s="76"/>
    </row>
    <row r="39" spans="1:22" ht="12.75" customHeight="1" x14ac:dyDescent="0.25">
      <c r="A39" s="76"/>
      <c r="B39" s="76"/>
      <c r="C39" s="81"/>
      <c r="D39" s="76"/>
      <c r="E39" s="76"/>
      <c r="F39" s="76"/>
      <c r="G39" s="76"/>
      <c r="H39" s="76"/>
      <c r="I39" s="76"/>
      <c r="J39" s="76"/>
      <c r="K39" s="76"/>
      <c r="L39" s="76"/>
      <c r="M39" s="76"/>
      <c r="N39" s="82"/>
      <c r="O39" s="82"/>
      <c r="P39" s="82"/>
      <c r="Q39" s="82"/>
      <c r="R39" s="82"/>
      <c r="S39" s="82"/>
      <c r="T39" s="82"/>
      <c r="U39" s="82"/>
      <c r="V39" s="76"/>
    </row>
    <row r="40" spans="1:22" ht="12.75" customHeight="1" x14ac:dyDescent="0.25">
      <c r="A40" s="76"/>
      <c r="B40" s="76"/>
      <c r="C40" s="81"/>
      <c r="D40" s="76"/>
      <c r="E40" s="76"/>
      <c r="F40" s="76"/>
      <c r="G40" s="76"/>
      <c r="H40" s="76"/>
      <c r="I40" s="76"/>
      <c r="J40" s="76"/>
      <c r="K40" s="76"/>
      <c r="L40" s="76"/>
      <c r="M40" s="76"/>
      <c r="N40" s="82"/>
      <c r="O40" s="82"/>
      <c r="P40" s="82"/>
      <c r="Q40" s="82"/>
      <c r="R40" s="82"/>
      <c r="S40" s="82"/>
      <c r="T40" s="82"/>
      <c r="U40" s="82"/>
      <c r="V40" s="76"/>
    </row>
    <row r="41" spans="1:22" ht="12.75" customHeight="1" x14ac:dyDescent="0.25">
      <c r="A41" s="76"/>
      <c r="B41" s="76"/>
      <c r="C41" s="81"/>
      <c r="D41" s="76"/>
      <c r="E41" s="76"/>
      <c r="F41" s="76"/>
      <c r="G41" s="76"/>
      <c r="H41" s="76"/>
      <c r="I41" s="76"/>
      <c r="J41" s="76"/>
      <c r="K41" s="76"/>
      <c r="L41" s="76"/>
      <c r="M41" s="76"/>
      <c r="N41" s="82"/>
      <c r="O41" s="82"/>
      <c r="P41" s="82"/>
      <c r="Q41" s="82"/>
      <c r="R41" s="82"/>
      <c r="S41" s="82"/>
      <c r="T41" s="82"/>
      <c r="U41" s="82"/>
      <c r="V41" s="76"/>
    </row>
    <row r="42" spans="1:22" ht="12.75" customHeight="1" x14ac:dyDescent="0.25">
      <c r="A42" s="76"/>
      <c r="B42" s="76"/>
      <c r="C42" s="81"/>
      <c r="D42" s="76"/>
      <c r="E42" s="76"/>
      <c r="F42" s="76"/>
      <c r="G42" s="76"/>
      <c r="H42" s="76"/>
      <c r="I42" s="76"/>
      <c r="J42" s="76"/>
      <c r="K42" s="76"/>
      <c r="L42" s="76"/>
      <c r="M42" s="76"/>
      <c r="N42" s="82"/>
      <c r="O42" s="82"/>
      <c r="P42" s="82"/>
      <c r="Q42" s="82"/>
      <c r="R42" s="82"/>
      <c r="S42" s="82"/>
      <c r="T42" s="82"/>
      <c r="U42" s="82"/>
      <c r="V42" s="76"/>
    </row>
    <row r="43" spans="1:22" ht="12.75" customHeight="1" x14ac:dyDescent="0.25">
      <c r="A43" s="76"/>
      <c r="B43" s="76"/>
      <c r="C43" s="81"/>
      <c r="D43" s="76"/>
      <c r="E43" s="76"/>
      <c r="F43" s="76"/>
      <c r="G43" s="76"/>
      <c r="H43" s="76"/>
      <c r="I43" s="76"/>
      <c r="J43" s="76"/>
      <c r="K43" s="76"/>
      <c r="L43" s="76"/>
      <c r="M43" s="76"/>
      <c r="N43" s="82"/>
      <c r="O43" s="82"/>
      <c r="P43" s="82"/>
      <c r="Q43" s="82"/>
      <c r="R43" s="82"/>
      <c r="S43" s="82"/>
      <c r="T43" s="82"/>
      <c r="U43" s="82"/>
      <c r="V43" s="76"/>
    </row>
    <row r="44" spans="1:22" ht="12.75" customHeight="1" x14ac:dyDescent="0.25">
      <c r="A44" s="76"/>
      <c r="B44" s="76"/>
      <c r="C44" s="81"/>
      <c r="D44" s="76"/>
      <c r="E44" s="76"/>
      <c r="F44" s="76"/>
      <c r="G44" s="76"/>
      <c r="H44" s="76"/>
      <c r="I44" s="76"/>
      <c r="J44" s="76"/>
      <c r="K44" s="76"/>
      <c r="L44" s="76"/>
      <c r="M44" s="76"/>
      <c r="N44" s="82"/>
      <c r="O44" s="82"/>
      <c r="P44" s="82"/>
      <c r="Q44" s="82"/>
      <c r="R44" s="82"/>
      <c r="S44" s="82"/>
      <c r="T44" s="82"/>
      <c r="U44" s="82"/>
      <c r="V44" s="76"/>
    </row>
    <row r="45" spans="1:22" ht="12.75" customHeight="1" x14ac:dyDescent="0.25">
      <c r="A45" s="76"/>
      <c r="B45" s="76"/>
      <c r="C45" s="81"/>
      <c r="D45" s="76"/>
      <c r="E45" s="76"/>
      <c r="F45" s="76"/>
      <c r="G45" s="76"/>
      <c r="H45" s="76"/>
      <c r="I45" s="76"/>
      <c r="J45" s="76"/>
      <c r="K45" s="76"/>
      <c r="L45" s="76"/>
      <c r="M45" s="76"/>
      <c r="N45" s="82"/>
      <c r="O45" s="82"/>
      <c r="P45" s="82"/>
      <c r="Q45" s="82"/>
      <c r="R45" s="82"/>
      <c r="S45" s="82"/>
      <c r="T45" s="82"/>
      <c r="U45" s="82"/>
      <c r="V45" s="76"/>
    </row>
    <row r="46" spans="1:22" ht="12.75" customHeight="1" x14ac:dyDescent="0.25">
      <c r="A46" s="76"/>
      <c r="B46" s="76"/>
      <c r="C46" s="81"/>
      <c r="D46" s="76"/>
      <c r="E46" s="76"/>
      <c r="F46" s="76"/>
      <c r="G46" s="76"/>
      <c r="H46" s="76"/>
      <c r="I46" s="76"/>
      <c r="J46" s="76"/>
      <c r="K46" s="76"/>
      <c r="L46" s="76"/>
      <c r="M46" s="76"/>
      <c r="N46" s="82"/>
      <c r="O46" s="82"/>
      <c r="P46" s="82"/>
      <c r="Q46" s="82"/>
      <c r="R46" s="82"/>
      <c r="S46" s="82"/>
      <c r="T46" s="82"/>
      <c r="U46" s="82"/>
      <c r="V46" s="76"/>
    </row>
    <row r="47" spans="1:22" ht="12.75" customHeight="1" x14ac:dyDescent="0.25">
      <c r="A47" s="76"/>
      <c r="B47" s="76"/>
      <c r="C47" s="81"/>
      <c r="D47" s="76"/>
      <c r="E47" s="76"/>
      <c r="F47" s="76"/>
      <c r="G47" s="76"/>
      <c r="H47" s="76"/>
      <c r="I47" s="76"/>
      <c r="J47" s="76"/>
      <c r="K47" s="76"/>
      <c r="L47" s="76"/>
      <c r="M47" s="76"/>
      <c r="N47" s="82"/>
      <c r="O47" s="82"/>
      <c r="P47" s="82"/>
      <c r="Q47" s="82"/>
      <c r="R47" s="82"/>
      <c r="S47" s="82"/>
      <c r="T47" s="82"/>
      <c r="U47" s="82"/>
      <c r="V47" s="76"/>
    </row>
    <row r="48" spans="1:22" ht="12.75" customHeight="1" x14ac:dyDescent="0.25">
      <c r="A48" s="76"/>
      <c r="B48" s="76"/>
      <c r="C48" s="81"/>
      <c r="D48" s="76"/>
      <c r="E48" s="76"/>
      <c r="F48" s="76"/>
      <c r="G48" s="76"/>
      <c r="H48" s="76"/>
      <c r="I48" s="76"/>
      <c r="J48" s="76"/>
      <c r="K48" s="76"/>
      <c r="L48" s="76"/>
      <c r="M48" s="76"/>
      <c r="N48" s="82"/>
      <c r="O48" s="82"/>
      <c r="P48" s="82"/>
      <c r="Q48" s="82"/>
      <c r="R48" s="82"/>
      <c r="S48" s="82"/>
      <c r="T48" s="82"/>
      <c r="U48" s="82"/>
      <c r="V48" s="76"/>
    </row>
    <row r="49" spans="1:22" ht="12.75" customHeight="1" x14ac:dyDescent="0.25">
      <c r="A49" s="76"/>
      <c r="B49" s="76"/>
      <c r="C49" s="81"/>
      <c r="D49" s="76"/>
      <c r="E49" s="76"/>
      <c r="F49" s="76"/>
      <c r="G49" s="76"/>
      <c r="H49" s="76"/>
      <c r="I49" s="76"/>
      <c r="J49" s="76"/>
      <c r="K49" s="76"/>
      <c r="L49" s="76"/>
      <c r="M49" s="76"/>
      <c r="N49" s="82"/>
      <c r="O49" s="82"/>
      <c r="P49" s="82"/>
      <c r="Q49" s="82"/>
      <c r="R49" s="82"/>
      <c r="S49" s="82"/>
      <c r="T49" s="82"/>
      <c r="U49" s="82"/>
      <c r="V49" s="76"/>
    </row>
    <row r="50" spans="1:22" ht="12.75" customHeight="1" x14ac:dyDescent="0.25">
      <c r="A50" s="76"/>
      <c r="B50" s="76"/>
      <c r="C50" s="81"/>
      <c r="D50" s="76"/>
      <c r="E50" s="76"/>
      <c r="F50" s="76"/>
      <c r="G50" s="76"/>
      <c r="H50" s="76"/>
      <c r="I50" s="76"/>
      <c r="J50" s="76"/>
      <c r="K50" s="76"/>
      <c r="L50" s="76"/>
      <c r="M50" s="76"/>
      <c r="N50" s="82"/>
      <c r="O50" s="82"/>
      <c r="P50" s="82"/>
      <c r="Q50" s="82"/>
      <c r="R50" s="82"/>
      <c r="S50" s="82"/>
      <c r="T50" s="82"/>
      <c r="U50" s="82"/>
      <c r="V50" s="76"/>
    </row>
    <row r="51" spans="1:22" ht="12.75" customHeight="1" x14ac:dyDescent="0.25">
      <c r="A51" s="76"/>
      <c r="B51" s="76"/>
      <c r="C51" s="81"/>
      <c r="D51" s="76"/>
      <c r="E51" s="76"/>
      <c r="F51" s="76"/>
      <c r="G51" s="76"/>
      <c r="H51" s="76"/>
      <c r="I51" s="76"/>
      <c r="J51" s="76"/>
      <c r="K51" s="76"/>
      <c r="L51" s="76"/>
      <c r="M51" s="76"/>
      <c r="N51" s="82"/>
      <c r="O51" s="82"/>
      <c r="P51" s="82"/>
      <c r="Q51" s="82"/>
      <c r="R51" s="82"/>
      <c r="S51" s="82"/>
      <c r="T51" s="82"/>
      <c r="U51" s="82"/>
      <c r="V51" s="76"/>
    </row>
    <row r="52" spans="1:22" ht="12.75" customHeight="1" x14ac:dyDescent="0.25">
      <c r="A52" s="76"/>
      <c r="B52" s="76"/>
      <c r="C52" s="81"/>
      <c r="D52" s="76"/>
      <c r="E52" s="76"/>
      <c r="F52" s="76"/>
      <c r="G52" s="76"/>
      <c r="H52" s="76"/>
      <c r="I52" s="76"/>
      <c r="J52" s="76"/>
      <c r="K52" s="76"/>
      <c r="L52" s="76"/>
      <c r="M52" s="76"/>
      <c r="N52" s="82"/>
      <c r="O52" s="82"/>
      <c r="P52" s="82"/>
      <c r="Q52" s="82"/>
      <c r="R52" s="82"/>
      <c r="S52" s="82"/>
      <c r="T52" s="82"/>
      <c r="U52" s="82"/>
      <c r="V52" s="76"/>
    </row>
    <row r="53" spans="1:22" ht="12.75" customHeight="1" x14ac:dyDescent="0.25">
      <c r="A53" s="76"/>
      <c r="B53" s="76"/>
      <c r="C53" s="81"/>
      <c r="D53" s="76"/>
      <c r="E53" s="76"/>
      <c r="F53" s="76"/>
      <c r="G53" s="76"/>
      <c r="H53" s="76"/>
      <c r="I53" s="76"/>
      <c r="J53" s="76"/>
      <c r="K53" s="76"/>
      <c r="L53" s="76"/>
      <c r="M53" s="76"/>
      <c r="N53" s="82"/>
      <c r="O53" s="82"/>
      <c r="P53" s="82"/>
      <c r="Q53" s="82"/>
      <c r="R53" s="82"/>
      <c r="S53" s="82"/>
      <c r="T53" s="82"/>
      <c r="U53" s="82"/>
      <c r="V53" s="76"/>
    </row>
    <row r="54" spans="1:22" ht="12.75" customHeight="1" x14ac:dyDescent="0.25">
      <c r="A54" s="76"/>
      <c r="B54" s="76"/>
      <c r="C54" s="81"/>
      <c r="D54" s="76"/>
      <c r="E54" s="76"/>
      <c r="F54" s="76"/>
      <c r="G54" s="76"/>
      <c r="H54" s="76"/>
      <c r="I54" s="76"/>
      <c r="J54" s="76"/>
      <c r="K54" s="76"/>
      <c r="L54" s="76"/>
      <c r="M54" s="76"/>
      <c r="N54" s="82"/>
      <c r="O54" s="82"/>
      <c r="P54" s="82"/>
      <c r="Q54" s="82"/>
      <c r="R54" s="82"/>
      <c r="S54" s="82"/>
      <c r="T54" s="82"/>
      <c r="U54" s="82"/>
      <c r="V54" s="76"/>
    </row>
    <row r="55" spans="1:22" ht="12.75" customHeight="1" x14ac:dyDescent="0.25">
      <c r="A55" s="76"/>
      <c r="B55" s="76"/>
      <c r="C55" s="81"/>
      <c r="D55" s="76"/>
      <c r="E55" s="76"/>
      <c r="F55" s="76"/>
      <c r="G55" s="76"/>
      <c r="H55" s="76"/>
      <c r="I55" s="76"/>
      <c r="J55" s="76"/>
      <c r="K55" s="76"/>
      <c r="L55" s="76"/>
      <c r="M55" s="76"/>
      <c r="N55" s="82"/>
      <c r="O55" s="82"/>
      <c r="P55" s="82"/>
      <c r="Q55" s="82"/>
      <c r="R55" s="82"/>
      <c r="S55" s="82"/>
      <c r="T55" s="82"/>
      <c r="U55" s="82"/>
      <c r="V55" s="76"/>
    </row>
    <row r="56" spans="1:22" ht="12.75" customHeight="1" x14ac:dyDescent="0.25">
      <c r="A56" s="76"/>
      <c r="B56" s="76"/>
      <c r="C56" s="81"/>
      <c r="D56" s="76"/>
      <c r="E56" s="76"/>
      <c r="F56" s="76"/>
      <c r="G56" s="76"/>
      <c r="H56" s="76"/>
      <c r="I56" s="76"/>
      <c r="J56" s="76"/>
      <c r="K56" s="76"/>
      <c r="L56" s="76"/>
      <c r="M56" s="76"/>
      <c r="N56" s="82"/>
      <c r="O56" s="82"/>
      <c r="P56" s="82"/>
      <c r="Q56" s="82"/>
      <c r="R56" s="82"/>
      <c r="S56" s="82"/>
      <c r="T56" s="82"/>
      <c r="U56" s="82"/>
      <c r="V56" s="76"/>
    </row>
    <row r="57" spans="1:22" ht="12.75" customHeight="1" x14ac:dyDescent="0.25">
      <c r="A57" s="76"/>
      <c r="B57" s="76"/>
      <c r="C57" s="81"/>
      <c r="D57" s="76"/>
      <c r="E57" s="76"/>
      <c r="F57" s="76"/>
      <c r="G57" s="76"/>
      <c r="H57" s="76"/>
      <c r="I57" s="76"/>
      <c r="J57" s="76"/>
      <c r="K57" s="76"/>
      <c r="L57" s="76"/>
      <c r="M57" s="76"/>
      <c r="N57" s="82"/>
      <c r="O57" s="82"/>
      <c r="P57" s="82"/>
      <c r="Q57" s="82"/>
      <c r="R57" s="82"/>
      <c r="S57" s="82"/>
      <c r="T57" s="82"/>
      <c r="U57" s="82"/>
      <c r="V57" s="76"/>
    </row>
    <row r="58" spans="1:22" ht="12.75" customHeight="1" x14ac:dyDescent="0.25">
      <c r="A58" s="76"/>
      <c r="B58" s="76"/>
      <c r="C58" s="81"/>
      <c r="D58" s="76"/>
      <c r="E58" s="76"/>
      <c r="F58" s="76"/>
      <c r="G58" s="76"/>
      <c r="H58" s="76"/>
      <c r="I58" s="76"/>
      <c r="J58" s="76"/>
      <c r="K58" s="76"/>
      <c r="L58" s="76"/>
      <c r="M58" s="76"/>
      <c r="N58" s="82"/>
      <c r="O58" s="82"/>
      <c r="P58" s="82"/>
      <c r="Q58" s="82"/>
      <c r="R58" s="82"/>
      <c r="S58" s="82"/>
      <c r="T58" s="82"/>
      <c r="U58" s="82"/>
      <c r="V58" s="76"/>
    </row>
    <row r="59" spans="1:22" ht="12.75" customHeight="1" x14ac:dyDescent="0.25">
      <c r="A59" s="76"/>
      <c r="B59" s="76"/>
      <c r="C59" s="81"/>
      <c r="D59" s="76"/>
      <c r="E59" s="76"/>
      <c r="F59" s="76"/>
      <c r="G59" s="76"/>
      <c r="H59" s="76"/>
      <c r="I59" s="76"/>
      <c r="J59" s="76"/>
      <c r="K59" s="76"/>
      <c r="L59" s="76"/>
      <c r="M59" s="76"/>
      <c r="N59" s="82"/>
      <c r="O59" s="82"/>
      <c r="P59" s="82"/>
      <c r="Q59" s="82"/>
      <c r="R59" s="82"/>
      <c r="S59" s="82"/>
      <c r="T59" s="82"/>
      <c r="U59" s="82"/>
      <c r="V59" s="76"/>
    </row>
    <row r="60" spans="1:22" ht="12.75" customHeight="1" x14ac:dyDescent="0.25">
      <c r="A60" s="76"/>
      <c r="B60" s="76"/>
      <c r="C60" s="81"/>
      <c r="D60" s="76"/>
      <c r="E60" s="76"/>
      <c r="F60" s="76"/>
      <c r="G60" s="76"/>
      <c r="H60" s="76"/>
      <c r="I60" s="76"/>
      <c r="J60" s="76"/>
      <c r="K60" s="76"/>
      <c r="L60" s="76"/>
      <c r="M60" s="76"/>
      <c r="N60" s="82"/>
      <c r="O60" s="82"/>
      <c r="P60" s="82"/>
      <c r="Q60" s="82"/>
      <c r="R60" s="82"/>
      <c r="S60" s="82"/>
      <c r="T60" s="82"/>
      <c r="U60" s="82"/>
      <c r="V60" s="76"/>
    </row>
    <row r="61" spans="1:22" ht="12.75" customHeight="1" x14ac:dyDescent="0.25">
      <c r="A61" s="76"/>
      <c r="B61" s="76"/>
      <c r="C61" s="81"/>
      <c r="D61" s="76"/>
      <c r="E61" s="76"/>
      <c r="F61" s="76"/>
      <c r="G61" s="76"/>
      <c r="H61" s="76"/>
      <c r="I61" s="76"/>
      <c r="J61" s="76"/>
      <c r="K61" s="76"/>
      <c r="L61" s="76"/>
      <c r="M61" s="76"/>
      <c r="N61" s="82"/>
      <c r="O61" s="82"/>
      <c r="P61" s="82"/>
      <c r="Q61" s="82"/>
      <c r="R61" s="82"/>
      <c r="S61" s="82"/>
      <c r="T61" s="82"/>
      <c r="U61" s="82"/>
      <c r="V61" s="76"/>
    </row>
    <row r="62" spans="1:22" ht="12.75" customHeight="1" x14ac:dyDescent="0.25">
      <c r="A62" s="76"/>
      <c r="B62" s="76"/>
      <c r="C62" s="81"/>
      <c r="D62" s="76"/>
      <c r="E62" s="76"/>
      <c r="F62" s="76"/>
      <c r="G62" s="76"/>
      <c r="H62" s="76"/>
      <c r="I62" s="76"/>
      <c r="J62" s="76"/>
      <c r="K62" s="76"/>
      <c r="L62" s="76"/>
      <c r="M62" s="76"/>
      <c r="N62" s="82"/>
      <c r="O62" s="82"/>
      <c r="P62" s="82"/>
      <c r="Q62" s="82"/>
      <c r="R62" s="82"/>
      <c r="S62" s="82"/>
      <c r="T62" s="82"/>
      <c r="U62" s="82"/>
      <c r="V62" s="76"/>
    </row>
    <row r="63" spans="1:22" ht="12.75" customHeight="1" x14ac:dyDescent="0.25">
      <c r="A63" s="76"/>
      <c r="B63" s="76"/>
      <c r="C63" s="81"/>
      <c r="D63" s="76"/>
      <c r="E63" s="76"/>
      <c r="F63" s="76"/>
      <c r="G63" s="76"/>
      <c r="H63" s="76"/>
      <c r="I63" s="76"/>
      <c r="J63" s="76"/>
      <c r="K63" s="76"/>
      <c r="L63" s="76"/>
      <c r="M63" s="76"/>
      <c r="N63" s="82"/>
      <c r="O63" s="82"/>
      <c r="P63" s="82"/>
      <c r="Q63" s="82"/>
      <c r="R63" s="82"/>
      <c r="S63" s="82"/>
      <c r="T63" s="82"/>
      <c r="U63" s="82"/>
      <c r="V63" s="76"/>
    </row>
    <row r="64" spans="1:22" ht="12.75" customHeight="1" x14ac:dyDescent="0.25">
      <c r="A64" s="76"/>
      <c r="B64" s="76"/>
      <c r="C64" s="81"/>
      <c r="D64" s="76"/>
      <c r="E64" s="76"/>
      <c r="F64" s="76"/>
      <c r="G64" s="76"/>
      <c r="H64" s="76"/>
      <c r="I64" s="76"/>
      <c r="J64" s="76"/>
      <c r="K64" s="76"/>
      <c r="L64" s="76"/>
      <c r="M64" s="76"/>
      <c r="N64" s="82"/>
      <c r="O64" s="82"/>
      <c r="P64" s="82"/>
      <c r="Q64" s="82"/>
      <c r="R64" s="82"/>
      <c r="S64" s="82"/>
      <c r="T64" s="82"/>
      <c r="U64" s="82"/>
      <c r="V64" s="76"/>
    </row>
    <row r="65" spans="1:22" ht="12.75" customHeight="1" x14ac:dyDescent="0.25">
      <c r="A65" s="76"/>
      <c r="B65" s="76"/>
      <c r="C65" s="81"/>
      <c r="D65" s="76"/>
      <c r="E65" s="76"/>
      <c r="F65" s="76"/>
      <c r="G65" s="76"/>
      <c r="H65" s="76"/>
      <c r="I65" s="76"/>
      <c r="J65" s="76"/>
      <c r="K65" s="76"/>
      <c r="L65" s="76"/>
      <c r="M65" s="76"/>
      <c r="N65" s="82"/>
      <c r="O65" s="82"/>
      <c r="P65" s="82"/>
      <c r="Q65" s="82"/>
      <c r="R65" s="82"/>
      <c r="S65" s="82"/>
      <c r="T65" s="82"/>
      <c r="U65" s="82"/>
      <c r="V65" s="76"/>
    </row>
    <row r="66" spans="1:22" ht="12.75" customHeight="1" x14ac:dyDescent="0.25">
      <c r="A66" s="76"/>
      <c r="B66" s="76"/>
      <c r="C66" s="81"/>
      <c r="D66" s="76"/>
      <c r="E66" s="76"/>
      <c r="F66" s="76"/>
      <c r="G66" s="76"/>
      <c r="H66" s="76"/>
      <c r="I66" s="76"/>
      <c r="J66" s="76"/>
      <c r="K66" s="76"/>
      <c r="L66" s="76"/>
      <c r="M66" s="76"/>
      <c r="N66" s="82"/>
      <c r="O66" s="82"/>
      <c r="P66" s="82"/>
      <c r="Q66" s="82"/>
      <c r="R66" s="82"/>
      <c r="S66" s="82"/>
      <c r="T66" s="82"/>
      <c r="U66" s="82"/>
      <c r="V66" s="76"/>
    </row>
    <row r="67" spans="1:22" ht="12.75" customHeight="1" x14ac:dyDescent="0.25">
      <c r="A67" s="76"/>
      <c r="B67" s="76"/>
      <c r="C67" s="81"/>
      <c r="D67" s="76"/>
      <c r="E67" s="76"/>
      <c r="F67" s="76"/>
      <c r="G67" s="76"/>
      <c r="H67" s="76"/>
      <c r="I67" s="76"/>
      <c r="J67" s="76"/>
      <c r="K67" s="76"/>
      <c r="L67" s="76"/>
      <c r="M67" s="76"/>
      <c r="N67" s="82"/>
      <c r="O67" s="82"/>
      <c r="P67" s="82"/>
      <c r="Q67" s="82"/>
      <c r="R67" s="82"/>
      <c r="S67" s="82"/>
      <c r="T67" s="82"/>
      <c r="U67" s="82"/>
      <c r="V67" s="76"/>
    </row>
    <row r="68" spans="1:22" ht="12.75" customHeight="1" x14ac:dyDescent="0.25">
      <c r="A68" s="76"/>
      <c r="B68" s="76"/>
      <c r="C68" s="81"/>
      <c r="D68" s="76"/>
      <c r="E68" s="76"/>
      <c r="F68" s="76"/>
      <c r="G68" s="76"/>
      <c r="H68" s="76"/>
      <c r="I68" s="76"/>
      <c r="J68" s="76"/>
      <c r="K68" s="76"/>
      <c r="L68" s="76"/>
      <c r="M68" s="76"/>
      <c r="N68" s="82"/>
      <c r="O68" s="82"/>
      <c r="P68" s="82"/>
      <c r="Q68" s="82"/>
      <c r="R68" s="82"/>
      <c r="S68" s="82"/>
      <c r="T68" s="82"/>
      <c r="U68" s="82"/>
      <c r="V68" s="76"/>
    </row>
    <row r="69" spans="1:22" ht="12.75" customHeight="1" x14ac:dyDescent="0.25">
      <c r="A69" s="76"/>
      <c r="B69" s="76"/>
      <c r="C69" s="81"/>
      <c r="D69" s="76"/>
      <c r="E69" s="76"/>
      <c r="F69" s="76"/>
      <c r="G69" s="76"/>
      <c r="H69" s="76"/>
      <c r="I69" s="76"/>
      <c r="J69" s="76"/>
      <c r="K69" s="76"/>
      <c r="L69" s="76"/>
      <c r="M69" s="76"/>
      <c r="N69" s="82"/>
      <c r="O69" s="82"/>
      <c r="P69" s="82"/>
      <c r="Q69" s="82"/>
      <c r="R69" s="82"/>
      <c r="S69" s="82"/>
      <c r="T69" s="82"/>
      <c r="U69" s="82"/>
      <c r="V69" s="76"/>
    </row>
    <row r="70" spans="1:22" ht="12.75" customHeight="1" x14ac:dyDescent="0.25">
      <c r="A70" s="76"/>
      <c r="B70" s="76"/>
      <c r="C70" s="81"/>
      <c r="D70" s="76"/>
      <c r="E70" s="76"/>
      <c r="F70" s="76"/>
      <c r="G70" s="76"/>
      <c r="H70" s="76"/>
      <c r="I70" s="76"/>
      <c r="J70" s="76"/>
      <c r="K70" s="76"/>
      <c r="L70" s="76"/>
      <c r="M70" s="76"/>
      <c r="N70" s="82"/>
      <c r="O70" s="82"/>
      <c r="P70" s="82"/>
      <c r="Q70" s="82"/>
      <c r="R70" s="82"/>
      <c r="S70" s="82"/>
      <c r="T70" s="82"/>
      <c r="U70" s="82"/>
      <c r="V70" s="76"/>
    </row>
    <row r="71" spans="1:22" ht="12.75" customHeight="1" x14ac:dyDescent="0.25">
      <c r="A71" s="76"/>
      <c r="B71" s="76"/>
      <c r="C71" s="81"/>
      <c r="D71" s="76"/>
      <c r="E71" s="76"/>
      <c r="F71" s="76"/>
      <c r="G71" s="76"/>
      <c r="H71" s="76"/>
      <c r="I71" s="76"/>
      <c r="J71" s="76"/>
      <c r="K71" s="76"/>
      <c r="L71" s="76"/>
      <c r="M71" s="76"/>
      <c r="N71" s="82"/>
      <c r="O71" s="82"/>
      <c r="P71" s="82"/>
      <c r="Q71" s="82"/>
      <c r="R71" s="82"/>
      <c r="S71" s="82"/>
      <c r="T71" s="82"/>
      <c r="U71" s="82"/>
      <c r="V71" s="76"/>
    </row>
    <row r="72" spans="1:22" ht="12.75" customHeight="1" x14ac:dyDescent="0.25">
      <c r="A72" s="76"/>
      <c r="B72" s="76"/>
      <c r="C72" s="81"/>
      <c r="D72" s="76"/>
      <c r="E72" s="76"/>
      <c r="F72" s="76"/>
      <c r="G72" s="76"/>
      <c r="H72" s="76"/>
      <c r="I72" s="76"/>
      <c r="J72" s="76"/>
      <c r="K72" s="76"/>
      <c r="L72" s="76"/>
      <c r="M72" s="76"/>
      <c r="N72" s="82"/>
      <c r="O72" s="82"/>
      <c r="P72" s="82"/>
      <c r="Q72" s="82"/>
      <c r="R72" s="82"/>
      <c r="S72" s="82"/>
      <c r="T72" s="82"/>
      <c r="U72" s="82"/>
      <c r="V72" s="76"/>
    </row>
    <row r="73" spans="1:22" ht="12.75" customHeight="1" x14ac:dyDescent="0.25">
      <c r="A73" s="76"/>
      <c r="B73" s="76"/>
      <c r="C73" s="81"/>
      <c r="D73" s="76"/>
      <c r="E73" s="76"/>
      <c r="F73" s="76"/>
      <c r="G73" s="76"/>
      <c r="H73" s="76"/>
      <c r="I73" s="76"/>
      <c r="J73" s="76"/>
      <c r="K73" s="76"/>
      <c r="L73" s="76"/>
      <c r="M73" s="76"/>
      <c r="N73" s="82"/>
      <c r="O73" s="82"/>
      <c r="P73" s="82"/>
      <c r="Q73" s="82"/>
      <c r="R73" s="82"/>
      <c r="S73" s="82"/>
      <c r="T73" s="82"/>
      <c r="U73" s="82"/>
      <c r="V73" s="76"/>
    </row>
    <row r="74" spans="1:22" ht="12.75" customHeight="1" x14ac:dyDescent="0.25">
      <c r="A74" s="76"/>
      <c r="B74" s="76"/>
      <c r="C74" s="81"/>
      <c r="D74" s="76"/>
      <c r="E74" s="76"/>
      <c r="F74" s="76"/>
      <c r="G74" s="76"/>
      <c r="H74" s="76"/>
      <c r="I74" s="76"/>
      <c r="J74" s="76"/>
      <c r="K74" s="76"/>
      <c r="L74" s="76"/>
      <c r="M74" s="76"/>
      <c r="N74" s="82"/>
      <c r="O74" s="82"/>
      <c r="P74" s="82"/>
      <c r="Q74" s="82"/>
      <c r="R74" s="82"/>
      <c r="S74" s="82"/>
      <c r="T74" s="82"/>
      <c r="U74" s="82"/>
      <c r="V74" s="76"/>
    </row>
    <row r="75" spans="1:22" ht="12.75" customHeight="1" x14ac:dyDescent="0.25">
      <c r="A75" s="76"/>
      <c r="B75" s="76"/>
      <c r="C75" s="81"/>
      <c r="D75" s="76"/>
      <c r="E75" s="76"/>
      <c r="F75" s="76"/>
      <c r="G75" s="76"/>
      <c r="H75" s="76"/>
      <c r="I75" s="76"/>
      <c r="J75" s="76"/>
      <c r="K75" s="76"/>
      <c r="L75" s="76"/>
      <c r="M75" s="76"/>
      <c r="N75" s="82"/>
      <c r="O75" s="82"/>
      <c r="P75" s="82"/>
      <c r="Q75" s="82"/>
      <c r="R75" s="82"/>
      <c r="S75" s="82"/>
      <c r="T75" s="82"/>
      <c r="U75" s="82"/>
      <c r="V75" s="76"/>
    </row>
    <row r="76" spans="1:22" ht="12.75" customHeight="1" x14ac:dyDescent="0.25">
      <c r="A76" s="76"/>
      <c r="B76" s="76"/>
      <c r="C76" s="81"/>
      <c r="D76" s="76"/>
      <c r="E76" s="76"/>
      <c r="F76" s="76"/>
      <c r="G76" s="76"/>
      <c r="H76" s="76"/>
      <c r="I76" s="76"/>
      <c r="J76" s="76"/>
      <c r="K76" s="76"/>
      <c r="L76" s="76"/>
      <c r="M76" s="76"/>
      <c r="N76" s="82"/>
      <c r="O76" s="82"/>
      <c r="P76" s="82"/>
      <c r="Q76" s="82"/>
      <c r="R76" s="82"/>
      <c r="S76" s="82"/>
      <c r="T76" s="82"/>
      <c r="U76" s="82"/>
      <c r="V76" s="76"/>
    </row>
    <row r="77" spans="1:22" ht="12.75" customHeight="1" x14ac:dyDescent="0.25">
      <c r="A77" s="76"/>
      <c r="B77" s="76"/>
      <c r="C77" s="81"/>
      <c r="D77" s="76"/>
      <c r="E77" s="76"/>
      <c r="F77" s="76"/>
      <c r="G77" s="76"/>
      <c r="H77" s="76"/>
      <c r="I77" s="76"/>
      <c r="J77" s="76"/>
      <c r="K77" s="76"/>
      <c r="L77" s="76"/>
      <c r="M77" s="76"/>
      <c r="N77" s="82"/>
      <c r="O77" s="82"/>
      <c r="P77" s="82"/>
      <c r="Q77" s="82"/>
      <c r="R77" s="82"/>
      <c r="S77" s="82"/>
      <c r="T77" s="82"/>
      <c r="U77" s="82"/>
      <c r="V77" s="76"/>
    </row>
    <row r="78" spans="1:22" ht="12.75" customHeight="1" x14ac:dyDescent="0.25">
      <c r="A78" s="76"/>
      <c r="B78" s="76"/>
      <c r="C78" s="81"/>
      <c r="D78" s="76"/>
      <c r="E78" s="76"/>
      <c r="F78" s="76"/>
      <c r="G78" s="76"/>
      <c r="H78" s="76"/>
      <c r="I78" s="76"/>
      <c r="J78" s="76"/>
      <c r="K78" s="76"/>
      <c r="L78" s="76"/>
      <c r="M78" s="76"/>
      <c r="N78" s="82"/>
      <c r="O78" s="82"/>
      <c r="P78" s="82"/>
      <c r="Q78" s="82"/>
      <c r="R78" s="82"/>
      <c r="S78" s="82"/>
      <c r="T78" s="82"/>
      <c r="U78" s="82"/>
      <c r="V78" s="76"/>
    </row>
    <row r="79" spans="1:22" ht="12.75" customHeight="1" x14ac:dyDescent="0.25">
      <c r="A79" s="76"/>
      <c r="B79" s="76"/>
      <c r="C79" s="81"/>
      <c r="D79" s="76"/>
      <c r="E79" s="76"/>
      <c r="F79" s="76"/>
      <c r="G79" s="76"/>
      <c r="H79" s="76"/>
      <c r="I79" s="76"/>
      <c r="J79" s="76"/>
      <c r="K79" s="76"/>
      <c r="L79" s="76"/>
      <c r="M79" s="76"/>
      <c r="N79" s="82"/>
      <c r="O79" s="82"/>
      <c r="P79" s="82"/>
      <c r="Q79" s="82"/>
      <c r="R79" s="82"/>
      <c r="S79" s="82"/>
      <c r="T79" s="82"/>
      <c r="U79" s="82"/>
      <c r="V79" s="76"/>
    </row>
    <row r="80" spans="1:22" ht="12.75" customHeight="1" x14ac:dyDescent="0.25">
      <c r="A80" s="76"/>
      <c r="B80" s="76"/>
      <c r="C80" s="81"/>
      <c r="D80" s="76"/>
      <c r="E80" s="76"/>
      <c r="F80" s="76"/>
      <c r="G80" s="76"/>
      <c r="H80" s="76"/>
      <c r="I80" s="76"/>
      <c r="J80" s="76"/>
      <c r="K80" s="76"/>
      <c r="L80" s="76"/>
      <c r="M80" s="76"/>
      <c r="N80" s="82"/>
      <c r="O80" s="82"/>
      <c r="P80" s="82"/>
      <c r="Q80" s="82"/>
      <c r="R80" s="82"/>
      <c r="S80" s="82"/>
      <c r="T80" s="82"/>
      <c r="U80" s="82"/>
      <c r="V80" s="76"/>
    </row>
    <row r="81" spans="1:22" ht="12.75" customHeight="1" x14ac:dyDescent="0.25">
      <c r="A81" s="76"/>
      <c r="B81" s="76"/>
      <c r="C81" s="81"/>
      <c r="D81" s="76"/>
      <c r="E81" s="76"/>
      <c r="F81" s="76"/>
      <c r="G81" s="76"/>
      <c r="H81" s="76"/>
      <c r="I81" s="76"/>
      <c r="J81" s="76"/>
      <c r="K81" s="76"/>
      <c r="L81" s="76"/>
      <c r="M81" s="76"/>
      <c r="N81" s="82"/>
      <c r="O81" s="82"/>
      <c r="P81" s="82"/>
      <c r="Q81" s="82"/>
      <c r="R81" s="82"/>
      <c r="S81" s="82"/>
      <c r="T81" s="82"/>
      <c r="U81" s="82"/>
      <c r="V81" s="76"/>
    </row>
    <row r="82" spans="1:22" ht="12.75" customHeight="1" x14ac:dyDescent="0.25">
      <c r="A82" s="76"/>
      <c r="B82" s="76"/>
      <c r="C82" s="81"/>
      <c r="D82" s="76"/>
      <c r="E82" s="76"/>
      <c r="F82" s="76"/>
      <c r="G82" s="76"/>
      <c r="H82" s="76"/>
      <c r="I82" s="76"/>
      <c r="J82" s="76"/>
      <c r="K82" s="76"/>
      <c r="L82" s="76"/>
      <c r="M82" s="76"/>
      <c r="N82" s="82"/>
      <c r="O82" s="82"/>
      <c r="P82" s="82"/>
      <c r="Q82" s="82"/>
      <c r="R82" s="82"/>
      <c r="S82" s="82"/>
      <c r="T82" s="82"/>
      <c r="U82" s="82"/>
      <c r="V82" s="76"/>
    </row>
    <row r="83" spans="1:22" ht="12.75" customHeight="1" x14ac:dyDescent="0.25">
      <c r="A83" s="76"/>
      <c r="B83" s="76"/>
      <c r="C83" s="81"/>
      <c r="D83" s="76"/>
      <c r="E83" s="76"/>
      <c r="F83" s="76"/>
      <c r="G83" s="76"/>
      <c r="H83" s="76"/>
      <c r="I83" s="76"/>
      <c r="J83" s="76"/>
      <c r="K83" s="76"/>
      <c r="L83" s="76"/>
      <c r="M83" s="76"/>
      <c r="N83" s="82"/>
      <c r="O83" s="82"/>
      <c r="P83" s="82"/>
      <c r="Q83" s="82"/>
      <c r="R83" s="82"/>
      <c r="S83" s="82"/>
      <c r="T83" s="82"/>
      <c r="U83" s="82"/>
      <c r="V83" s="76"/>
    </row>
    <row r="84" spans="1:22" ht="12.75" customHeight="1" x14ac:dyDescent="0.25">
      <c r="A84" s="76"/>
      <c r="B84" s="76"/>
      <c r="C84" s="81"/>
      <c r="D84" s="76"/>
      <c r="E84" s="76"/>
      <c r="F84" s="76"/>
      <c r="G84" s="76"/>
      <c r="H84" s="76"/>
      <c r="I84" s="76"/>
      <c r="J84" s="76"/>
      <c r="K84" s="76"/>
      <c r="L84" s="76"/>
      <c r="M84" s="76"/>
      <c r="N84" s="82"/>
      <c r="O84" s="82"/>
      <c r="P84" s="82"/>
      <c r="Q84" s="82"/>
      <c r="R84" s="82"/>
      <c r="S84" s="82"/>
      <c r="T84" s="82"/>
      <c r="U84" s="82"/>
      <c r="V84" s="76"/>
    </row>
    <row r="85" spans="1:22" ht="12.75" customHeight="1" x14ac:dyDescent="0.25">
      <c r="A85" s="76"/>
      <c r="B85" s="76"/>
      <c r="C85" s="81"/>
      <c r="D85" s="76"/>
      <c r="E85" s="76"/>
      <c r="F85" s="76"/>
      <c r="G85" s="76"/>
      <c r="H85" s="76"/>
      <c r="I85" s="76"/>
      <c r="J85" s="76"/>
      <c r="K85" s="76"/>
      <c r="L85" s="76"/>
      <c r="M85" s="76"/>
      <c r="N85" s="82"/>
      <c r="O85" s="82"/>
      <c r="P85" s="82"/>
      <c r="Q85" s="82"/>
      <c r="R85" s="82"/>
      <c r="S85" s="82"/>
      <c r="T85" s="82"/>
      <c r="U85" s="82"/>
      <c r="V85" s="76"/>
    </row>
    <row r="86" spans="1:22" ht="12.75" customHeight="1" x14ac:dyDescent="0.25">
      <c r="A86" s="76"/>
      <c r="B86" s="76"/>
      <c r="C86" s="81"/>
      <c r="D86" s="76"/>
      <c r="E86" s="76"/>
      <c r="F86" s="76"/>
      <c r="G86" s="76"/>
      <c r="H86" s="76"/>
      <c r="I86" s="76"/>
      <c r="J86" s="76"/>
      <c r="K86" s="76"/>
      <c r="L86" s="76"/>
      <c r="M86" s="76"/>
      <c r="N86" s="82"/>
      <c r="O86" s="82"/>
      <c r="P86" s="82"/>
      <c r="Q86" s="82"/>
      <c r="R86" s="82"/>
      <c r="S86" s="82"/>
      <c r="T86" s="82"/>
      <c r="U86" s="82"/>
      <c r="V86" s="76"/>
    </row>
    <row r="87" spans="1:22" ht="12.75" customHeight="1" x14ac:dyDescent="0.25">
      <c r="A87" s="83"/>
      <c r="B87" s="83"/>
      <c r="C87" s="81"/>
      <c r="D87" s="76"/>
      <c r="E87" s="76"/>
      <c r="F87" s="76"/>
      <c r="G87" s="76"/>
      <c r="H87" s="76"/>
      <c r="I87" s="76"/>
      <c r="J87" s="76"/>
      <c r="K87" s="76"/>
      <c r="L87" s="76"/>
      <c r="M87" s="76"/>
      <c r="N87" s="82"/>
      <c r="O87" s="84"/>
      <c r="P87" s="84"/>
      <c r="Q87" s="84"/>
      <c r="R87" s="84"/>
      <c r="S87" s="84"/>
      <c r="T87" s="84"/>
      <c r="U87" s="84"/>
      <c r="V87" s="76"/>
    </row>
    <row r="88" spans="1:22" ht="12.75" customHeight="1" x14ac:dyDescent="0.25">
      <c r="A88" s="83"/>
      <c r="B88" s="83"/>
      <c r="C88" s="81"/>
      <c r="D88" s="76"/>
      <c r="E88" s="76"/>
      <c r="F88" s="76"/>
      <c r="G88" s="76"/>
      <c r="H88" s="76"/>
      <c r="I88" s="76"/>
      <c r="J88" s="76"/>
      <c r="K88" s="76"/>
      <c r="L88" s="76"/>
      <c r="M88" s="76"/>
      <c r="N88" s="82"/>
      <c r="O88" s="84"/>
      <c r="P88" s="84"/>
      <c r="Q88" s="84"/>
      <c r="R88" s="84"/>
      <c r="S88" s="84"/>
      <c r="T88" s="84"/>
      <c r="U88" s="84"/>
      <c r="V88" s="76"/>
    </row>
    <row r="89" spans="1:22" ht="12.75" customHeight="1" x14ac:dyDescent="0.25">
      <c r="A89" s="83"/>
      <c r="B89" s="83"/>
      <c r="C89" s="81"/>
      <c r="D89" s="76"/>
      <c r="E89" s="76"/>
      <c r="F89" s="76"/>
      <c r="G89" s="76"/>
      <c r="H89" s="76"/>
      <c r="I89" s="76"/>
      <c r="J89" s="76"/>
      <c r="K89" s="76"/>
      <c r="L89" s="76"/>
      <c r="M89" s="76"/>
      <c r="N89" s="82"/>
      <c r="O89" s="84"/>
      <c r="P89" s="84"/>
      <c r="Q89" s="84"/>
      <c r="R89" s="84"/>
      <c r="S89" s="84"/>
      <c r="T89" s="84"/>
      <c r="U89" s="84"/>
      <c r="V89" s="76"/>
    </row>
    <row r="90" spans="1:22" ht="12.75" customHeight="1" x14ac:dyDescent="0.25">
      <c r="A90" s="83"/>
      <c r="B90" s="83"/>
      <c r="C90" s="81"/>
      <c r="D90" s="76"/>
      <c r="E90" s="76"/>
      <c r="F90" s="76"/>
      <c r="G90" s="76"/>
      <c r="H90" s="76"/>
      <c r="I90" s="76"/>
      <c r="J90" s="76"/>
      <c r="K90" s="76"/>
      <c r="L90" s="76"/>
      <c r="M90" s="76"/>
      <c r="N90" s="82"/>
      <c r="O90" s="84"/>
      <c r="P90" s="84"/>
      <c r="Q90" s="84"/>
      <c r="R90" s="84"/>
      <c r="S90" s="84"/>
      <c r="T90" s="84"/>
      <c r="U90" s="84"/>
      <c r="V90" s="76"/>
    </row>
    <row r="91" spans="1:22" ht="12.75" customHeight="1" x14ac:dyDescent="0.25">
      <c r="A91" s="83"/>
      <c r="B91" s="83"/>
      <c r="C91" s="85"/>
      <c r="D91" s="83"/>
      <c r="E91" s="83"/>
      <c r="F91" s="83"/>
      <c r="G91" s="83"/>
      <c r="H91" s="83"/>
      <c r="I91" s="83"/>
      <c r="J91" s="83"/>
      <c r="K91" s="83"/>
      <c r="L91" s="83"/>
      <c r="M91" s="83"/>
      <c r="N91" s="84"/>
      <c r="O91" s="84"/>
      <c r="P91" s="84"/>
      <c r="Q91" s="84"/>
      <c r="R91" s="84"/>
      <c r="S91" s="84"/>
      <c r="T91" s="84"/>
      <c r="U91" s="84"/>
      <c r="V91" s="76"/>
    </row>
    <row r="92" spans="1:22" ht="12.75" customHeight="1" x14ac:dyDescent="0.25">
      <c r="A92" s="83"/>
      <c r="B92" s="83"/>
      <c r="C92" s="85"/>
      <c r="D92" s="83"/>
      <c r="E92" s="83"/>
      <c r="F92" s="83"/>
      <c r="G92" s="83"/>
      <c r="H92" s="83"/>
      <c r="I92" s="83"/>
      <c r="J92" s="83"/>
      <c r="K92" s="83"/>
      <c r="L92" s="83"/>
      <c r="M92" s="83"/>
      <c r="N92" s="84"/>
      <c r="O92" s="84"/>
      <c r="P92" s="84"/>
      <c r="Q92" s="84"/>
      <c r="R92" s="84"/>
      <c r="S92" s="84"/>
      <c r="T92" s="84"/>
      <c r="U92" s="84"/>
      <c r="V92" s="76"/>
    </row>
    <row r="93" spans="1:22" ht="12.75" customHeight="1" x14ac:dyDescent="0.25">
      <c r="A93" s="83"/>
      <c r="B93" s="83"/>
      <c r="C93" s="85"/>
      <c r="D93" s="83"/>
      <c r="E93" s="83"/>
      <c r="F93" s="83"/>
      <c r="G93" s="83"/>
      <c r="H93" s="83"/>
      <c r="I93" s="83"/>
      <c r="J93" s="83"/>
      <c r="K93" s="83"/>
      <c r="L93" s="83"/>
      <c r="M93" s="83"/>
      <c r="N93" s="84"/>
      <c r="O93" s="84"/>
      <c r="P93" s="84"/>
      <c r="Q93" s="84"/>
      <c r="R93" s="84"/>
      <c r="S93" s="84"/>
      <c r="T93" s="84"/>
      <c r="U93" s="84"/>
      <c r="V93" s="76"/>
    </row>
    <row r="94" spans="1:22" ht="12.75" customHeight="1" x14ac:dyDescent="0.25">
      <c r="A94" s="83"/>
      <c r="B94" s="83"/>
      <c r="C94" s="85"/>
      <c r="D94" s="83"/>
      <c r="E94" s="83"/>
      <c r="F94" s="83"/>
      <c r="G94" s="83"/>
      <c r="H94" s="83"/>
      <c r="I94" s="83"/>
      <c r="J94" s="83"/>
      <c r="K94" s="83"/>
      <c r="L94" s="83"/>
      <c r="M94" s="83"/>
      <c r="N94" s="84"/>
      <c r="O94" s="84"/>
      <c r="P94" s="84"/>
      <c r="Q94" s="84"/>
      <c r="R94" s="84"/>
      <c r="S94" s="84"/>
      <c r="T94" s="84"/>
      <c r="U94" s="84"/>
      <c r="V94" s="76"/>
    </row>
    <row r="95" spans="1:22" ht="12.75" customHeight="1" x14ac:dyDescent="0.25">
      <c r="A95" s="83"/>
      <c r="B95" s="83"/>
      <c r="C95" s="85"/>
      <c r="D95" s="83"/>
      <c r="E95" s="83"/>
      <c r="F95" s="83"/>
      <c r="G95" s="83"/>
      <c r="H95" s="83"/>
      <c r="I95" s="83"/>
      <c r="J95" s="83"/>
      <c r="K95" s="83"/>
      <c r="L95" s="83"/>
      <c r="M95" s="83"/>
      <c r="N95" s="84"/>
      <c r="O95" s="84"/>
      <c r="P95" s="84"/>
      <c r="Q95" s="84"/>
      <c r="R95" s="84"/>
      <c r="S95" s="84"/>
      <c r="T95" s="84"/>
      <c r="U95" s="84"/>
      <c r="V95" s="76"/>
    </row>
    <row r="96" spans="1:22" ht="12.75" customHeight="1" x14ac:dyDescent="0.25">
      <c r="A96" s="83"/>
      <c r="B96" s="83"/>
      <c r="C96" s="85"/>
      <c r="D96" s="83"/>
      <c r="E96" s="83"/>
      <c r="F96" s="83"/>
      <c r="G96" s="83"/>
      <c r="H96" s="83"/>
      <c r="I96" s="83"/>
      <c r="J96" s="83"/>
      <c r="K96" s="83"/>
      <c r="L96" s="83"/>
      <c r="M96" s="83"/>
      <c r="N96" s="84"/>
      <c r="O96" s="84"/>
      <c r="P96" s="84"/>
      <c r="Q96" s="84"/>
      <c r="R96" s="84"/>
      <c r="S96" s="84"/>
      <c r="T96" s="84"/>
      <c r="U96" s="84"/>
      <c r="V96" s="76"/>
    </row>
    <row r="97" spans="1:22" ht="12.75" customHeight="1" x14ac:dyDescent="0.25">
      <c r="A97" s="83"/>
      <c r="B97" s="83"/>
      <c r="C97" s="85"/>
      <c r="D97" s="83"/>
      <c r="E97" s="83"/>
      <c r="F97" s="83"/>
      <c r="G97" s="83"/>
      <c r="H97" s="83"/>
      <c r="I97" s="83"/>
      <c r="J97" s="83"/>
      <c r="K97" s="83"/>
      <c r="L97" s="83"/>
      <c r="M97" s="83"/>
      <c r="N97" s="84"/>
      <c r="O97" s="84"/>
      <c r="P97" s="84"/>
      <c r="Q97" s="84"/>
      <c r="R97" s="84"/>
      <c r="S97" s="84"/>
      <c r="T97" s="84"/>
      <c r="U97" s="84"/>
      <c r="V97" s="76"/>
    </row>
    <row r="98" spans="1:22" ht="12.75" customHeight="1" x14ac:dyDescent="0.25">
      <c r="A98" s="83"/>
      <c r="B98" s="83"/>
      <c r="C98" s="85"/>
      <c r="D98" s="83"/>
      <c r="E98" s="83"/>
      <c r="F98" s="83"/>
      <c r="G98" s="83"/>
      <c r="H98" s="83"/>
      <c r="I98" s="83"/>
      <c r="J98" s="83"/>
      <c r="K98" s="83"/>
      <c r="L98" s="83"/>
      <c r="M98" s="83"/>
      <c r="N98" s="84"/>
      <c r="O98" s="84"/>
      <c r="P98" s="84"/>
      <c r="Q98" s="84"/>
      <c r="R98" s="84"/>
      <c r="S98" s="84"/>
      <c r="T98" s="84"/>
      <c r="U98" s="84"/>
      <c r="V98" s="76"/>
    </row>
    <row r="99" spans="1:22" ht="12.75" customHeight="1" x14ac:dyDescent="0.25">
      <c r="A99" s="83"/>
      <c r="B99" s="83"/>
      <c r="C99" s="85"/>
      <c r="D99" s="83"/>
      <c r="E99" s="83"/>
      <c r="F99" s="83"/>
      <c r="G99" s="83"/>
      <c r="H99" s="83"/>
      <c r="I99" s="83"/>
      <c r="J99" s="83"/>
      <c r="K99" s="83"/>
      <c r="L99" s="83"/>
      <c r="M99" s="83"/>
      <c r="N99" s="84"/>
      <c r="O99" s="84"/>
      <c r="P99" s="84"/>
      <c r="Q99" s="84"/>
      <c r="R99" s="84"/>
      <c r="S99" s="84"/>
      <c r="T99" s="84"/>
      <c r="U99" s="84"/>
      <c r="V99" s="76"/>
    </row>
    <row r="100" spans="1:22" ht="12.75" customHeight="1" x14ac:dyDescent="0.25">
      <c r="A100" s="83"/>
      <c r="B100" s="83"/>
      <c r="C100" s="85"/>
      <c r="D100" s="83"/>
      <c r="E100" s="83"/>
      <c r="F100" s="83"/>
      <c r="G100" s="83"/>
      <c r="H100" s="83"/>
      <c r="I100" s="83"/>
      <c r="J100" s="83"/>
      <c r="K100" s="83"/>
      <c r="L100" s="83"/>
      <c r="M100" s="83"/>
      <c r="N100" s="84"/>
      <c r="O100" s="84"/>
      <c r="P100" s="84"/>
      <c r="Q100" s="84"/>
      <c r="R100" s="84"/>
      <c r="S100" s="84"/>
      <c r="T100" s="84"/>
      <c r="U100" s="84"/>
      <c r="V100" s="76"/>
    </row>
    <row r="101" spans="1:22" ht="12.75" customHeight="1" x14ac:dyDescent="0.25">
      <c r="A101" s="83"/>
      <c r="B101" s="83"/>
      <c r="C101" s="85"/>
      <c r="D101" s="83"/>
      <c r="E101" s="83"/>
      <c r="F101" s="83"/>
      <c r="G101" s="83"/>
      <c r="H101" s="83"/>
      <c r="I101" s="83"/>
      <c r="J101" s="83"/>
      <c r="K101" s="83"/>
      <c r="L101" s="83"/>
      <c r="M101" s="83"/>
      <c r="N101" s="84"/>
      <c r="O101" s="84"/>
      <c r="P101" s="84"/>
      <c r="Q101" s="84"/>
      <c r="R101" s="84"/>
      <c r="S101" s="84"/>
      <c r="T101" s="84"/>
      <c r="U101" s="84"/>
      <c r="V101" s="76"/>
    </row>
    <row r="102" spans="1:22" ht="12.75" customHeight="1" x14ac:dyDescent="0.25">
      <c r="A102" s="83"/>
      <c r="B102" s="83"/>
      <c r="C102" s="85"/>
      <c r="D102" s="83"/>
      <c r="E102" s="83"/>
      <c r="F102" s="83"/>
      <c r="G102" s="83"/>
      <c r="H102" s="83"/>
      <c r="I102" s="83"/>
      <c r="J102" s="83"/>
      <c r="K102" s="83"/>
      <c r="L102" s="83"/>
      <c r="M102" s="83"/>
      <c r="N102" s="84"/>
      <c r="O102" s="84"/>
      <c r="P102" s="84"/>
      <c r="Q102" s="84"/>
      <c r="R102" s="84"/>
      <c r="S102" s="84"/>
      <c r="T102" s="84"/>
      <c r="U102" s="84"/>
      <c r="V102" s="76"/>
    </row>
    <row r="103" spans="1:22" ht="12.75" customHeight="1" x14ac:dyDescent="0.25">
      <c r="A103" s="83"/>
      <c r="B103" s="83"/>
      <c r="C103" s="85"/>
      <c r="D103" s="83"/>
      <c r="E103" s="83"/>
      <c r="F103" s="83"/>
      <c r="G103" s="83"/>
      <c r="H103" s="83"/>
      <c r="I103" s="83"/>
      <c r="J103" s="83"/>
      <c r="K103" s="83"/>
      <c r="L103" s="83"/>
      <c r="M103" s="83"/>
      <c r="N103" s="84"/>
      <c r="O103" s="84"/>
      <c r="P103" s="84"/>
      <c r="Q103" s="84"/>
      <c r="R103" s="84"/>
      <c r="S103" s="84"/>
      <c r="T103" s="84"/>
      <c r="U103" s="84"/>
      <c r="V103" s="76"/>
    </row>
    <row r="104" spans="1:22" ht="12.75" customHeight="1" x14ac:dyDescent="0.25">
      <c r="A104" s="83"/>
      <c r="B104" s="83"/>
      <c r="C104" s="85"/>
      <c r="D104" s="83"/>
      <c r="E104" s="83"/>
      <c r="F104" s="83"/>
      <c r="G104" s="83"/>
      <c r="H104" s="83"/>
      <c r="I104" s="83"/>
      <c r="J104" s="83"/>
      <c r="K104" s="83"/>
      <c r="L104" s="83"/>
      <c r="M104" s="83"/>
      <c r="N104" s="84"/>
      <c r="O104" s="84"/>
      <c r="P104" s="84"/>
      <c r="Q104" s="84"/>
      <c r="R104" s="84"/>
      <c r="S104" s="84"/>
      <c r="T104" s="84"/>
      <c r="U104" s="84"/>
      <c r="V104" s="76"/>
    </row>
    <row r="105" spans="1:22" ht="12.75" customHeight="1" x14ac:dyDescent="0.25">
      <c r="A105" s="83"/>
      <c r="B105" s="83"/>
      <c r="C105" s="85"/>
      <c r="D105" s="83"/>
      <c r="E105" s="83"/>
      <c r="F105" s="83"/>
      <c r="G105" s="83"/>
      <c r="H105" s="83"/>
      <c r="I105" s="83"/>
      <c r="J105" s="83"/>
      <c r="K105" s="83"/>
      <c r="L105" s="83"/>
      <c r="M105" s="83"/>
      <c r="N105" s="84"/>
      <c r="O105" s="84"/>
      <c r="P105" s="84"/>
      <c r="Q105" s="84"/>
      <c r="R105" s="84"/>
      <c r="S105" s="84"/>
      <c r="T105" s="84"/>
      <c r="U105" s="84"/>
      <c r="V105" s="76"/>
    </row>
    <row r="106" spans="1:22" ht="12.75" customHeight="1" x14ac:dyDescent="0.25">
      <c r="A106" s="83"/>
      <c r="B106" s="83"/>
      <c r="C106" s="85"/>
      <c r="D106" s="83"/>
      <c r="E106" s="83"/>
      <c r="F106" s="83"/>
      <c r="G106" s="83"/>
      <c r="H106" s="83"/>
      <c r="I106" s="83"/>
      <c r="J106" s="83"/>
      <c r="K106" s="83"/>
      <c r="L106" s="83"/>
      <c r="M106" s="83"/>
      <c r="N106" s="84"/>
      <c r="O106" s="84"/>
      <c r="P106" s="84"/>
      <c r="Q106" s="84"/>
      <c r="R106" s="84"/>
      <c r="S106" s="84"/>
      <c r="T106" s="84"/>
      <c r="U106" s="84"/>
      <c r="V106" s="76"/>
    </row>
    <row r="107" spans="1:22" ht="12.75" customHeight="1" x14ac:dyDescent="0.25">
      <c r="A107" s="83"/>
      <c r="B107" s="83"/>
      <c r="C107" s="85"/>
      <c r="D107" s="83"/>
      <c r="E107" s="83"/>
      <c r="F107" s="83"/>
      <c r="G107" s="83"/>
      <c r="H107" s="83"/>
      <c r="I107" s="83"/>
      <c r="J107" s="83"/>
      <c r="K107" s="83"/>
      <c r="L107" s="83"/>
      <c r="M107" s="83"/>
      <c r="N107" s="84"/>
      <c r="O107" s="84"/>
      <c r="P107" s="84"/>
      <c r="Q107" s="84"/>
      <c r="R107" s="84"/>
      <c r="S107" s="84"/>
      <c r="T107" s="84"/>
      <c r="U107" s="84"/>
      <c r="V107" s="76"/>
    </row>
    <row r="108" spans="1:22" ht="12.75" customHeight="1" x14ac:dyDescent="0.25">
      <c r="A108" s="83"/>
      <c r="B108" s="83"/>
      <c r="C108" s="85"/>
      <c r="D108" s="83"/>
      <c r="E108" s="83"/>
      <c r="F108" s="83"/>
      <c r="G108" s="83"/>
      <c r="H108" s="83"/>
      <c r="I108" s="83"/>
      <c r="J108" s="83"/>
      <c r="K108" s="83"/>
      <c r="L108" s="83"/>
      <c r="M108" s="83"/>
      <c r="N108" s="84"/>
      <c r="O108" s="84"/>
      <c r="P108" s="84"/>
      <c r="Q108" s="84"/>
      <c r="R108" s="84"/>
      <c r="S108" s="84"/>
      <c r="T108" s="84"/>
      <c r="U108" s="84"/>
      <c r="V108" s="76"/>
    </row>
    <row r="109" spans="1:22" ht="12.75" customHeight="1" x14ac:dyDescent="0.25">
      <c r="A109" s="83"/>
      <c r="B109" s="83"/>
      <c r="C109" s="85"/>
      <c r="D109" s="83"/>
      <c r="E109" s="83"/>
      <c r="F109" s="83"/>
      <c r="G109" s="83"/>
      <c r="H109" s="83"/>
      <c r="I109" s="83"/>
      <c r="J109" s="83"/>
      <c r="K109" s="83"/>
      <c r="L109" s="83"/>
      <c r="M109" s="83"/>
      <c r="N109" s="84"/>
      <c r="O109" s="84"/>
      <c r="P109" s="84"/>
      <c r="Q109" s="84"/>
      <c r="R109" s="84"/>
      <c r="S109" s="84"/>
      <c r="T109" s="84"/>
      <c r="U109" s="84"/>
      <c r="V109" s="76"/>
    </row>
    <row r="110" spans="1:22" ht="12.75" customHeight="1" x14ac:dyDescent="0.25">
      <c r="A110" s="83"/>
      <c r="B110" s="83"/>
      <c r="C110" s="85"/>
      <c r="D110" s="83"/>
      <c r="E110" s="83"/>
      <c r="F110" s="83"/>
      <c r="G110" s="83"/>
      <c r="H110" s="83"/>
      <c r="I110" s="83"/>
      <c r="J110" s="83"/>
      <c r="K110" s="83"/>
      <c r="L110" s="83"/>
      <c r="M110" s="83"/>
      <c r="N110" s="84"/>
      <c r="O110" s="84"/>
      <c r="P110" s="84"/>
      <c r="Q110" s="84"/>
      <c r="R110" s="84"/>
      <c r="S110" s="84"/>
      <c r="T110" s="84"/>
      <c r="U110" s="84"/>
      <c r="V110" s="76"/>
    </row>
    <row r="111" spans="1:22" ht="12.75" customHeight="1" x14ac:dyDescent="0.25">
      <c r="A111" s="83"/>
      <c r="B111" s="83"/>
      <c r="C111" s="85"/>
      <c r="D111" s="83"/>
      <c r="E111" s="83"/>
      <c r="F111" s="83"/>
      <c r="G111" s="83"/>
      <c r="H111" s="83"/>
      <c r="I111" s="83"/>
      <c r="J111" s="83"/>
      <c r="K111" s="83"/>
      <c r="L111" s="83"/>
      <c r="M111" s="83"/>
      <c r="N111" s="84"/>
      <c r="O111" s="84"/>
      <c r="P111" s="84"/>
      <c r="Q111" s="84"/>
      <c r="R111" s="84"/>
      <c r="S111" s="84"/>
      <c r="T111" s="84"/>
      <c r="U111" s="84"/>
      <c r="V111" s="76"/>
    </row>
    <row r="112" spans="1:22" ht="12.75" customHeight="1" x14ac:dyDescent="0.25">
      <c r="A112" s="83"/>
      <c r="B112" s="83"/>
      <c r="C112" s="85"/>
      <c r="D112" s="83"/>
      <c r="E112" s="83"/>
      <c r="F112" s="83"/>
      <c r="G112" s="83"/>
      <c r="H112" s="83"/>
      <c r="I112" s="83"/>
      <c r="J112" s="83"/>
      <c r="K112" s="83"/>
      <c r="L112" s="83"/>
      <c r="M112" s="83"/>
      <c r="N112" s="84"/>
      <c r="O112" s="84"/>
      <c r="P112" s="84"/>
      <c r="Q112" s="84"/>
      <c r="R112" s="84"/>
      <c r="S112" s="84"/>
      <c r="T112" s="84"/>
      <c r="U112" s="84"/>
      <c r="V112" s="76"/>
    </row>
    <row r="113" spans="1:22" ht="12.75" customHeight="1" x14ac:dyDescent="0.25">
      <c r="A113" s="83"/>
      <c r="B113" s="83"/>
      <c r="C113" s="85"/>
      <c r="D113" s="83"/>
      <c r="E113" s="83"/>
      <c r="F113" s="83"/>
      <c r="G113" s="83"/>
      <c r="H113" s="83"/>
      <c r="I113" s="83"/>
      <c r="J113" s="83"/>
      <c r="K113" s="83"/>
      <c r="L113" s="83"/>
      <c r="M113" s="83"/>
      <c r="N113" s="84"/>
      <c r="O113" s="84"/>
      <c r="P113" s="84"/>
      <c r="Q113" s="84"/>
      <c r="R113" s="84"/>
      <c r="S113" s="84"/>
      <c r="T113" s="84"/>
      <c r="U113" s="84"/>
      <c r="V113" s="76"/>
    </row>
    <row r="114" spans="1:22" ht="12.75" customHeight="1" x14ac:dyDescent="0.25">
      <c r="A114" s="83"/>
      <c r="B114" s="83"/>
      <c r="C114" s="85"/>
      <c r="D114" s="83"/>
      <c r="E114" s="83"/>
      <c r="F114" s="83"/>
      <c r="G114" s="83"/>
      <c r="H114" s="83"/>
      <c r="I114" s="83"/>
      <c r="J114" s="83"/>
      <c r="K114" s="83"/>
      <c r="L114" s="83"/>
      <c r="M114" s="83"/>
      <c r="N114" s="84"/>
      <c r="O114" s="84"/>
      <c r="P114" s="84"/>
      <c r="Q114" s="84"/>
      <c r="R114" s="84"/>
      <c r="S114" s="84"/>
      <c r="T114" s="84"/>
      <c r="U114" s="84"/>
      <c r="V114" s="76"/>
    </row>
    <row r="115" spans="1:22" ht="12.75" customHeight="1" x14ac:dyDescent="0.25">
      <c r="A115" s="83"/>
      <c r="B115" s="83"/>
      <c r="C115" s="85"/>
      <c r="D115" s="83"/>
      <c r="E115" s="83"/>
      <c r="F115" s="83"/>
      <c r="G115" s="83"/>
      <c r="H115" s="83"/>
      <c r="I115" s="83"/>
      <c r="J115" s="83"/>
      <c r="K115" s="83"/>
      <c r="L115" s="83"/>
      <c r="M115" s="83"/>
      <c r="N115" s="84"/>
      <c r="O115" s="84"/>
      <c r="P115" s="84"/>
      <c r="Q115" s="84"/>
      <c r="R115" s="84"/>
      <c r="S115" s="84"/>
      <c r="T115" s="84"/>
      <c r="U115" s="84"/>
      <c r="V115" s="76"/>
    </row>
    <row r="116" spans="1:22" ht="12.75" customHeight="1" x14ac:dyDescent="0.25">
      <c r="A116" s="83"/>
      <c r="B116" s="83"/>
      <c r="C116" s="85"/>
      <c r="D116" s="83"/>
      <c r="E116" s="83"/>
      <c r="F116" s="83"/>
      <c r="G116" s="83"/>
      <c r="H116" s="83"/>
      <c r="I116" s="83"/>
      <c r="J116" s="83"/>
      <c r="K116" s="83"/>
      <c r="L116" s="83"/>
      <c r="M116" s="83"/>
      <c r="N116" s="84"/>
      <c r="O116" s="84"/>
      <c r="P116" s="84"/>
      <c r="Q116" s="84"/>
      <c r="R116" s="84"/>
      <c r="S116" s="84"/>
      <c r="T116" s="84"/>
      <c r="U116" s="84"/>
      <c r="V116" s="76"/>
    </row>
    <row r="117" spans="1:22" ht="12.75" customHeight="1" x14ac:dyDescent="0.25">
      <c r="A117" s="83"/>
      <c r="B117" s="83"/>
      <c r="C117" s="85"/>
      <c r="D117" s="83"/>
      <c r="E117" s="83"/>
      <c r="F117" s="83"/>
      <c r="G117" s="83"/>
      <c r="H117" s="83"/>
      <c r="I117" s="83"/>
      <c r="J117" s="83"/>
      <c r="K117" s="83"/>
      <c r="L117" s="83"/>
      <c r="M117" s="83"/>
      <c r="N117" s="84"/>
      <c r="O117" s="84"/>
      <c r="P117" s="84"/>
      <c r="Q117" s="84"/>
      <c r="R117" s="84"/>
      <c r="S117" s="84"/>
      <c r="T117" s="84"/>
      <c r="U117" s="84"/>
      <c r="V117" s="76"/>
    </row>
    <row r="118" spans="1:22" ht="12.75" customHeight="1" x14ac:dyDescent="0.25">
      <c r="A118" s="83"/>
      <c r="B118" s="83"/>
      <c r="C118" s="85"/>
      <c r="D118" s="83"/>
      <c r="E118" s="83"/>
      <c r="F118" s="83"/>
      <c r="G118" s="83"/>
      <c r="H118" s="83"/>
      <c r="I118" s="83"/>
      <c r="J118" s="83"/>
      <c r="K118" s="83"/>
      <c r="L118" s="83"/>
      <c r="M118" s="83"/>
      <c r="N118" s="84"/>
      <c r="O118" s="84"/>
      <c r="P118" s="84"/>
      <c r="Q118" s="84"/>
      <c r="R118" s="84"/>
      <c r="S118" s="84"/>
      <c r="T118" s="84"/>
      <c r="U118" s="84"/>
      <c r="V118" s="76"/>
    </row>
    <row r="119" spans="1:22" ht="12.75" customHeight="1" x14ac:dyDescent="0.25">
      <c r="A119" s="83"/>
      <c r="B119" s="83"/>
      <c r="C119" s="85"/>
      <c r="D119" s="83"/>
      <c r="E119" s="83"/>
      <c r="F119" s="83"/>
      <c r="G119" s="83"/>
      <c r="H119" s="83"/>
      <c r="I119" s="83"/>
      <c r="J119" s="83"/>
      <c r="K119" s="83"/>
      <c r="L119" s="83"/>
      <c r="M119" s="83"/>
      <c r="N119" s="84"/>
      <c r="O119" s="84"/>
      <c r="P119" s="84"/>
      <c r="Q119" s="84"/>
      <c r="R119" s="84"/>
      <c r="S119" s="84"/>
      <c r="T119" s="84"/>
      <c r="U119" s="84"/>
      <c r="V119" s="76"/>
    </row>
    <row r="120" spans="1:22" ht="12.75" customHeight="1" x14ac:dyDescent="0.25">
      <c r="A120" s="83"/>
      <c r="B120" s="83"/>
      <c r="C120" s="85"/>
      <c r="D120" s="83"/>
      <c r="E120" s="83"/>
      <c r="F120" s="83"/>
      <c r="G120" s="83"/>
      <c r="H120" s="83"/>
      <c r="I120" s="83"/>
      <c r="J120" s="83"/>
      <c r="K120" s="83"/>
      <c r="L120" s="83"/>
      <c r="M120" s="83"/>
      <c r="N120" s="84"/>
      <c r="O120" s="84"/>
      <c r="P120" s="84"/>
      <c r="Q120" s="84"/>
      <c r="R120" s="84"/>
      <c r="S120" s="84"/>
      <c r="T120" s="84"/>
      <c r="U120" s="84"/>
      <c r="V120" s="76"/>
    </row>
    <row r="121" spans="1:22" ht="12.75" customHeight="1" x14ac:dyDescent="0.25">
      <c r="A121" s="83"/>
      <c r="B121" s="83"/>
      <c r="C121" s="85"/>
      <c r="D121" s="83"/>
      <c r="E121" s="83"/>
      <c r="F121" s="83"/>
      <c r="G121" s="83"/>
      <c r="H121" s="83"/>
      <c r="I121" s="83"/>
      <c r="J121" s="83"/>
      <c r="K121" s="83"/>
      <c r="L121" s="83"/>
      <c r="M121" s="83"/>
      <c r="N121" s="84"/>
      <c r="O121" s="84"/>
      <c r="P121" s="84"/>
      <c r="Q121" s="84"/>
      <c r="R121" s="84"/>
      <c r="S121" s="84"/>
      <c r="T121" s="84"/>
      <c r="U121" s="84"/>
      <c r="V121" s="76"/>
    </row>
    <row r="122" spans="1:22" ht="12.75" customHeight="1" x14ac:dyDescent="0.25">
      <c r="A122" s="83"/>
      <c r="B122" s="83"/>
      <c r="C122" s="85"/>
      <c r="D122" s="83"/>
      <c r="E122" s="83"/>
      <c r="F122" s="83"/>
      <c r="G122" s="83"/>
      <c r="H122" s="83"/>
      <c r="I122" s="83"/>
      <c r="J122" s="83"/>
      <c r="K122" s="83"/>
      <c r="L122" s="83"/>
      <c r="M122" s="83"/>
      <c r="N122" s="84"/>
      <c r="O122" s="84"/>
      <c r="P122" s="84"/>
      <c r="Q122" s="84"/>
      <c r="R122" s="84"/>
      <c r="S122" s="84"/>
      <c r="T122" s="84"/>
      <c r="U122" s="84"/>
      <c r="V122" s="76"/>
    </row>
    <row r="123" spans="1:22" ht="12.75" customHeight="1" x14ac:dyDescent="0.25">
      <c r="A123" s="83"/>
      <c r="B123" s="83"/>
      <c r="C123" s="85"/>
      <c r="D123" s="83"/>
      <c r="E123" s="83"/>
      <c r="F123" s="83"/>
      <c r="G123" s="83"/>
      <c r="H123" s="83"/>
      <c r="I123" s="83"/>
      <c r="J123" s="83"/>
      <c r="K123" s="83"/>
      <c r="L123" s="83"/>
      <c r="M123" s="83"/>
      <c r="N123" s="84"/>
      <c r="O123" s="84"/>
      <c r="P123" s="84"/>
      <c r="Q123" s="84"/>
      <c r="R123" s="84"/>
      <c r="S123" s="84"/>
      <c r="T123" s="84"/>
      <c r="U123" s="84"/>
      <c r="V123" s="76"/>
    </row>
    <row r="124" spans="1:22" ht="12.75" customHeight="1" x14ac:dyDescent="0.25">
      <c r="A124" s="83"/>
      <c r="B124" s="83"/>
      <c r="C124" s="85"/>
      <c r="D124" s="83"/>
      <c r="E124" s="83"/>
      <c r="F124" s="83"/>
      <c r="G124" s="83"/>
      <c r="H124" s="83"/>
      <c r="I124" s="83"/>
      <c r="J124" s="83"/>
      <c r="K124" s="83"/>
      <c r="L124" s="83"/>
      <c r="M124" s="83"/>
      <c r="N124" s="84"/>
      <c r="O124" s="84"/>
      <c r="P124" s="84"/>
      <c r="Q124" s="84"/>
      <c r="R124" s="84"/>
      <c r="S124" s="84"/>
      <c r="T124" s="84"/>
      <c r="U124" s="84"/>
      <c r="V124" s="76"/>
    </row>
    <row r="125" spans="1:22" ht="12.75" customHeight="1" x14ac:dyDescent="0.25">
      <c r="A125" s="83"/>
      <c r="B125" s="83"/>
      <c r="C125" s="85"/>
      <c r="D125" s="83"/>
      <c r="E125" s="83"/>
      <c r="F125" s="83"/>
      <c r="G125" s="83"/>
      <c r="H125" s="83"/>
      <c r="I125" s="83"/>
      <c r="J125" s="83"/>
      <c r="K125" s="83"/>
      <c r="L125" s="83"/>
      <c r="M125" s="83"/>
      <c r="N125" s="84"/>
      <c r="O125" s="84"/>
      <c r="P125" s="84"/>
      <c r="Q125" s="84"/>
      <c r="R125" s="84"/>
      <c r="S125" s="84"/>
      <c r="T125" s="84"/>
      <c r="U125" s="84"/>
      <c r="V125" s="76"/>
    </row>
    <row r="126" spans="1:22" ht="12.75" customHeight="1" x14ac:dyDescent="0.25">
      <c r="A126" s="83"/>
      <c r="B126" s="83"/>
      <c r="C126" s="85"/>
      <c r="D126" s="83"/>
      <c r="E126" s="83"/>
      <c r="F126" s="83"/>
      <c r="G126" s="83"/>
      <c r="H126" s="83"/>
      <c r="I126" s="83"/>
      <c r="J126" s="83"/>
      <c r="K126" s="83"/>
      <c r="L126" s="83"/>
      <c r="M126" s="83"/>
      <c r="N126" s="84"/>
      <c r="O126" s="84"/>
      <c r="P126" s="84"/>
      <c r="Q126" s="84"/>
      <c r="R126" s="84"/>
      <c r="S126" s="84"/>
      <c r="T126" s="84"/>
      <c r="U126" s="84"/>
      <c r="V126" s="76"/>
    </row>
    <row r="127" spans="1:22" ht="12.75" customHeight="1" x14ac:dyDescent="0.25">
      <c r="A127" s="83"/>
      <c r="B127" s="83"/>
      <c r="C127" s="85"/>
      <c r="D127" s="83"/>
      <c r="E127" s="83"/>
      <c r="F127" s="83"/>
      <c r="G127" s="83"/>
      <c r="H127" s="83"/>
      <c r="I127" s="83"/>
      <c r="J127" s="83"/>
      <c r="K127" s="83"/>
      <c r="L127" s="83"/>
      <c r="M127" s="83"/>
      <c r="N127" s="84"/>
      <c r="O127" s="84"/>
      <c r="P127" s="84"/>
      <c r="Q127" s="84"/>
      <c r="R127" s="84"/>
      <c r="S127" s="84"/>
      <c r="T127" s="84"/>
      <c r="U127" s="84"/>
      <c r="V127" s="76"/>
    </row>
    <row r="128" spans="1:22" ht="12.75" customHeight="1" x14ac:dyDescent="0.25">
      <c r="A128" s="83"/>
      <c r="B128" s="83"/>
      <c r="C128" s="85"/>
      <c r="D128" s="83"/>
      <c r="E128" s="83"/>
      <c r="F128" s="83"/>
      <c r="G128" s="83"/>
      <c r="H128" s="83"/>
      <c r="I128" s="83"/>
      <c r="J128" s="83"/>
      <c r="K128" s="83"/>
      <c r="L128" s="83"/>
      <c r="M128" s="83"/>
      <c r="N128" s="84"/>
      <c r="O128" s="84"/>
      <c r="P128" s="84"/>
      <c r="Q128" s="84"/>
      <c r="R128" s="84"/>
      <c r="S128" s="84"/>
      <c r="T128" s="84"/>
      <c r="U128" s="84"/>
      <c r="V128" s="76"/>
    </row>
    <row r="129" spans="1:22" ht="12.75" customHeight="1" x14ac:dyDescent="0.25">
      <c r="A129" s="83"/>
      <c r="B129" s="83"/>
      <c r="C129" s="85"/>
      <c r="D129" s="83"/>
      <c r="E129" s="83"/>
      <c r="F129" s="83"/>
      <c r="G129" s="83"/>
      <c r="H129" s="83"/>
      <c r="I129" s="83"/>
      <c r="J129" s="83"/>
      <c r="K129" s="83"/>
      <c r="L129" s="83"/>
      <c r="M129" s="83"/>
      <c r="N129" s="84"/>
      <c r="O129" s="84"/>
      <c r="P129" s="84"/>
      <c r="Q129" s="84"/>
      <c r="R129" s="84"/>
      <c r="S129" s="84"/>
      <c r="T129" s="84"/>
      <c r="U129" s="84"/>
      <c r="V129" s="76"/>
    </row>
    <row r="130" spans="1:22" ht="12.75" customHeight="1" x14ac:dyDescent="0.25">
      <c r="A130" s="83"/>
      <c r="B130" s="83"/>
      <c r="C130" s="85"/>
      <c r="D130" s="83"/>
      <c r="E130" s="83"/>
      <c r="F130" s="83"/>
      <c r="G130" s="83"/>
      <c r="H130" s="83"/>
      <c r="I130" s="83"/>
      <c r="J130" s="83"/>
      <c r="K130" s="83"/>
      <c r="L130" s="83"/>
      <c r="M130" s="83"/>
      <c r="N130" s="84"/>
      <c r="O130" s="84"/>
      <c r="P130" s="84"/>
      <c r="Q130" s="84"/>
      <c r="R130" s="84"/>
      <c r="S130" s="84"/>
      <c r="T130" s="84"/>
      <c r="U130" s="84"/>
      <c r="V130" s="76"/>
    </row>
    <row r="131" spans="1:22" ht="12.75" customHeight="1" x14ac:dyDescent="0.25">
      <c r="A131" s="83"/>
      <c r="B131" s="83"/>
      <c r="C131" s="85"/>
      <c r="D131" s="83"/>
      <c r="E131" s="83"/>
      <c r="F131" s="83"/>
      <c r="G131" s="83"/>
      <c r="H131" s="83"/>
      <c r="I131" s="83"/>
      <c r="J131" s="83"/>
      <c r="K131" s="83"/>
      <c r="L131" s="83"/>
      <c r="M131" s="83"/>
      <c r="N131" s="84"/>
      <c r="O131" s="84"/>
      <c r="P131" s="84"/>
      <c r="Q131" s="84"/>
      <c r="R131" s="84"/>
      <c r="S131" s="84"/>
      <c r="T131" s="84"/>
      <c r="U131" s="84"/>
      <c r="V131" s="76"/>
    </row>
    <row r="132" spans="1:22" ht="12.75" customHeight="1" x14ac:dyDescent="0.25">
      <c r="A132" s="83"/>
      <c r="B132" s="83"/>
      <c r="C132" s="85"/>
      <c r="D132" s="83"/>
      <c r="E132" s="83"/>
      <c r="F132" s="83"/>
      <c r="G132" s="83"/>
      <c r="H132" s="83"/>
      <c r="I132" s="83"/>
      <c r="J132" s="83"/>
      <c r="K132" s="83"/>
      <c r="L132" s="83"/>
      <c r="M132" s="83"/>
      <c r="N132" s="84"/>
      <c r="O132" s="84"/>
      <c r="P132" s="84"/>
      <c r="Q132" s="84"/>
      <c r="R132" s="84"/>
      <c r="S132" s="84"/>
      <c r="T132" s="84"/>
      <c r="U132" s="84"/>
      <c r="V132" s="76"/>
    </row>
    <row r="133" spans="1:22" ht="12.75" customHeight="1" x14ac:dyDescent="0.25">
      <c r="A133" s="83"/>
      <c r="B133" s="83"/>
      <c r="C133" s="85"/>
      <c r="D133" s="83"/>
      <c r="E133" s="83"/>
      <c r="F133" s="83"/>
      <c r="G133" s="83"/>
      <c r="H133" s="83"/>
      <c r="I133" s="83"/>
      <c r="J133" s="83"/>
      <c r="K133" s="83"/>
      <c r="L133" s="83"/>
      <c r="M133" s="83"/>
      <c r="N133" s="84"/>
      <c r="O133" s="84"/>
      <c r="P133" s="84"/>
      <c r="Q133" s="84"/>
      <c r="R133" s="84"/>
      <c r="S133" s="84"/>
      <c r="T133" s="84"/>
      <c r="U133" s="84"/>
      <c r="V133" s="76"/>
    </row>
    <row r="134" spans="1:22" ht="12.75" customHeight="1" x14ac:dyDescent="0.25">
      <c r="A134" s="83"/>
      <c r="B134" s="83"/>
      <c r="C134" s="85"/>
      <c r="D134" s="83"/>
      <c r="E134" s="83"/>
      <c r="F134" s="83"/>
      <c r="G134" s="83"/>
      <c r="H134" s="83"/>
      <c r="I134" s="83"/>
      <c r="J134" s="83"/>
      <c r="K134" s="83"/>
      <c r="L134" s="83"/>
      <c r="M134" s="83"/>
      <c r="N134" s="84"/>
      <c r="O134" s="84"/>
      <c r="P134" s="84"/>
      <c r="Q134" s="84"/>
      <c r="R134" s="84"/>
      <c r="S134" s="84"/>
      <c r="T134" s="84"/>
      <c r="U134" s="84"/>
      <c r="V134" s="76"/>
    </row>
    <row r="135" spans="1:22" ht="12.75" customHeight="1" x14ac:dyDescent="0.25">
      <c r="A135" s="83"/>
      <c r="B135" s="83"/>
      <c r="C135" s="85"/>
      <c r="D135" s="83"/>
      <c r="E135" s="83"/>
      <c r="F135" s="83"/>
      <c r="G135" s="83"/>
      <c r="H135" s="83"/>
      <c r="I135" s="83"/>
      <c r="J135" s="83"/>
      <c r="K135" s="83"/>
      <c r="L135" s="83"/>
      <c r="M135" s="83"/>
      <c r="N135" s="84"/>
      <c r="O135" s="84"/>
      <c r="P135" s="84"/>
      <c r="Q135" s="84"/>
      <c r="R135" s="84"/>
      <c r="S135" s="84"/>
      <c r="T135" s="84"/>
      <c r="U135" s="84"/>
      <c r="V135" s="76"/>
    </row>
    <row r="136" spans="1:22" ht="12.75" customHeight="1" x14ac:dyDescent="0.25">
      <c r="A136" s="83"/>
      <c r="B136" s="83"/>
      <c r="C136" s="85"/>
      <c r="D136" s="83"/>
      <c r="E136" s="83"/>
      <c r="F136" s="83"/>
      <c r="G136" s="83"/>
      <c r="H136" s="83"/>
      <c r="I136" s="83"/>
      <c r="J136" s="83"/>
      <c r="K136" s="83"/>
      <c r="L136" s="83"/>
      <c r="M136" s="83"/>
      <c r="N136" s="84"/>
      <c r="O136" s="84"/>
      <c r="P136" s="84"/>
      <c r="Q136" s="84"/>
      <c r="R136" s="84"/>
      <c r="S136" s="84"/>
      <c r="T136" s="84"/>
      <c r="U136" s="84"/>
      <c r="V136" s="76"/>
    </row>
    <row r="137" spans="1:22" ht="12.75" customHeight="1" x14ac:dyDescent="0.25">
      <c r="A137" s="83"/>
      <c r="B137" s="83"/>
      <c r="C137" s="85"/>
      <c r="D137" s="83"/>
      <c r="E137" s="83"/>
      <c r="F137" s="83"/>
      <c r="G137" s="83"/>
      <c r="H137" s="83"/>
      <c r="I137" s="83"/>
      <c r="J137" s="83"/>
      <c r="K137" s="83"/>
      <c r="L137" s="83"/>
      <c r="M137" s="83"/>
      <c r="N137" s="84"/>
      <c r="O137" s="84"/>
      <c r="P137" s="84"/>
      <c r="Q137" s="84"/>
      <c r="R137" s="84"/>
      <c r="S137" s="84"/>
      <c r="T137" s="84"/>
      <c r="U137" s="84"/>
      <c r="V137" s="76"/>
    </row>
    <row r="138" spans="1:22" ht="12.75" customHeight="1" x14ac:dyDescent="0.25">
      <c r="A138" s="83"/>
      <c r="B138" s="83"/>
      <c r="C138" s="85"/>
      <c r="D138" s="83"/>
      <c r="E138" s="83"/>
      <c r="F138" s="83"/>
      <c r="G138" s="83"/>
      <c r="H138" s="83"/>
      <c r="I138" s="83"/>
      <c r="J138" s="83"/>
      <c r="K138" s="83"/>
      <c r="L138" s="83"/>
      <c r="M138" s="83"/>
      <c r="N138" s="84"/>
      <c r="O138" s="84"/>
      <c r="P138" s="84"/>
      <c r="Q138" s="84"/>
      <c r="R138" s="84"/>
      <c r="S138" s="84"/>
      <c r="T138" s="84"/>
      <c r="U138" s="84"/>
      <c r="V138" s="76"/>
    </row>
    <row r="139" spans="1:22" ht="12.75" customHeight="1" x14ac:dyDescent="0.25">
      <c r="A139" s="83"/>
      <c r="B139" s="83"/>
      <c r="C139" s="85"/>
      <c r="D139" s="83"/>
      <c r="E139" s="83"/>
      <c r="F139" s="83"/>
      <c r="G139" s="83"/>
      <c r="H139" s="83"/>
      <c r="I139" s="83"/>
      <c r="J139" s="83"/>
      <c r="K139" s="83"/>
      <c r="L139" s="83"/>
      <c r="M139" s="83"/>
      <c r="N139" s="84"/>
      <c r="O139" s="84"/>
      <c r="P139" s="84"/>
      <c r="Q139" s="84"/>
      <c r="R139" s="84"/>
      <c r="S139" s="84"/>
      <c r="T139" s="84"/>
      <c r="U139" s="84"/>
      <c r="V139" s="76"/>
    </row>
    <row r="140" spans="1:22" ht="12.75" customHeight="1" x14ac:dyDescent="0.25">
      <c r="A140" s="83"/>
      <c r="B140" s="83"/>
      <c r="C140" s="85"/>
      <c r="D140" s="83"/>
      <c r="E140" s="83"/>
      <c r="F140" s="83"/>
      <c r="G140" s="83"/>
      <c r="H140" s="83"/>
      <c r="I140" s="83"/>
      <c r="J140" s="83"/>
      <c r="K140" s="83"/>
      <c r="L140" s="83"/>
      <c r="M140" s="83"/>
      <c r="N140" s="84"/>
      <c r="O140" s="84"/>
      <c r="P140" s="84"/>
      <c r="Q140" s="84"/>
      <c r="R140" s="84"/>
      <c r="S140" s="84"/>
      <c r="T140" s="84"/>
      <c r="U140" s="84"/>
      <c r="V140" s="76"/>
    </row>
    <row r="141" spans="1:22" ht="12.75" customHeight="1" x14ac:dyDescent="0.25">
      <c r="A141" s="83"/>
      <c r="B141" s="83"/>
      <c r="C141" s="85"/>
      <c r="D141" s="83"/>
      <c r="E141" s="83"/>
      <c r="F141" s="83"/>
      <c r="G141" s="83"/>
      <c r="H141" s="83"/>
      <c r="I141" s="83"/>
      <c r="J141" s="83"/>
      <c r="K141" s="83"/>
      <c r="L141" s="83"/>
      <c r="M141" s="83"/>
      <c r="N141" s="84"/>
      <c r="O141" s="84"/>
      <c r="P141" s="84"/>
      <c r="Q141" s="84"/>
      <c r="R141" s="84"/>
      <c r="S141" s="84"/>
      <c r="T141" s="84"/>
      <c r="U141" s="84"/>
      <c r="V141" s="76"/>
    </row>
    <row r="142" spans="1:22" ht="12.75" customHeight="1" x14ac:dyDescent="0.25">
      <c r="A142" s="83"/>
      <c r="B142" s="83"/>
      <c r="C142" s="85"/>
      <c r="D142" s="83"/>
      <c r="E142" s="83"/>
      <c r="F142" s="83"/>
      <c r="G142" s="83"/>
      <c r="H142" s="83"/>
      <c r="I142" s="83"/>
      <c r="J142" s="83"/>
      <c r="K142" s="83"/>
      <c r="L142" s="83"/>
      <c r="M142" s="83"/>
      <c r="N142" s="84"/>
      <c r="O142" s="84"/>
      <c r="P142" s="84"/>
      <c r="Q142" s="84"/>
      <c r="R142" s="84"/>
      <c r="S142" s="84"/>
      <c r="T142" s="84"/>
      <c r="U142" s="84"/>
      <c r="V142" s="76"/>
    </row>
    <row r="143" spans="1:22" ht="12.75" customHeight="1" x14ac:dyDescent="0.25">
      <c r="A143" s="83"/>
      <c r="B143" s="83"/>
      <c r="C143" s="85"/>
      <c r="D143" s="83"/>
      <c r="E143" s="83"/>
      <c r="F143" s="83"/>
      <c r="G143" s="83"/>
      <c r="H143" s="83"/>
      <c r="I143" s="83"/>
      <c r="J143" s="83"/>
      <c r="K143" s="83"/>
      <c r="L143" s="83"/>
      <c r="M143" s="83"/>
      <c r="N143" s="84"/>
      <c r="O143" s="84"/>
      <c r="P143" s="84"/>
      <c r="Q143" s="84"/>
      <c r="R143" s="84"/>
      <c r="S143" s="84"/>
      <c r="T143" s="84"/>
      <c r="U143" s="84"/>
      <c r="V143" s="76"/>
    </row>
    <row r="144" spans="1:22" ht="12.75" customHeight="1" x14ac:dyDescent="0.25">
      <c r="A144" s="83"/>
      <c r="B144" s="83"/>
      <c r="C144" s="85"/>
      <c r="D144" s="83"/>
      <c r="E144" s="83"/>
      <c r="F144" s="83"/>
      <c r="G144" s="83"/>
      <c r="H144" s="83"/>
      <c r="I144" s="83"/>
      <c r="J144" s="83"/>
      <c r="K144" s="83"/>
      <c r="L144" s="83"/>
      <c r="M144" s="83"/>
      <c r="N144" s="84"/>
      <c r="O144" s="84"/>
      <c r="P144" s="84"/>
      <c r="Q144" s="84"/>
      <c r="R144" s="84"/>
      <c r="S144" s="84"/>
      <c r="T144" s="84"/>
      <c r="U144" s="84"/>
      <c r="V144" s="76"/>
    </row>
    <row r="145" spans="1:22" ht="12.75" customHeight="1" x14ac:dyDescent="0.25">
      <c r="A145" s="83"/>
      <c r="B145" s="83"/>
      <c r="C145" s="85"/>
      <c r="D145" s="83"/>
      <c r="E145" s="83"/>
      <c r="F145" s="83"/>
      <c r="G145" s="83"/>
      <c r="H145" s="83"/>
      <c r="I145" s="83"/>
      <c r="J145" s="83"/>
      <c r="K145" s="83"/>
      <c r="L145" s="83"/>
      <c r="M145" s="83"/>
      <c r="N145" s="84"/>
      <c r="O145" s="84"/>
      <c r="P145" s="84"/>
      <c r="Q145" s="84"/>
      <c r="R145" s="84"/>
      <c r="S145" s="84"/>
      <c r="T145" s="84"/>
      <c r="U145" s="84"/>
      <c r="V145" s="76"/>
    </row>
    <row r="146" spans="1:22" ht="12.75" customHeight="1" x14ac:dyDescent="0.25">
      <c r="A146" s="83"/>
      <c r="B146" s="83"/>
      <c r="C146" s="85"/>
      <c r="D146" s="83"/>
      <c r="E146" s="83"/>
      <c r="F146" s="83"/>
      <c r="G146" s="83"/>
      <c r="H146" s="83"/>
      <c r="I146" s="83"/>
      <c r="J146" s="83"/>
      <c r="K146" s="83"/>
      <c r="L146" s="83"/>
      <c r="M146" s="83"/>
      <c r="N146" s="84"/>
      <c r="O146" s="84"/>
      <c r="P146" s="84"/>
      <c r="Q146" s="84"/>
      <c r="R146" s="84"/>
      <c r="S146" s="84"/>
      <c r="T146" s="84"/>
      <c r="U146" s="84"/>
      <c r="V146" s="76"/>
    </row>
    <row r="147" spans="1:22" ht="12.75" customHeight="1" x14ac:dyDescent="0.25">
      <c r="A147" s="83"/>
      <c r="B147" s="83"/>
      <c r="C147" s="85"/>
      <c r="D147" s="83"/>
      <c r="E147" s="83"/>
      <c r="F147" s="83"/>
      <c r="G147" s="83"/>
      <c r="H147" s="83"/>
      <c r="I147" s="83"/>
      <c r="J147" s="83"/>
      <c r="K147" s="83"/>
      <c r="L147" s="83"/>
      <c r="M147" s="83"/>
      <c r="N147" s="84"/>
      <c r="O147" s="84"/>
      <c r="P147" s="84"/>
      <c r="Q147" s="84"/>
      <c r="R147" s="84"/>
      <c r="S147" s="84"/>
      <c r="T147" s="84"/>
      <c r="U147" s="84"/>
      <c r="V147" s="76"/>
    </row>
    <row r="148" spans="1:22" ht="12.75" customHeight="1" x14ac:dyDescent="0.25">
      <c r="A148" s="83"/>
      <c r="B148" s="83"/>
      <c r="C148" s="85"/>
      <c r="D148" s="83"/>
      <c r="E148" s="83"/>
      <c r="F148" s="83"/>
      <c r="G148" s="83"/>
      <c r="H148" s="83"/>
      <c r="I148" s="83"/>
      <c r="J148" s="83"/>
      <c r="K148" s="83"/>
      <c r="L148" s="83"/>
      <c r="M148" s="83"/>
      <c r="N148" s="84"/>
      <c r="O148" s="84"/>
      <c r="P148" s="84"/>
      <c r="Q148" s="84"/>
      <c r="R148" s="84"/>
      <c r="S148" s="84"/>
      <c r="T148" s="84"/>
      <c r="U148" s="84"/>
      <c r="V148" s="76"/>
    </row>
    <row r="149" spans="1:22" ht="12.75" customHeight="1" x14ac:dyDescent="0.25">
      <c r="A149" s="83"/>
      <c r="B149" s="83"/>
      <c r="C149" s="85"/>
      <c r="D149" s="83"/>
      <c r="E149" s="83"/>
      <c r="F149" s="83"/>
      <c r="G149" s="83"/>
      <c r="H149" s="83"/>
      <c r="I149" s="83"/>
      <c r="J149" s="83"/>
      <c r="K149" s="83"/>
      <c r="L149" s="83"/>
      <c r="M149" s="83"/>
      <c r="N149" s="84"/>
      <c r="O149" s="84"/>
      <c r="P149" s="84"/>
      <c r="Q149" s="84"/>
      <c r="R149" s="84"/>
      <c r="S149" s="84"/>
      <c r="T149" s="84"/>
      <c r="U149" s="84"/>
      <c r="V149" s="76"/>
    </row>
    <row r="150" spans="1:22" ht="12.75" customHeight="1" x14ac:dyDescent="0.25">
      <c r="A150" s="83"/>
      <c r="B150" s="83"/>
      <c r="C150" s="85"/>
      <c r="D150" s="83"/>
      <c r="E150" s="83"/>
      <c r="F150" s="83"/>
      <c r="G150" s="83"/>
      <c r="H150" s="83"/>
      <c r="I150" s="83"/>
      <c r="J150" s="83"/>
      <c r="K150" s="83"/>
      <c r="L150" s="83"/>
      <c r="M150" s="83"/>
      <c r="N150" s="84"/>
      <c r="O150" s="84"/>
      <c r="P150" s="84"/>
      <c r="Q150" s="84"/>
      <c r="R150" s="84"/>
      <c r="S150" s="84"/>
      <c r="T150" s="84"/>
      <c r="U150" s="84"/>
      <c r="V150" s="76"/>
    </row>
    <row r="151" spans="1:22" ht="12.75" customHeight="1" x14ac:dyDescent="0.25">
      <c r="A151" s="83"/>
      <c r="B151" s="83"/>
      <c r="C151" s="85"/>
      <c r="D151" s="83"/>
      <c r="E151" s="83"/>
      <c r="F151" s="83"/>
      <c r="G151" s="83"/>
      <c r="H151" s="83"/>
      <c r="I151" s="83"/>
      <c r="J151" s="83"/>
      <c r="K151" s="83"/>
      <c r="L151" s="83"/>
      <c r="M151" s="83"/>
      <c r="N151" s="84"/>
      <c r="O151" s="84"/>
      <c r="P151" s="84"/>
      <c r="Q151" s="84"/>
      <c r="R151" s="84"/>
      <c r="S151" s="84"/>
      <c r="T151" s="84"/>
      <c r="U151" s="84"/>
      <c r="V151" s="76"/>
    </row>
    <row r="152" spans="1:22" ht="12.75" customHeight="1" x14ac:dyDescent="0.25">
      <c r="A152" s="83"/>
      <c r="B152" s="83"/>
      <c r="C152" s="85"/>
      <c r="D152" s="83"/>
      <c r="E152" s="83"/>
      <c r="F152" s="83"/>
      <c r="G152" s="83"/>
      <c r="H152" s="83"/>
      <c r="I152" s="83"/>
      <c r="J152" s="83"/>
      <c r="K152" s="83"/>
      <c r="L152" s="83"/>
      <c r="M152" s="83"/>
      <c r="N152" s="84"/>
      <c r="O152" s="84"/>
      <c r="P152" s="84"/>
      <c r="Q152" s="84"/>
      <c r="R152" s="84"/>
      <c r="S152" s="84"/>
      <c r="T152" s="84"/>
      <c r="U152" s="84"/>
      <c r="V152" s="76"/>
    </row>
    <row r="153" spans="1:22" ht="12.75" customHeight="1" x14ac:dyDescent="0.25">
      <c r="A153" s="83"/>
      <c r="B153" s="83"/>
      <c r="C153" s="85"/>
      <c r="D153" s="83"/>
      <c r="E153" s="83"/>
      <c r="F153" s="83"/>
      <c r="G153" s="83"/>
      <c r="H153" s="83"/>
      <c r="I153" s="83"/>
      <c r="J153" s="83"/>
      <c r="K153" s="83"/>
      <c r="L153" s="83"/>
      <c r="M153" s="83"/>
      <c r="N153" s="84"/>
      <c r="O153" s="84"/>
      <c r="P153" s="84"/>
      <c r="Q153" s="84"/>
      <c r="R153" s="84"/>
      <c r="S153" s="84"/>
      <c r="T153" s="84"/>
      <c r="U153" s="84"/>
      <c r="V153" s="76"/>
    </row>
    <row r="154" spans="1:22" ht="12.75" customHeight="1" x14ac:dyDescent="0.25">
      <c r="A154" s="83"/>
      <c r="B154" s="83"/>
      <c r="C154" s="85"/>
      <c r="D154" s="83"/>
      <c r="E154" s="83"/>
      <c r="F154" s="83"/>
      <c r="G154" s="83"/>
      <c r="H154" s="83"/>
      <c r="I154" s="83"/>
      <c r="J154" s="83"/>
      <c r="K154" s="83"/>
      <c r="L154" s="83"/>
      <c r="M154" s="83"/>
      <c r="N154" s="84"/>
      <c r="O154" s="84"/>
      <c r="P154" s="84"/>
      <c r="Q154" s="84"/>
      <c r="R154" s="84"/>
      <c r="S154" s="84"/>
      <c r="T154" s="84"/>
      <c r="U154" s="84"/>
      <c r="V154" s="76"/>
    </row>
    <row r="155" spans="1:22" ht="12.75" customHeight="1" x14ac:dyDescent="0.25">
      <c r="A155" s="83"/>
      <c r="B155" s="83"/>
      <c r="C155" s="85"/>
      <c r="D155" s="83"/>
      <c r="E155" s="83"/>
      <c r="F155" s="83"/>
      <c r="G155" s="83"/>
      <c r="H155" s="83"/>
      <c r="I155" s="83"/>
      <c r="J155" s="83"/>
      <c r="K155" s="83"/>
      <c r="L155" s="83"/>
      <c r="M155" s="83"/>
      <c r="N155" s="84"/>
      <c r="O155" s="84"/>
      <c r="P155" s="84"/>
      <c r="Q155" s="84"/>
      <c r="R155" s="84"/>
      <c r="S155" s="84"/>
      <c r="T155" s="84"/>
      <c r="U155" s="84"/>
      <c r="V155" s="76"/>
    </row>
    <row r="156" spans="1:22" ht="12.75" customHeight="1" x14ac:dyDescent="0.25">
      <c r="A156" s="83"/>
      <c r="B156" s="83"/>
      <c r="C156" s="85"/>
      <c r="D156" s="83"/>
      <c r="E156" s="83"/>
      <c r="F156" s="83"/>
      <c r="G156" s="83"/>
      <c r="H156" s="83"/>
      <c r="I156" s="83"/>
      <c r="J156" s="83"/>
      <c r="K156" s="83"/>
      <c r="L156" s="83"/>
      <c r="M156" s="83"/>
      <c r="N156" s="84"/>
      <c r="O156" s="84"/>
      <c r="P156" s="84"/>
      <c r="Q156" s="84"/>
      <c r="R156" s="84"/>
      <c r="S156" s="84"/>
      <c r="T156" s="84"/>
      <c r="U156" s="84"/>
      <c r="V156" s="76"/>
    </row>
    <row r="157" spans="1:22" ht="12.75" customHeight="1" x14ac:dyDescent="0.25">
      <c r="A157" s="83"/>
      <c r="B157" s="83"/>
      <c r="C157" s="85"/>
      <c r="D157" s="83"/>
      <c r="E157" s="83"/>
      <c r="F157" s="83"/>
      <c r="G157" s="83"/>
      <c r="H157" s="83"/>
      <c r="I157" s="83"/>
      <c r="J157" s="83"/>
      <c r="K157" s="83"/>
      <c r="L157" s="83"/>
      <c r="M157" s="83"/>
      <c r="N157" s="84"/>
      <c r="O157" s="84"/>
      <c r="P157" s="84"/>
      <c r="Q157" s="84"/>
      <c r="R157" s="84"/>
      <c r="S157" s="84"/>
      <c r="T157" s="84"/>
      <c r="U157" s="84"/>
      <c r="V157" s="76"/>
    </row>
    <row r="158" spans="1:22" ht="12.75" customHeight="1" x14ac:dyDescent="0.25">
      <c r="A158" s="83"/>
      <c r="B158" s="83"/>
      <c r="C158" s="85"/>
      <c r="D158" s="83"/>
      <c r="E158" s="83"/>
      <c r="F158" s="83"/>
      <c r="G158" s="83"/>
      <c r="H158" s="83"/>
      <c r="I158" s="83"/>
      <c r="J158" s="83"/>
      <c r="K158" s="83"/>
      <c r="L158" s="83"/>
      <c r="M158" s="83"/>
      <c r="N158" s="84"/>
      <c r="O158" s="84"/>
      <c r="P158" s="84"/>
      <c r="Q158" s="84"/>
      <c r="R158" s="84"/>
      <c r="S158" s="84"/>
      <c r="T158" s="84"/>
      <c r="U158" s="84"/>
      <c r="V158" s="76"/>
    </row>
    <row r="159" spans="1:22" ht="12.75" customHeight="1" x14ac:dyDescent="0.25">
      <c r="A159" s="83"/>
      <c r="B159" s="83"/>
      <c r="C159" s="85"/>
      <c r="D159" s="83"/>
      <c r="E159" s="83"/>
      <c r="F159" s="83"/>
      <c r="G159" s="83"/>
      <c r="H159" s="83"/>
      <c r="I159" s="83"/>
      <c r="J159" s="83"/>
      <c r="K159" s="83"/>
      <c r="L159" s="83"/>
      <c r="M159" s="83"/>
      <c r="N159" s="84"/>
      <c r="O159" s="84"/>
      <c r="P159" s="84"/>
      <c r="Q159" s="84"/>
      <c r="R159" s="84"/>
      <c r="S159" s="84"/>
      <c r="T159" s="84"/>
      <c r="U159" s="84"/>
      <c r="V159" s="76"/>
    </row>
    <row r="160" spans="1:22" ht="12.75" customHeight="1" x14ac:dyDescent="0.25">
      <c r="A160" s="83"/>
      <c r="B160" s="83"/>
      <c r="C160" s="85"/>
      <c r="D160" s="83"/>
      <c r="E160" s="83"/>
      <c r="F160" s="83"/>
      <c r="G160" s="83"/>
      <c r="H160" s="83"/>
      <c r="I160" s="83"/>
      <c r="J160" s="83"/>
      <c r="K160" s="83"/>
      <c r="L160" s="83"/>
      <c r="M160" s="83"/>
      <c r="N160" s="84"/>
      <c r="O160" s="84"/>
      <c r="P160" s="84"/>
      <c r="Q160" s="84"/>
      <c r="R160" s="84"/>
      <c r="S160" s="84"/>
      <c r="T160" s="84"/>
      <c r="U160" s="84"/>
      <c r="V160" s="76"/>
    </row>
    <row r="161" spans="1:22" ht="12.75" customHeight="1" x14ac:dyDescent="0.25">
      <c r="A161" s="83"/>
      <c r="B161" s="83"/>
      <c r="C161" s="85"/>
      <c r="D161" s="83"/>
      <c r="E161" s="83"/>
      <c r="F161" s="83"/>
      <c r="G161" s="83"/>
      <c r="H161" s="83"/>
      <c r="I161" s="83"/>
      <c r="J161" s="83"/>
      <c r="K161" s="83"/>
      <c r="L161" s="83"/>
      <c r="M161" s="83"/>
      <c r="N161" s="84"/>
      <c r="O161" s="84"/>
      <c r="P161" s="84"/>
      <c r="Q161" s="84"/>
      <c r="R161" s="84"/>
      <c r="S161" s="84"/>
      <c r="T161" s="84"/>
      <c r="U161" s="84"/>
      <c r="V161" s="76"/>
    </row>
    <row r="162" spans="1:22" ht="12.75" customHeight="1" x14ac:dyDescent="0.25">
      <c r="A162" s="83"/>
      <c r="B162" s="83"/>
      <c r="C162" s="85"/>
      <c r="D162" s="83"/>
      <c r="E162" s="83"/>
      <c r="F162" s="83"/>
      <c r="G162" s="83"/>
      <c r="H162" s="83"/>
      <c r="I162" s="83"/>
      <c r="J162" s="83"/>
      <c r="K162" s="83"/>
      <c r="L162" s="83"/>
      <c r="M162" s="83"/>
      <c r="N162" s="84"/>
      <c r="O162" s="84"/>
      <c r="P162" s="84"/>
      <c r="Q162" s="84"/>
      <c r="R162" s="84"/>
      <c r="S162" s="84"/>
      <c r="T162" s="84"/>
      <c r="U162" s="84"/>
      <c r="V162" s="76"/>
    </row>
    <row r="163" spans="1:22" ht="12.75" customHeight="1" x14ac:dyDescent="0.25">
      <c r="A163" s="83"/>
      <c r="B163" s="83"/>
      <c r="C163" s="85"/>
      <c r="D163" s="83"/>
      <c r="E163" s="83"/>
      <c r="F163" s="83"/>
      <c r="G163" s="83"/>
      <c r="H163" s="83"/>
      <c r="I163" s="83"/>
      <c r="J163" s="83"/>
      <c r="K163" s="83"/>
      <c r="L163" s="83"/>
      <c r="M163" s="83"/>
      <c r="N163" s="84"/>
      <c r="O163" s="84"/>
      <c r="P163" s="84"/>
      <c r="Q163" s="84"/>
      <c r="R163" s="84"/>
      <c r="S163" s="84"/>
      <c r="T163" s="84"/>
      <c r="U163" s="84"/>
      <c r="V163" s="76"/>
    </row>
    <row r="164" spans="1:22" ht="12.75" customHeight="1" x14ac:dyDescent="0.25">
      <c r="A164" s="83"/>
      <c r="B164" s="83"/>
      <c r="C164" s="85"/>
      <c r="D164" s="83"/>
      <c r="E164" s="83"/>
      <c r="F164" s="83"/>
      <c r="G164" s="83"/>
      <c r="H164" s="83"/>
      <c r="I164" s="83"/>
      <c r="J164" s="83"/>
      <c r="K164" s="83"/>
      <c r="L164" s="83"/>
      <c r="M164" s="83"/>
      <c r="N164" s="84"/>
      <c r="O164" s="84"/>
      <c r="P164" s="84"/>
      <c r="Q164" s="84"/>
      <c r="R164" s="84"/>
      <c r="S164" s="84"/>
      <c r="T164" s="84"/>
      <c r="U164" s="84"/>
      <c r="V164" s="76"/>
    </row>
    <row r="165" spans="1:22" ht="12.75" customHeight="1" x14ac:dyDescent="0.25">
      <c r="A165" s="83"/>
      <c r="B165" s="83"/>
      <c r="C165" s="85"/>
      <c r="D165" s="83"/>
      <c r="E165" s="83"/>
      <c r="F165" s="83"/>
      <c r="G165" s="83"/>
      <c r="H165" s="83"/>
      <c r="I165" s="83"/>
      <c r="J165" s="83"/>
      <c r="K165" s="83"/>
      <c r="L165" s="83"/>
      <c r="M165" s="83"/>
      <c r="N165" s="84"/>
      <c r="O165" s="84"/>
      <c r="P165" s="84"/>
      <c r="Q165" s="84"/>
      <c r="R165" s="84"/>
      <c r="S165" s="84"/>
      <c r="T165" s="84"/>
      <c r="U165" s="84"/>
      <c r="V165" s="76"/>
    </row>
    <row r="166" spans="1:22" ht="12.75" customHeight="1" x14ac:dyDescent="0.25">
      <c r="A166" s="83"/>
      <c r="B166" s="83"/>
      <c r="C166" s="85"/>
      <c r="D166" s="83"/>
      <c r="E166" s="83"/>
      <c r="F166" s="83"/>
      <c r="G166" s="83"/>
      <c r="H166" s="83"/>
      <c r="I166" s="83"/>
      <c r="J166" s="83"/>
      <c r="K166" s="83"/>
      <c r="L166" s="83"/>
      <c r="M166" s="83"/>
      <c r="N166" s="84"/>
      <c r="O166" s="84"/>
      <c r="P166" s="84"/>
      <c r="Q166" s="84"/>
      <c r="R166" s="84"/>
      <c r="S166" s="84"/>
      <c r="T166" s="84"/>
      <c r="U166" s="84"/>
      <c r="V166" s="76"/>
    </row>
    <row r="167" spans="1:22" ht="12.75" customHeight="1" x14ac:dyDescent="0.25">
      <c r="A167" s="83"/>
      <c r="B167" s="83"/>
      <c r="C167" s="85"/>
      <c r="D167" s="83"/>
      <c r="E167" s="83"/>
      <c r="F167" s="83"/>
      <c r="G167" s="83"/>
      <c r="H167" s="83"/>
      <c r="I167" s="83"/>
      <c r="J167" s="83"/>
      <c r="K167" s="83"/>
      <c r="L167" s="83"/>
      <c r="M167" s="83"/>
      <c r="N167" s="84"/>
      <c r="O167" s="84"/>
      <c r="P167" s="84"/>
      <c r="Q167" s="84"/>
      <c r="R167" s="84"/>
      <c r="S167" s="84"/>
      <c r="T167" s="84"/>
      <c r="U167" s="84"/>
      <c r="V167" s="76"/>
    </row>
    <row r="168" spans="1:22" ht="12.75" customHeight="1" x14ac:dyDescent="0.25">
      <c r="A168" s="83"/>
      <c r="B168" s="83"/>
      <c r="C168" s="85"/>
      <c r="D168" s="83"/>
      <c r="E168" s="83"/>
      <c r="F168" s="83"/>
      <c r="G168" s="83"/>
      <c r="H168" s="83"/>
      <c r="I168" s="83"/>
      <c r="J168" s="83"/>
      <c r="K168" s="83"/>
      <c r="L168" s="83"/>
      <c r="M168" s="83"/>
      <c r="N168" s="84"/>
      <c r="O168" s="84"/>
      <c r="P168" s="84"/>
      <c r="Q168" s="84"/>
      <c r="R168" s="84"/>
      <c r="S168" s="84"/>
      <c r="T168" s="84"/>
      <c r="U168" s="84"/>
      <c r="V168" s="76"/>
    </row>
    <row r="169" spans="1:22" ht="12.75" customHeight="1" x14ac:dyDescent="0.25">
      <c r="A169" s="83"/>
      <c r="B169" s="83"/>
      <c r="C169" s="85"/>
      <c r="D169" s="83"/>
      <c r="E169" s="83"/>
      <c r="F169" s="83"/>
      <c r="G169" s="83"/>
      <c r="H169" s="83"/>
      <c r="I169" s="83"/>
      <c r="J169" s="83"/>
      <c r="K169" s="83"/>
      <c r="L169" s="83"/>
      <c r="M169" s="83"/>
      <c r="N169" s="84"/>
      <c r="O169" s="84"/>
      <c r="P169" s="84"/>
      <c r="Q169" s="84"/>
      <c r="R169" s="84"/>
      <c r="S169" s="84"/>
      <c r="T169" s="84"/>
      <c r="U169" s="84"/>
      <c r="V169" s="76"/>
    </row>
    <row r="170" spans="1:22" ht="12.75" customHeight="1" x14ac:dyDescent="0.25">
      <c r="A170" s="83"/>
      <c r="B170" s="83"/>
      <c r="C170" s="85"/>
      <c r="D170" s="83"/>
      <c r="E170" s="83"/>
      <c r="F170" s="83"/>
      <c r="G170" s="83"/>
      <c r="H170" s="83"/>
      <c r="I170" s="83"/>
      <c r="J170" s="83"/>
      <c r="K170" s="83"/>
      <c r="L170" s="83"/>
      <c r="M170" s="83"/>
      <c r="N170" s="84"/>
      <c r="O170" s="84"/>
      <c r="P170" s="84"/>
      <c r="Q170" s="84"/>
      <c r="R170" s="84"/>
      <c r="S170" s="84"/>
      <c r="T170" s="84"/>
      <c r="U170" s="84"/>
      <c r="V170" s="76"/>
    </row>
    <row r="171" spans="1:22" ht="12.75" customHeight="1" x14ac:dyDescent="0.25">
      <c r="A171" s="83"/>
      <c r="B171" s="83"/>
      <c r="C171" s="85"/>
      <c r="D171" s="83"/>
      <c r="E171" s="83"/>
      <c r="F171" s="83"/>
      <c r="G171" s="83"/>
      <c r="H171" s="83"/>
      <c r="I171" s="83"/>
      <c r="J171" s="83"/>
      <c r="K171" s="83"/>
      <c r="L171" s="83"/>
      <c r="M171" s="83"/>
      <c r="N171" s="84"/>
      <c r="O171" s="84"/>
      <c r="P171" s="84"/>
      <c r="Q171" s="84"/>
      <c r="R171" s="84"/>
      <c r="S171" s="84"/>
      <c r="T171" s="84"/>
      <c r="U171" s="84"/>
      <c r="V171" s="76"/>
    </row>
    <row r="172" spans="1:22" ht="12.75" customHeight="1" x14ac:dyDescent="0.25">
      <c r="A172" s="83"/>
      <c r="B172" s="83"/>
      <c r="C172" s="85"/>
      <c r="D172" s="83"/>
      <c r="E172" s="83"/>
      <c r="F172" s="83"/>
      <c r="G172" s="83"/>
      <c r="H172" s="83"/>
      <c r="I172" s="83"/>
      <c r="J172" s="83"/>
      <c r="K172" s="83"/>
      <c r="L172" s="83"/>
      <c r="M172" s="83"/>
      <c r="N172" s="84"/>
      <c r="O172" s="84"/>
      <c r="P172" s="84"/>
      <c r="Q172" s="84"/>
      <c r="R172" s="84"/>
      <c r="S172" s="84"/>
      <c r="T172" s="84"/>
      <c r="U172" s="84"/>
      <c r="V172" s="76"/>
    </row>
    <row r="173" spans="1:22" ht="12.75" customHeight="1" x14ac:dyDescent="0.25">
      <c r="A173" s="83"/>
      <c r="B173" s="83"/>
      <c r="C173" s="85"/>
      <c r="D173" s="83"/>
      <c r="E173" s="83"/>
      <c r="F173" s="83"/>
      <c r="G173" s="83"/>
      <c r="H173" s="83"/>
      <c r="I173" s="83"/>
      <c r="J173" s="83"/>
      <c r="K173" s="83"/>
      <c r="L173" s="83"/>
      <c r="M173" s="83"/>
      <c r="N173" s="84"/>
      <c r="O173" s="84"/>
      <c r="P173" s="84"/>
      <c r="Q173" s="84"/>
      <c r="R173" s="84"/>
      <c r="S173" s="84"/>
      <c r="T173" s="84"/>
      <c r="U173" s="84"/>
      <c r="V173" s="76"/>
    </row>
    <row r="174" spans="1:22" ht="12.75" customHeight="1" x14ac:dyDescent="0.25">
      <c r="A174" s="83"/>
      <c r="B174" s="83"/>
      <c r="C174" s="85"/>
      <c r="D174" s="83"/>
      <c r="E174" s="83"/>
      <c r="F174" s="83"/>
      <c r="G174" s="83"/>
      <c r="H174" s="83"/>
      <c r="I174" s="83"/>
      <c r="J174" s="83"/>
      <c r="K174" s="83"/>
      <c r="L174" s="83"/>
      <c r="M174" s="83"/>
      <c r="N174" s="84"/>
      <c r="O174" s="84"/>
      <c r="P174" s="84"/>
      <c r="Q174" s="84"/>
      <c r="R174" s="84"/>
      <c r="S174" s="84"/>
      <c r="T174" s="84"/>
      <c r="U174" s="84"/>
      <c r="V174" s="76"/>
    </row>
    <row r="175" spans="1:22" ht="12.75" customHeight="1" x14ac:dyDescent="0.25">
      <c r="A175" s="83"/>
      <c r="B175" s="83"/>
      <c r="C175" s="85"/>
      <c r="D175" s="83"/>
      <c r="E175" s="83"/>
      <c r="F175" s="83"/>
      <c r="G175" s="83"/>
      <c r="H175" s="83"/>
      <c r="I175" s="83"/>
      <c r="J175" s="83"/>
      <c r="K175" s="83"/>
      <c r="L175" s="83"/>
      <c r="M175" s="83"/>
      <c r="N175" s="84"/>
      <c r="O175" s="84"/>
      <c r="P175" s="84"/>
      <c r="Q175" s="84"/>
      <c r="R175" s="84"/>
      <c r="S175" s="84"/>
      <c r="T175" s="84"/>
      <c r="U175" s="84"/>
      <c r="V175" s="76"/>
    </row>
    <row r="176" spans="1:22" ht="12.75" customHeight="1" x14ac:dyDescent="0.25">
      <c r="A176" s="83"/>
      <c r="B176" s="83"/>
      <c r="C176" s="85"/>
      <c r="D176" s="83"/>
      <c r="E176" s="83"/>
      <c r="F176" s="83"/>
      <c r="G176" s="83"/>
      <c r="H176" s="83"/>
      <c r="I176" s="83"/>
      <c r="J176" s="83"/>
      <c r="K176" s="83"/>
      <c r="L176" s="83"/>
      <c r="M176" s="83"/>
      <c r="N176" s="84"/>
      <c r="O176" s="84"/>
      <c r="P176" s="84"/>
      <c r="Q176" s="84"/>
      <c r="R176" s="84"/>
      <c r="S176" s="84"/>
      <c r="T176" s="84"/>
      <c r="U176" s="84"/>
      <c r="V176" s="76"/>
    </row>
    <row r="177" spans="1:22" ht="12.75" customHeight="1" x14ac:dyDescent="0.25">
      <c r="A177" s="83"/>
      <c r="B177" s="83"/>
      <c r="C177" s="85"/>
      <c r="D177" s="83"/>
      <c r="E177" s="83"/>
      <c r="F177" s="83"/>
      <c r="G177" s="83"/>
      <c r="H177" s="83"/>
      <c r="I177" s="83"/>
      <c r="J177" s="83"/>
      <c r="K177" s="83"/>
      <c r="L177" s="83"/>
      <c r="M177" s="83"/>
      <c r="N177" s="84"/>
      <c r="O177" s="84"/>
      <c r="P177" s="84"/>
      <c r="Q177" s="84"/>
      <c r="R177" s="84"/>
      <c r="S177" s="84"/>
      <c r="T177" s="84"/>
      <c r="U177" s="84"/>
      <c r="V177" s="76"/>
    </row>
    <row r="178" spans="1:22" ht="12.75" customHeight="1" x14ac:dyDescent="0.25">
      <c r="A178" s="83"/>
      <c r="B178" s="83"/>
      <c r="C178" s="85"/>
      <c r="D178" s="83"/>
      <c r="E178" s="83"/>
      <c r="F178" s="83"/>
      <c r="G178" s="83"/>
      <c r="H178" s="83"/>
      <c r="I178" s="83"/>
      <c r="J178" s="83"/>
      <c r="K178" s="83"/>
      <c r="L178" s="83"/>
      <c r="M178" s="83"/>
      <c r="N178" s="84"/>
      <c r="O178" s="84"/>
      <c r="P178" s="84"/>
      <c r="Q178" s="84"/>
      <c r="R178" s="84"/>
      <c r="S178" s="84"/>
      <c r="T178" s="84"/>
      <c r="U178" s="84"/>
      <c r="V178" s="76"/>
    </row>
    <row r="179" spans="1:22" ht="12.75" customHeight="1" x14ac:dyDescent="0.25">
      <c r="A179" s="83"/>
      <c r="B179" s="83"/>
      <c r="C179" s="85"/>
      <c r="D179" s="83"/>
      <c r="E179" s="83"/>
      <c r="F179" s="83"/>
      <c r="G179" s="83"/>
      <c r="H179" s="83"/>
      <c r="I179" s="83"/>
      <c r="J179" s="83"/>
      <c r="K179" s="83"/>
      <c r="L179" s="83"/>
      <c r="M179" s="83"/>
      <c r="N179" s="84"/>
      <c r="O179" s="84"/>
      <c r="P179" s="84"/>
      <c r="Q179" s="84"/>
      <c r="R179" s="84"/>
      <c r="S179" s="84"/>
      <c r="T179" s="84"/>
      <c r="U179" s="84"/>
      <c r="V179" s="76"/>
    </row>
    <row r="180" spans="1:22" ht="12.75" customHeight="1" x14ac:dyDescent="0.25">
      <c r="A180" s="83"/>
      <c r="B180" s="83"/>
      <c r="C180" s="85"/>
      <c r="D180" s="83"/>
      <c r="E180" s="83"/>
      <c r="F180" s="83"/>
      <c r="G180" s="83"/>
      <c r="H180" s="83"/>
      <c r="I180" s="83"/>
      <c r="J180" s="83"/>
      <c r="K180" s="83"/>
      <c r="L180" s="83"/>
      <c r="M180" s="83"/>
      <c r="N180" s="84"/>
      <c r="O180" s="84"/>
      <c r="P180" s="84"/>
      <c r="Q180" s="84"/>
      <c r="R180" s="84"/>
      <c r="S180" s="84"/>
      <c r="T180" s="84"/>
      <c r="U180" s="84"/>
      <c r="V180" s="76"/>
    </row>
    <row r="181" spans="1:22" ht="12.75" customHeight="1" x14ac:dyDescent="0.25">
      <c r="A181" s="83"/>
      <c r="B181" s="83"/>
      <c r="C181" s="85"/>
      <c r="D181" s="83"/>
      <c r="E181" s="83"/>
      <c r="F181" s="83"/>
      <c r="G181" s="83"/>
      <c r="H181" s="83"/>
      <c r="I181" s="83"/>
      <c r="J181" s="83"/>
      <c r="K181" s="83"/>
      <c r="L181" s="83"/>
      <c r="M181" s="83"/>
      <c r="N181" s="84"/>
      <c r="O181" s="84"/>
      <c r="P181" s="84"/>
      <c r="Q181" s="84"/>
      <c r="R181" s="84"/>
      <c r="S181" s="84"/>
      <c r="T181" s="84"/>
      <c r="U181" s="84"/>
      <c r="V181" s="76"/>
    </row>
    <row r="182" spans="1:22" ht="12.75" customHeight="1" x14ac:dyDescent="0.25">
      <c r="A182" s="83"/>
      <c r="B182" s="83"/>
      <c r="C182" s="85"/>
      <c r="D182" s="83"/>
      <c r="E182" s="83"/>
      <c r="F182" s="83"/>
      <c r="G182" s="83"/>
      <c r="H182" s="83"/>
      <c r="I182" s="83"/>
      <c r="J182" s="83"/>
      <c r="K182" s="83"/>
      <c r="L182" s="83"/>
      <c r="M182" s="83"/>
      <c r="N182" s="84"/>
      <c r="O182" s="84"/>
      <c r="P182" s="84"/>
      <c r="Q182" s="84"/>
      <c r="R182" s="84"/>
      <c r="S182" s="84"/>
      <c r="T182" s="84"/>
      <c r="U182" s="84"/>
      <c r="V182" s="76"/>
    </row>
    <row r="183" spans="1:22" ht="12.75" customHeight="1" x14ac:dyDescent="0.25">
      <c r="A183" s="83"/>
      <c r="B183" s="83"/>
      <c r="C183" s="85"/>
      <c r="D183" s="83"/>
      <c r="E183" s="83"/>
      <c r="F183" s="83"/>
      <c r="G183" s="83"/>
      <c r="H183" s="83"/>
      <c r="I183" s="83"/>
      <c r="J183" s="83"/>
      <c r="K183" s="83"/>
      <c r="L183" s="83"/>
      <c r="M183" s="83"/>
      <c r="N183" s="84"/>
      <c r="O183" s="84"/>
      <c r="P183" s="84"/>
      <c r="Q183" s="84"/>
      <c r="R183" s="84"/>
      <c r="S183" s="84"/>
      <c r="T183" s="84"/>
      <c r="U183" s="84"/>
      <c r="V183" s="76"/>
    </row>
    <row r="184" spans="1:22" ht="12.75" customHeight="1" x14ac:dyDescent="0.25">
      <c r="A184" s="83"/>
      <c r="B184" s="83"/>
      <c r="C184" s="85"/>
      <c r="D184" s="83"/>
      <c r="E184" s="83"/>
      <c r="F184" s="83"/>
      <c r="G184" s="83"/>
      <c r="H184" s="83"/>
      <c r="I184" s="83"/>
      <c r="J184" s="83"/>
      <c r="K184" s="83"/>
      <c r="L184" s="83"/>
      <c r="M184" s="83"/>
      <c r="N184" s="84"/>
      <c r="O184" s="84"/>
      <c r="P184" s="84"/>
      <c r="Q184" s="84"/>
      <c r="R184" s="84"/>
      <c r="S184" s="84"/>
      <c r="T184" s="84"/>
      <c r="U184" s="84"/>
      <c r="V184" s="76"/>
    </row>
    <row r="185" spans="1:22" ht="12.75" customHeight="1" x14ac:dyDescent="0.25">
      <c r="A185" s="83"/>
      <c r="B185" s="83"/>
      <c r="C185" s="85"/>
      <c r="D185" s="83"/>
      <c r="E185" s="83"/>
      <c r="F185" s="83"/>
      <c r="G185" s="83"/>
      <c r="H185" s="83"/>
      <c r="I185" s="83"/>
      <c r="J185" s="83"/>
      <c r="K185" s="83"/>
      <c r="L185" s="83"/>
      <c r="M185" s="83"/>
      <c r="N185" s="84"/>
      <c r="O185" s="84"/>
      <c r="P185" s="84"/>
      <c r="Q185" s="84"/>
      <c r="R185" s="84"/>
      <c r="S185" s="84"/>
      <c r="T185" s="84"/>
      <c r="U185" s="84"/>
      <c r="V185" s="76"/>
    </row>
    <row r="186" spans="1:22" ht="12.75" customHeight="1" x14ac:dyDescent="0.25">
      <c r="A186" s="83"/>
      <c r="B186" s="83"/>
      <c r="C186" s="85"/>
      <c r="D186" s="83"/>
      <c r="E186" s="83"/>
      <c r="F186" s="83"/>
      <c r="G186" s="83"/>
      <c r="H186" s="83"/>
      <c r="I186" s="83"/>
      <c r="J186" s="83"/>
      <c r="K186" s="83"/>
      <c r="L186" s="83"/>
      <c r="M186" s="83"/>
      <c r="N186" s="84"/>
      <c r="O186" s="84"/>
      <c r="P186" s="84"/>
      <c r="Q186" s="84"/>
      <c r="R186" s="84"/>
      <c r="S186" s="84"/>
      <c r="T186" s="84"/>
      <c r="U186" s="84"/>
      <c r="V186" s="76"/>
    </row>
    <row r="187" spans="1:22" ht="12.75" customHeight="1" x14ac:dyDescent="0.25">
      <c r="A187" s="83"/>
      <c r="B187" s="83"/>
      <c r="C187" s="85"/>
      <c r="D187" s="83"/>
      <c r="E187" s="83"/>
      <c r="F187" s="83"/>
      <c r="G187" s="83"/>
      <c r="H187" s="83"/>
      <c r="I187" s="83"/>
      <c r="J187" s="83"/>
      <c r="K187" s="83"/>
      <c r="L187" s="83"/>
      <c r="M187" s="83"/>
      <c r="N187" s="84"/>
      <c r="O187" s="84"/>
      <c r="P187" s="84"/>
      <c r="Q187" s="84"/>
      <c r="R187" s="84"/>
      <c r="S187" s="84"/>
      <c r="T187" s="84"/>
      <c r="U187" s="84"/>
      <c r="V187" s="76"/>
    </row>
    <row r="188" spans="1:22" ht="12.75" customHeight="1" x14ac:dyDescent="0.25">
      <c r="A188" s="83"/>
      <c r="B188" s="83"/>
      <c r="C188" s="85"/>
      <c r="D188" s="83"/>
      <c r="E188" s="83"/>
      <c r="F188" s="83"/>
      <c r="G188" s="83"/>
      <c r="H188" s="83"/>
      <c r="I188" s="83"/>
      <c r="J188" s="83"/>
      <c r="K188" s="83"/>
      <c r="L188" s="83"/>
      <c r="M188" s="83"/>
      <c r="N188" s="84"/>
      <c r="O188" s="84"/>
      <c r="P188" s="84"/>
      <c r="Q188" s="84"/>
      <c r="R188" s="84"/>
      <c r="S188" s="84"/>
      <c r="T188" s="84"/>
      <c r="U188" s="84"/>
      <c r="V188" s="76"/>
    </row>
    <row r="189" spans="1:22" ht="12.75" customHeight="1" x14ac:dyDescent="0.25">
      <c r="A189" s="83"/>
      <c r="B189" s="83"/>
      <c r="C189" s="85"/>
      <c r="D189" s="83"/>
      <c r="E189" s="83"/>
      <c r="F189" s="83"/>
      <c r="G189" s="83"/>
      <c r="H189" s="83"/>
      <c r="I189" s="83"/>
      <c r="J189" s="83"/>
      <c r="K189" s="83"/>
      <c r="L189" s="83"/>
      <c r="M189" s="83"/>
      <c r="N189" s="84"/>
      <c r="O189" s="84"/>
      <c r="P189" s="84"/>
      <c r="Q189" s="84"/>
      <c r="R189" s="84"/>
      <c r="S189" s="84"/>
      <c r="T189" s="84"/>
      <c r="U189" s="84"/>
      <c r="V189" s="76"/>
    </row>
    <row r="190" spans="1:22" ht="12.75" customHeight="1" x14ac:dyDescent="0.25">
      <c r="A190" s="83"/>
      <c r="B190" s="83"/>
      <c r="C190" s="85"/>
      <c r="D190" s="83"/>
      <c r="E190" s="83"/>
      <c r="F190" s="83"/>
      <c r="G190" s="83"/>
      <c r="H190" s="83"/>
      <c r="I190" s="83"/>
      <c r="J190" s="83"/>
      <c r="K190" s="83"/>
      <c r="L190" s="83"/>
      <c r="M190" s="83"/>
      <c r="N190" s="84"/>
      <c r="O190" s="84"/>
      <c r="P190" s="84"/>
      <c r="Q190" s="84"/>
      <c r="R190" s="84"/>
      <c r="S190" s="84"/>
      <c r="T190" s="84"/>
      <c r="U190" s="84"/>
      <c r="V190" s="76"/>
    </row>
    <row r="191" spans="1:22" ht="12.75" customHeight="1" x14ac:dyDescent="0.25">
      <c r="A191" s="83"/>
      <c r="B191" s="83"/>
      <c r="C191" s="85"/>
      <c r="D191" s="83"/>
      <c r="E191" s="83"/>
      <c r="F191" s="83"/>
      <c r="G191" s="83"/>
      <c r="H191" s="83"/>
      <c r="I191" s="83"/>
      <c r="J191" s="83"/>
      <c r="K191" s="83"/>
      <c r="L191" s="83"/>
      <c r="M191" s="83"/>
      <c r="N191" s="84"/>
      <c r="O191" s="84"/>
      <c r="P191" s="84"/>
      <c r="Q191" s="84"/>
      <c r="R191" s="84"/>
      <c r="S191" s="84"/>
      <c r="T191" s="84"/>
      <c r="U191" s="84"/>
      <c r="V191" s="76"/>
    </row>
    <row r="192" spans="1:22" ht="12.75" customHeight="1" x14ac:dyDescent="0.25">
      <c r="A192" s="83"/>
      <c r="B192" s="83"/>
      <c r="C192" s="85"/>
      <c r="D192" s="83"/>
      <c r="E192" s="83"/>
      <c r="F192" s="83"/>
      <c r="G192" s="83"/>
      <c r="H192" s="83"/>
      <c r="I192" s="83"/>
      <c r="J192" s="83"/>
      <c r="K192" s="83"/>
      <c r="L192" s="83"/>
      <c r="M192" s="83"/>
      <c r="N192" s="84"/>
      <c r="O192" s="84"/>
      <c r="P192" s="84"/>
      <c r="Q192" s="84"/>
      <c r="R192" s="84"/>
      <c r="S192" s="84"/>
      <c r="T192" s="84"/>
      <c r="U192" s="84"/>
      <c r="V192" s="76"/>
    </row>
    <row r="193" spans="1:22" ht="12.75" customHeight="1" x14ac:dyDescent="0.25">
      <c r="A193" s="83"/>
      <c r="B193" s="83"/>
      <c r="C193" s="85"/>
      <c r="D193" s="83"/>
      <c r="E193" s="83"/>
      <c r="F193" s="83"/>
      <c r="G193" s="83"/>
      <c r="H193" s="83"/>
      <c r="I193" s="83"/>
      <c r="J193" s="83"/>
      <c r="K193" s="83"/>
      <c r="L193" s="83"/>
      <c r="M193" s="83"/>
      <c r="N193" s="84"/>
      <c r="O193" s="84"/>
      <c r="P193" s="84"/>
      <c r="Q193" s="84"/>
      <c r="R193" s="84"/>
      <c r="S193" s="84"/>
      <c r="T193" s="84"/>
      <c r="U193" s="84"/>
      <c r="V193" s="76"/>
    </row>
    <row r="194" spans="1:22" ht="12.75" customHeight="1" x14ac:dyDescent="0.25">
      <c r="A194" s="83"/>
      <c r="B194" s="83"/>
      <c r="C194" s="85"/>
      <c r="D194" s="83"/>
      <c r="E194" s="83"/>
      <c r="F194" s="83"/>
      <c r="G194" s="83"/>
      <c r="H194" s="83"/>
      <c r="I194" s="83"/>
      <c r="J194" s="83"/>
      <c r="K194" s="83"/>
      <c r="L194" s="83"/>
      <c r="M194" s="83"/>
      <c r="N194" s="84"/>
      <c r="O194" s="84"/>
      <c r="P194" s="84"/>
      <c r="Q194" s="84"/>
      <c r="R194" s="84"/>
      <c r="S194" s="84"/>
      <c r="T194" s="84"/>
      <c r="U194" s="84"/>
      <c r="V194" s="76"/>
    </row>
    <row r="195" spans="1:22" ht="12.75" customHeight="1" x14ac:dyDescent="0.25">
      <c r="A195" s="83"/>
      <c r="B195" s="83"/>
      <c r="C195" s="85"/>
      <c r="D195" s="83"/>
      <c r="E195" s="83"/>
      <c r="F195" s="83"/>
      <c r="G195" s="83"/>
      <c r="H195" s="83"/>
      <c r="I195" s="83"/>
      <c r="J195" s="83"/>
      <c r="K195" s="83"/>
      <c r="L195" s="83"/>
      <c r="M195" s="83"/>
      <c r="N195" s="84"/>
      <c r="O195" s="84"/>
      <c r="P195" s="84"/>
      <c r="Q195" s="84"/>
      <c r="R195" s="84"/>
      <c r="S195" s="84"/>
      <c r="T195" s="84"/>
      <c r="U195" s="84"/>
      <c r="V195" s="76"/>
    </row>
    <row r="196" spans="1:22" ht="12.75" customHeight="1" x14ac:dyDescent="0.25">
      <c r="A196" s="83"/>
      <c r="B196" s="83"/>
      <c r="C196" s="85"/>
      <c r="D196" s="83"/>
      <c r="E196" s="83"/>
      <c r="F196" s="83"/>
      <c r="G196" s="83"/>
      <c r="H196" s="83"/>
      <c r="I196" s="83"/>
      <c r="J196" s="83"/>
      <c r="K196" s="83"/>
      <c r="L196" s="83"/>
      <c r="M196" s="83"/>
      <c r="N196" s="84"/>
      <c r="O196" s="84"/>
      <c r="P196" s="84"/>
      <c r="Q196" s="84"/>
      <c r="R196" s="84"/>
      <c r="S196" s="84"/>
      <c r="T196" s="84"/>
      <c r="U196" s="84"/>
      <c r="V196" s="76"/>
    </row>
    <row r="197" spans="1:22" ht="12.75" customHeight="1" x14ac:dyDescent="0.25">
      <c r="A197" s="83"/>
      <c r="B197" s="83"/>
      <c r="C197" s="85"/>
      <c r="D197" s="83"/>
      <c r="E197" s="83"/>
      <c r="F197" s="83"/>
      <c r="G197" s="83"/>
      <c r="H197" s="83"/>
      <c r="I197" s="83"/>
      <c r="J197" s="83"/>
      <c r="K197" s="83"/>
      <c r="L197" s="83"/>
      <c r="M197" s="83"/>
      <c r="N197" s="84"/>
      <c r="O197" s="84"/>
      <c r="P197" s="84"/>
      <c r="Q197" s="84"/>
      <c r="R197" s="84"/>
      <c r="S197" s="84"/>
      <c r="T197" s="84"/>
      <c r="U197" s="84"/>
      <c r="V197" s="76"/>
    </row>
    <row r="198" spans="1:22" ht="12.75" customHeight="1" x14ac:dyDescent="0.25">
      <c r="A198" s="83"/>
      <c r="B198" s="83"/>
      <c r="C198" s="85"/>
      <c r="D198" s="83"/>
      <c r="E198" s="83"/>
      <c r="F198" s="83"/>
      <c r="G198" s="83"/>
      <c r="H198" s="83"/>
      <c r="I198" s="83"/>
      <c r="J198" s="83"/>
      <c r="K198" s="83"/>
      <c r="L198" s="83"/>
      <c r="M198" s="83"/>
      <c r="N198" s="84"/>
      <c r="O198" s="84"/>
      <c r="P198" s="84"/>
      <c r="Q198" s="84"/>
      <c r="R198" s="84"/>
      <c r="S198" s="84"/>
      <c r="T198" s="84"/>
      <c r="U198" s="84"/>
      <c r="V198" s="76"/>
    </row>
    <row r="199" spans="1:22" ht="12.75" customHeight="1" x14ac:dyDescent="0.25">
      <c r="A199" s="83"/>
      <c r="B199" s="83"/>
      <c r="C199" s="85"/>
      <c r="D199" s="83"/>
      <c r="E199" s="83"/>
      <c r="F199" s="83"/>
      <c r="G199" s="83"/>
      <c r="H199" s="83"/>
      <c r="I199" s="83"/>
      <c r="J199" s="83"/>
      <c r="K199" s="83"/>
      <c r="L199" s="83"/>
      <c r="M199" s="83"/>
      <c r="N199" s="84"/>
      <c r="O199" s="84"/>
      <c r="P199" s="84"/>
      <c r="Q199" s="84"/>
      <c r="R199" s="84"/>
      <c r="S199" s="84"/>
      <c r="T199" s="84"/>
      <c r="U199" s="84"/>
      <c r="V199" s="76"/>
    </row>
    <row r="200" spans="1:22" ht="12.75" customHeight="1" x14ac:dyDescent="0.25">
      <c r="A200" s="83"/>
      <c r="B200" s="83"/>
      <c r="C200" s="85"/>
      <c r="D200" s="83"/>
      <c r="E200" s="83"/>
      <c r="F200" s="83"/>
      <c r="G200" s="83"/>
      <c r="H200" s="83"/>
      <c r="I200" s="83"/>
      <c r="J200" s="83"/>
      <c r="K200" s="83"/>
      <c r="L200" s="83"/>
      <c r="M200" s="83"/>
      <c r="N200" s="84"/>
      <c r="O200" s="84"/>
      <c r="P200" s="84"/>
      <c r="Q200" s="84"/>
      <c r="R200" s="84"/>
      <c r="S200" s="84"/>
      <c r="T200" s="84"/>
      <c r="U200" s="84"/>
      <c r="V200" s="76"/>
    </row>
    <row r="201" spans="1:22" ht="12.75" customHeight="1" x14ac:dyDescent="0.25">
      <c r="A201" s="83"/>
      <c r="B201" s="83"/>
      <c r="C201" s="85"/>
      <c r="D201" s="83"/>
      <c r="E201" s="83"/>
      <c r="F201" s="83"/>
      <c r="G201" s="83"/>
      <c r="H201" s="83"/>
      <c r="I201" s="83"/>
      <c r="J201" s="83"/>
      <c r="K201" s="83"/>
      <c r="L201" s="83"/>
      <c r="M201" s="83"/>
      <c r="N201" s="84"/>
      <c r="O201" s="84"/>
      <c r="P201" s="84"/>
      <c r="Q201" s="84"/>
      <c r="R201" s="84"/>
      <c r="S201" s="84"/>
      <c r="T201" s="84"/>
      <c r="U201" s="84"/>
      <c r="V201" s="76"/>
    </row>
    <row r="202" spans="1:22" ht="12.75" customHeight="1" x14ac:dyDescent="0.25">
      <c r="A202" s="83"/>
      <c r="B202" s="83"/>
      <c r="C202" s="85"/>
      <c r="D202" s="83"/>
      <c r="E202" s="83"/>
      <c r="F202" s="83"/>
      <c r="G202" s="83"/>
      <c r="H202" s="83"/>
      <c r="I202" s="83"/>
      <c r="J202" s="83"/>
      <c r="K202" s="83"/>
      <c r="L202" s="83"/>
      <c r="M202" s="83"/>
      <c r="N202" s="84"/>
      <c r="O202" s="84"/>
      <c r="P202" s="84"/>
      <c r="Q202" s="84"/>
      <c r="R202" s="84"/>
      <c r="S202" s="84"/>
      <c r="T202" s="84"/>
      <c r="U202" s="84"/>
      <c r="V202" s="76"/>
    </row>
    <row r="203" spans="1:22" ht="12.75" customHeight="1" x14ac:dyDescent="0.25">
      <c r="A203" s="83"/>
      <c r="B203" s="83"/>
      <c r="C203" s="85"/>
      <c r="D203" s="83"/>
      <c r="E203" s="83"/>
      <c r="F203" s="83"/>
      <c r="G203" s="83"/>
      <c r="H203" s="83"/>
      <c r="I203" s="83"/>
      <c r="J203" s="83"/>
      <c r="K203" s="83"/>
      <c r="L203" s="83"/>
      <c r="M203" s="83"/>
      <c r="N203" s="84"/>
      <c r="O203" s="84"/>
      <c r="P203" s="84"/>
      <c r="Q203" s="84"/>
      <c r="R203" s="84"/>
      <c r="S203" s="84"/>
      <c r="T203" s="84"/>
      <c r="U203" s="84"/>
      <c r="V203" s="76"/>
    </row>
    <row r="204" spans="1:22" ht="12.75" customHeight="1" x14ac:dyDescent="0.25">
      <c r="A204" s="83"/>
      <c r="B204" s="83"/>
      <c r="C204" s="85"/>
      <c r="D204" s="83"/>
      <c r="E204" s="83"/>
      <c r="F204" s="83"/>
      <c r="G204" s="83"/>
      <c r="H204" s="83"/>
      <c r="I204" s="83"/>
      <c r="J204" s="83"/>
      <c r="K204" s="83"/>
      <c r="L204" s="83"/>
      <c r="M204" s="83"/>
      <c r="N204" s="84"/>
      <c r="O204" s="84"/>
      <c r="P204" s="84"/>
      <c r="Q204" s="84"/>
      <c r="R204" s="84"/>
      <c r="S204" s="84"/>
      <c r="T204" s="84"/>
      <c r="U204" s="84"/>
      <c r="V204" s="76"/>
    </row>
    <row r="205" spans="1:22" ht="12.75" customHeight="1" x14ac:dyDescent="0.25">
      <c r="A205" s="83"/>
      <c r="B205" s="83"/>
      <c r="C205" s="85"/>
      <c r="D205" s="83"/>
      <c r="E205" s="83"/>
      <c r="F205" s="83"/>
      <c r="G205" s="83"/>
      <c r="H205" s="83"/>
      <c r="I205" s="83"/>
      <c r="J205" s="83"/>
      <c r="K205" s="83"/>
      <c r="L205" s="83"/>
      <c r="M205" s="83"/>
      <c r="N205" s="84"/>
      <c r="O205" s="84"/>
      <c r="P205" s="84"/>
      <c r="Q205" s="84"/>
      <c r="R205" s="84"/>
      <c r="S205" s="84"/>
      <c r="T205" s="84"/>
      <c r="U205" s="84"/>
      <c r="V205" s="76"/>
    </row>
    <row r="206" spans="1:22" ht="12.75" customHeight="1" x14ac:dyDescent="0.25">
      <c r="A206" s="83"/>
      <c r="B206" s="83"/>
      <c r="C206" s="85"/>
      <c r="D206" s="83"/>
      <c r="E206" s="83"/>
      <c r="F206" s="83"/>
      <c r="G206" s="83"/>
      <c r="H206" s="83"/>
      <c r="I206" s="83"/>
      <c r="J206" s="83"/>
      <c r="K206" s="83"/>
      <c r="L206" s="83"/>
      <c r="M206" s="83"/>
      <c r="N206" s="84"/>
      <c r="O206" s="84"/>
      <c r="P206" s="84"/>
      <c r="Q206" s="84"/>
      <c r="R206" s="84"/>
      <c r="S206" s="84"/>
      <c r="T206" s="84"/>
      <c r="U206" s="84"/>
      <c r="V206" s="76"/>
    </row>
    <row r="207" spans="1:22" ht="12.75" customHeight="1" x14ac:dyDescent="0.25">
      <c r="A207" s="83"/>
      <c r="B207" s="83"/>
      <c r="C207" s="85"/>
      <c r="D207" s="83"/>
      <c r="E207" s="83"/>
      <c r="F207" s="83"/>
      <c r="G207" s="83"/>
      <c r="H207" s="83"/>
      <c r="I207" s="83"/>
      <c r="J207" s="83"/>
      <c r="K207" s="83"/>
      <c r="L207" s="83"/>
      <c r="M207" s="83"/>
      <c r="N207" s="84"/>
      <c r="O207" s="84"/>
      <c r="P207" s="84"/>
      <c r="Q207" s="84"/>
      <c r="R207" s="84"/>
      <c r="S207" s="84"/>
      <c r="T207" s="84"/>
      <c r="U207" s="84"/>
      <c r="V207" s="76"/>
    </row>
    <row r="208" spans="1:22" ht="12.75" customHeight="1" x14ac:dyDescent="0.25">
      <c r="A208" s="83"/>
      <c r="B208" s="83"/>
      <c r="C208" s="85"/>
      <c r="D208" s="83"/>
      <c r="E208" s="83"/>
      <c r="F208" s="83"/>
      <c r="G208" s="83"/>
      <c r="H208" s="83"/>
      <c r="I208" s="83"/>
      <c r="J208" s="83"/>
      <c r="K208" s="83"/>
      <c r="L208" s="83"/>
      <c r="M208" s="83"/>
      <c r="N208" s="84"/>
      <c r="O208" s="84"/>
      <c r="P208" s="84"/>
      <c r="Q208" s="84"/>
      <c r="R208" s="84"/>
      <c r="S208" s="84"/>
      <c r="T208" s="84"/>
      <c r="U208" s="84"/>
      <c r="V208" s="76"/>
    </row>
    <row r="209" spans="1:22" ht="12.75" customHeight="1" x14ac:dyDescent="0.25">
      <c r="A209" s="83"/>
      <c r="B209" s="83"/>
      <c r="C209" s="85"/>
      <c r="D209" s="83"/>
      <c r="E209" s="83"/>
      <c r="F209" s="83"/>
      <c r="G209" s="83"/>
      <c r="H209" s="83"/>
      <c r="I209" s="83"/>
      <c r="J209" s="83"/>
      <c r="K209" s="83"/>
      <c r="L209" s="83"/>
      <c r="M209" s="83"/>
      <c r="N209" s="84"/>
      <c r="O209" s="84"/>
      <c r="P209" s="84"/>
      <c r="Q209" s="84"/>
      <c r="R209" s="84"/>
      <c r="S209" s="84"/>
      <c r="T209" s="84"/>
      <c r="U209" s="84"/>
      <c r="V209" s="76"/>
    </row>
    <row r="210" spans="1:22" ht="12.75" customHeight="1" x14ac:dyDescent="0.25">
      <c r="A210" s="83"/>
      <c r="B210" s="83"/>
      <c r="C210" s="85"/>
      <c r="D210" s="83"/>
      <c r="E210" s="83"/>
      <c r="F210" s="83"/>
      <c r="G210" s="83"/>
      <c r="H210" s="83"/>
      <c r="I210" s="83"/>
      <c r="J210" s="83"/>
      <c r="K210" s="83"/>
      <c r="L210" s="83"/>
      <c r="M210" s="83"/>
      <c r="N210" s="84"/>
      <c r="O210" s="84"/>
      <c r="P210" s="84"/>
      <c r="Q210" s="84"/>
      <c r="R210" s="84"/>
      <c r="S210" s="84"/>
      <c r="T210" s="84"/>
      <c r="U210" s="84"/>
      <c r="V210" s="76"/>
    </row>
    <row r="211" spans="1:22" ht="12.75" customHeight="1" x14ac:dyDescent="0.25">
      <c r="A211" s="83"/>
      <c r="B211" s="83"/>
      <c r="C211" s="85"/>
      <c r="D211" s="83"/>
      <c r="E211" s="83"/>
      <c r="F211" s="83"/>
      <c r="G211" s="83"/>
      <c r="H211" s="83"/>
      <c r="I211" s="83"/>
      <c r="J211" s="83"/>
      <c r="K211" s="83"/>
      <c r="L211" s="83"/>
      <c r="M211" s="83"/>
      <c r="N211" s="84"/>
      <c r="O211" s="84"/>
      <c r="P211" s="84"/>
      <c r="Q211" s="84"/>
      <c r="R211" s="84"/>
      <c r="S211" s="84"/>
      <c r="T211" s="84"/>
      <c r="U211" s="84"/>
      <c r="V211" s="76"/>
    </row>
    <row r="212" spans="1:22" ht="12.75" customHeight="1" x14ac:dyDescent="0.25">
      <c r="A212" s="83"/>
      <c r="B212" s="83"/>
      <c r="C212" s="85"/>
      <c r="D212" s="83"/>
      <c r="E212" s="83"/>
      <c r="F212" s="83"/>
      <c r="G212" s="83"/>
      <c r="H212" s="83"/>
      <c r="I212" s="83"/>
      <c r="J212" s="83"/>
      <c r="K212" s="83"/>
      <c r="L212" s="83"/>
      <c r="M212" s="83"/>
      <c r="N212" s="84"/>
      <c r="O212" s="84"/>
      <c r="P212" s="84"/>
      <c r="Q212" s="84"/>
      <c r="R212" s="84"/>
      <c r="S212" s="84"/>
      <c r="T212" s="84"/>
      <c r="U212" s="84"/>
      <c r="V212" s="76"/>
    </row>
    <row r="213" spans="1:22" ht="12.75" customHeight="1" x14ac:dyDescent="0.25">
      <c r="A213" s="83"/>
      <c r="B213" s="83"/>
      <c r="C213" s="85"/>
      <c r="D213" s="83"/>
      <c r="E213" s="83"/>
      <c r="F213" s="83"/>
      <c r="G213" s="83"/>
      <c r="H213" s="83"/>
      <c r="I213" s="83"/>
      <c r="J213" s="83"/>
      <c r="K213" s="83"/>
      <c r="L213" s="83"/>
      <c r="M213" s="83"/>
      <c r="N213" s="84"/>
      <c r="O213" s="84"/>
      <c r="P213" s="84"/>
      <c r="Q213" s="84"/>
      <c r="R213" s="84"/>
      <c r="S213" s="84"/>
      <c r="T213" s="84"/>
      <c r="U213" s="84"/>
      <c r="V213" s="76"/>
    </row>
    <row r="214" spans="1:22" ht="12.75" customHeight="1" x14ac:dyDescent="0.25">
      <c r="A214" s="83"/>
      <c r="B214" s="83"/>
      <c r="C214" s="85"/>
      <c r="D214" s="83"/>
      <c r="E214" s="83"/>
      <c r="F214" s="83"/>
      <c r="G214" s="83"/>
      <c r="H214" s="83"/>
      <c r="I214" s="83"/>
      <c r="J214" s="83"/>
      <c r="K214" s="83"/>
      <c r="L214" s="83"/>
      <c r="M214" s="83"/>
      <c r="N214" s="84"/>
      <c r="O214" s="84"/>
      <c r="P214" s="84"/>
      <c r="Q214" s="84"/>
      <c r="R214" s="84"/>
      <c r="S214" s="84"/>
      <c r="T214" s="84"/>
      <c r="U214" s="84"/>
      <c r="V214" s="76"/>
    </row>
    <row r="215" spans="1:22" ht="12.75" customHeight="1" x14ac:dyDescent="0.25">
      <c r="A215" s="83"/>
      <c r="B215" s="83"/>
      <c r="C215" s="85"/>
      <c r="D215" s="83"/>
      <c r="E215" s="83"/>
      <c r="F215" s="83"/>
      <c r="G215" s="83"/>
      <c r="H215" s="83"/>
      <c r="I215" s="83"/>
      <c r="J215" s="83"/>
      <c r="K215" s="83"/>
      <c r="L215" s="83"/>
      <c r="M215" s="83"/>
      <c r="N215" s="84"/>
      <c r="O215" s="84"/>
      <c r="P215" s="84"/>
      <c r="Q215" s="84"/>
      <c r="R215" s="84"/>
      <c r="S215" s="84"/>
      <c r="T215" s="84"/>
      <c r="U215" s="84"/>
      <c r="V215" s="76"/>
    </row>
    <row r="216" spans="1:22" ht="12.75" customHeight="1" x14ac:dyDescent="0.25">
      <c r="A216" s="83"/>
      <c r="B216" s="83"/>
      <c r="C216" s="85"/>
      <c r="D216" s="83"/>
      <c r="E216" s="83"/>
      <c r="F216" s="83"/>
      <c r="G216" s="83"/>
      <c r="H216" s="83"/>
      <c r="I216" s="83"/>
      <c r="J216" s="83"/>
      <c r="K216" s="83"/>
      <c r="L216" s="83"/>
      <c r="M216" s="83"/>
      <c r="N216" s="84"/>
      <c r="O216" s="84"/>
      <c r="P216" s="84"/>
      <c r="Q216" s="84"/>
      <c r="R216" s="84"/>
      <c r="S216" s="84"/>
      <c r="T216" s="84"/>
      <c r="U216" s="84"/>
      <c r="V216" s="76"/>
    </row>
    <row r="217" spans="1:22" ht="12.75" customHeight="1" x14ac:dyDescent="0.25">
      <c r="A217" s="83"/>
      <c r="B217" s="83"/>
      <c r="C217" s="85"/>
      <c r="D217" s="83"/>
      <c r="E217" s="83"/>
      <c r="F217" s="83"/>
      <c r="G217" s="83"/>
      <c r="H217" s="83"/>
      <c r="I217" s="83"/>
      <c r="J217" s="83"/>
      <c r="K217" s="83"/>
      <c r="L217" s="83"/>
      <c r="M217" s="83"/>
      <c r="N217" s="84"/>
      <c r="O217" s="84"/>
      <c r="P217" s="84"/>
      <c r="Q217" s="84"/>
      <c r="R217" s="84"/>
      <c r="S217" s="84"/>
      <c r="T217" s="84"/>
      <c r="U217" s="84"/>
      <c r="V217" s="76"/>
    </row>
    <row r="218" spans="1:22" ht="12.75" customHeight="1" x14ac:dyDescent="0.25">
      <c r="A218" s="83"/>
      <c r="B218" s="83"/>
      <c r="C218" s="85"/>
      <c r="D218" s="83"/>
      <c r="E218" s="83"/>
      <c r="F218" s="83"/>
      <c r="G218" s="83"/>
      <c r="H218" s="83"/>
      <c r="I218" s="83"/>
      <c r="J218" s="83"/>
      <c r="K218" s="83"/>
      <c r="L218" s="83"/>
      <c r="M218" s="83"/>
      <c r="N218" s="84"/>
      <c r="O218" s="84"/>
      <c r="P218" s="84"/>
      <c r="Q218" s="84"/>
      <c r="R218" s="84"/>
      <c r="S218" s="84"/>
      <c r="T218" s="84"/>
      <c r="U218" s="84"/>
      <c r="V218" s="76"/>
    </row>
    <row r="219" spans="1:22" ht="12.75" customHeight="1" x14ac:dyDescent="0.25">
      <c r="A219" s="83"/>
      <c r="B219" s="83"/>
      <c r="C219" s="85"/>
      <c r="D219" s="83"/>
      <c r="E219" s="83"/>
      <c r="F219" s="83"/>
      <c r="G219" s="83"/>
      <c r="H219" s="83"/>
      <c r="I219" s="83"/>
      <c r="J219" s="83"/>
      <c r="K219" s="83"/>
      <c r="L219" s="83"/>
      <c r="M219" s="83"/>
      <c r="N219" s="84"/>
      <c r="O219" s="84"/>
      <c r="P219" s="84"/>
      <c r="Q219" s="84"/>
      <c r="R219" s="84"/>
      <c r="S219" s="84"/>
      <c r="T219" s="84"/>
      <c r="U219" s="84"/>
      <c r="V219" s="76"/>
    </row>
    <row r="220" spans="1:22" ht="12.75" customHeight="1" x14ac:dyDescent="0.25">
      <c r="A220" s="83"/>
      <c r="B220" s="83"/>
      <c r="C220" s="85"/>
      <c r="D220" s="83"/>
      <c r="E220" s="83"/>
      <c r="F220" s="83"/>
      <c r="G220" s="83"/>
      <c r="H220" s="83"/>
      <c r="I220" s="83"/>
      <c r="J220" s="83"/>
      <c r="K220" s="83"/>
      <c r="L220" s="83"/>
      <c r="M220" s="83"/>
      <c r="N220" s="84"/>
      <c r="O220" s="84"/>
      <c r="P220" s="84"/>
      <c r="Q220" s="84"/>
      <c r="R220" s="84"/>
      <c r="S220" s="84"/>
      <c r="T220" s="84"/>
      <c r="U220" s="84"/>
      <c r="V220" s="76"/>
    </row>
    <row r="221" spans="1:22" ht="12.75" customHeight="1" x14ac:dyDescent="0.25">
      <c r="A221" s="83"/>
      <c r="B221" s="83"/>
      <c r="C221" s="85"/>
      <c r="D221" s="83"/>
      <c r="E221" s="83"/>
      <c r="F221" s="83"/>
      <c r="G221" s="83"/>
      <c r="H221" s="83"/>
      <c r="I221" s="83"/>
      <c r="J221" s="83"/>
      <c r="K221" s="83"/>
      <c r="L221" s="83"/>
      <c r="M221" s="83"/>
      <c r="N221" s="84"/>
      <c r="O221" s="84"/>
      <c r="P221" s="84"/>
      <c r="Q221" s="84"/>
      <c r="R221" s="84"/>
      <c r="S221" s="84"/>
      <c r="T221" s="84"/>
      <c r="U221" s="84"/>
      <c r="V221" s="76"/>
    </row>
    <row r="222" spans="1:22" ht="12.75" customHeight="1" x14ac:dyDescent="0.25">
      <c r="A222" s="83"/>
      <c r="B222" s="83"/>
      <c r="C222" s="85"/>
      <c r="D222" s="83"/>
      <c r="E222" s="83"/>
      <c r="F222" s="83"/>
      <c r="G222" s="83"/>
      <c r="H222" s="83"/>
      <c r="I222" s="83"/>
      <c r="J222" s="83"/>
      <c r="K222" s="83"/>
      <c r="L222" s="83"/>
      <c r="M222" s="83"/>
      <c r="N222" s="84"/>
      <c r="O222" s="84"/>
      <c r="P222" s="84"/>
      <c r="Q222" s="84"/>
      <c r="R222" s="84"/>
      <c r="S222" s="84"/>
      <c r="T222" s="84"/>
      <c r="U222" s="84"/>
      <c r="V222" s="76"/>
    </row>
    <row r="223" spans="1:22" ht="12.75" customHeight="1" x14ac:dyDescent="0.25">
      <c r="A223" s="83"/>
      <c r="B223" s="83"/>
      <c r="C223" s="85"/>
      <c r="D223" s="83"/>
      <c r="E223" s="83"/>
      <c r="F223" s="83"/>
      <c r="G223" s="83"/>
      <c r="H223" s="83"/>
      <c r="I223" s="83"/>
      <c r="J223" s="83"/>
      <c r="K223" s="83"/>
      <c r="L223" s="83"/>
      <c r="M223" s="83"/>
      <c r="N223" s="84"/>
      <c r="O223" s="84"/>
      <c r="P223" s="84"/>
      <c r="Q223" s="84"/>
      <c r="R223" s="84"/>
      <c r="S223" s="84"/>
      <c r="T223" s="84"/>
      <c r="U223" s="84"/>
      <c r="V223" s="76"/>
    </row>
    <row r="224" spans="1:22" ht="12.75" customHeight="1" x14ac:dyDescent="0.25">
      <c r="A224" s="83"/>
      <c r="B224" s="83"/>
      <c r="C224" s="85"/>
      <c r="D224" s="83"/>
      <c r="E224" s="83"/>
      <c r="F224" s="83"/>
      <c r="G224" s="83"/>
      <c r="H224" s="83"/>
      <c r="I224" s="83"/>
      <c r="J224" s="83"/>
      <c r="K224" s="83"/>
      <c r="L224" s="83"/>
      <c r="M224" s="83"/>
      <c r="N224" s="84"/>
      <c r="O224" s="84"/>
      <c r="P224" s="84"/>
      <c r="Q224" s="84"/>
      <c r="R224" s="84"/>
      <c r="S224" s="84"/>
      <c r="T224" s="84"/>
      <c r="U224" s="84"/>
      <c r="V224" s="76"/>
    </row>
    <row r="225" spans="1:22" ht="12.75" customHeight="1" x14ac:dyDescent="0.25">
      <c r="A225" s="83"/>
      <c r="B225" s="83"/>
      <c r="C225" s="85"/>
      <c r="D225" s="83"/>
      <c r="E225" s="83"/>
      <c r="F225" s="83"/>
      <c r="G225" s="83"/>
      <c r="H225" s="83"/>
      <c r="I225" s="83"/>
      <c r="J225" s="83"/>
      <c r="K225" s="83"/>
      <c r="L225" s="83"/>
      <c r="M225" s="83"/>
      <c r="N225" s="84"/>
      <c r="O225" s="84"/>
      <c r="P225" s="84"/>
      <c r="Q225" s="84"/>
      <c r="R225" s="84"/>
      <c r="S225" s="84"/>
      <c r="T225" s="84"/>
      <c r="U225" s="84"/>
      <c r="V225" s="76"/>
    </row>
    <row r="226" spans="1:22" ht="12.75" customHeight="1" x14ac:dyDescent="0.25">
      <c r="A226" s="83"/>
      <c r="B226" s="83"/>
      <c r="C226" s="85"/>
      <c r="D226" s="83"/>
      <c r="E226" s="83"/>
      <c r="F226" s="83"/>
      <c r="G226" s="83"/>
      <c r="H226" s="83"/>
      <c r="I226" s="83"/>
      <c r="J226" s="83"/>
      <c r="K226" s="83"/>
      <c r="L226" s="83"/>
      <c r="M226" s="83"/>
      <c r="N226" s="84"/>
      <c r="O226" s="84"/>
      <c r="P226" s="84"/>
      <c r="Q226" s="84"/>
      <c r="R226" s="84"/>
      <c r="S226" s="84"/>
      <c r="T226" s="84"/>
      <c r="U226" s="84"/>
      <c r="V226" s="76"/>
    </row>
    <row r="227" spans="1:22" ht="12.75" customHeight="1" x14ac:dyDescent="0.25">
      <c r="A227" s="83"/>
      <c r="B227" s="83"/>
      <c r="C227" s="85"/>
      <c r="D227" s="83"/>
      <c r="E227" s="83"/>
      <c r="F227" s="83"/>
      <c r="G227" s="83"/>
      <c r="H227" s="83"/>
      <c r="I227" s="83"/>
      <c r="J227" s="83"/>
      <c r="K227" s="83"/>
      <c r="L227" s="83"/>
      <c r="M227" s="83"/>
      <c r="N227" s="84"/>
      <c r="O227" s="84"/>
      <c r="P227" s="84"/>
      <c r="Q227" s="84"/>
      <c r="R227" s="84"/>
      <c r="S227" s="84"/>
      <c r="T227" s="84"/>
      <c r="U227" s="84"/>
      <c r="V227" s="76"/>
    </row>
    <row r="228" spans="1:22" ht="12.75" customHeight="1" x14ac:dyDescent="0.25">
      <c r="A228" s="83"/>
      <c r="B228" s="83"/>
      <c r="C228" s="85"/>
      <c r="D228" s="83"/>
      <c r="E228" s="83"/>
      <c r="F228" s="83"/>
      <c r="G228" s="83"/>
      <c r="H228" s="83"/>
      <c r="I228" s="83"/>
      <c r="J228" s="83"/>
      <c r="K228" s="83"/>
      <c r="L228" s="83"/>
      <c r="M228" s="83"/>
      <c r="N228" s="84"/>
      <c r="O228" s="84"/>
      <c r="P228" s="84"/>
      <c r="Q228" s="84"/>
      <c r="R228" s="84"/>
      <c r="S228" s="84"/>
      <c r="T228" s="84"/>
      <c r="U228" s="84"/>
      <c r="V228" s="76"/>
    </row>
    <row r="229" spans="1:22" ht="12.75" customHeight="1" x14ac:dyDescent="0.25">
      <c r="A229" s="83"/>
      <c r="B229" s="83"/>
      <c r="C229" s="85"/>
      <c r="D229" s="83"/>
      <c r="E229" s="83"/>
      <c r="F229" s="83"/>
      <c r="G229" s="83"/>
      <c r="H229" s="83"/>
      <c r="I229" s="83"/>
      <c r="J229" s="83"/>
      <c r="K229" s="83"/>
      <c r="L229" s="83"/>
      <c r="M229" s="83"/>
      <c r="N229" s="84"/>
      <c r="O229" s="84"/>
      <c r="P229" s="84"/>
      <c r="Q229" s="84"/>
      <c r="R229" s="84"/>
      <c r="S229" s="84"/>
      <c r="T229" s="84"/>
      <c r="U229" s="84"/>
      <c r="V229" s="76"/>
    </row>
    <row r="230" spans="1:22" ht="12.75" customHeight="1" x14ac:dyDescent="0.25">
      <c r="A230" s="83"/>
      <c r="B230" s="83"/>
      <c r="C230" s="85"/>
      <c r="D230" s="83"/>
      <c r="E230" s="83"/>
      <c r="F230" s="83"/>
      <c r="G230" s="83"/>
      <c r="H230" s="83"/>
      <c r="I230" s="83"/>
      <c r="J230" s="83"/>
      <c r="K230" s="83"/>
      <c r="L230" s="83"/>
      <c r="M230" s="83"/>
      <c r="N230" s="84"/>
      <c r="O230" s="84"/>
      <c r="P230" s="84"/>
      <c r="Q230" s="84"/>
      <c r="R230" s="84"/>
      <c r="S230" s="84"/>
      <c r="T230" s="84"/>
      <c r="U230" s="84"/>
      <c r="V230" s="76"/>
    </row>
    <row r="231" spans="1:22" ht="15.75" customHeight="1" x14ac:dyDescent="0.25"/>
    <row r="232" spans="1:22" ht="15.75" customHeight="1" x14ac:dyDescent="0.25"/>
    <row r="233" spans="1:22" ht="15.75" customHeight="1" x14ac:dyDescent="0.25"/>
    <row r="234" spans="1:22" ht="15.75" customHeight="1" x14ac:dyDescent="0.25"/>
    <row r="235" spans="1:22" ht="15.75" customHeight="1" x14ac:dyDescent="0.25"/>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6">
    <mergeCell ref="B30:H30"/>
    <mergeCell ref="I30:O30"/>
    <mergeCell ref="U19:U20"/>
    <mergeCell ref="V19:V20"/>
    <mergeCell ref="A25:S25"/>
    <mergeCell ref="B28:H28"/>
    <mergeCell ref="I28:O28"/>
    <mergeCell ref="B29:H29"/>
    <mergeCell ref="I29:O29"/>
    <mergeCell ref="V21:V22"/>
    <mergeCell ref="U23:U24"/>
    <mergeCell ref="V23:V24"/>
    <mergeCell ref="C23:C24"/>
    <mergeCell ref="D23:D24"/>
    <mergeCell ref="T9:T12"/>
    <mergeCell ref="U9:U10"/>
    <mergeCell ref="V9:V10"/>
    <mergeCell ref="U11:U12"/>
    <mergeCell ref="V11:V12"/>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 ref="T13:T14"/>
    <mergeCell ref="U13:U14"/>
    <mergeCell ref="V13:V14"/>
    <mergeCell ref="U15:U16"/>
    <mergeCell ref="V15:V16"/>
    <mergeCell ref="U17:U18"/>
    <mergeCell ref="V17:V18"/>
    <mergeCell ref="E23:E24"/>
    <mergeCell ref="T15:T18"/>
    <mergeCell ref="T19:T20"/>
    <mergeCell ref="T21:T24"/>
    <mergeCell ref="U21:U22"/>
    <mergeCell ref="E15:E16"/>
    <mergeCell ref="E17:E18"/>
    <mergeCell ref="E21:E22"/>
    <mergeCell ref="E19:E20"/>
    <mergeCell ref="A15:A18"/>
    <mergeCell ref="A19:A20"/>
    <mergeCell ref="B19:B20"/>
    <mergeCell ref="D19:D20"/>
    <mergeCell ref="A21:A24"/>
    <mergeCell ref="B21:B24"/>
    <mergeCell ref="C15:C16"/>
    <mergeCell ref="D15:D16"/>
    <mergeCell ref="C17:C18"/>
    <mergeCell ref="D17:D18"/>
    <mergeCell ref="B15:B18"/>
    <mergeCell ref="C19:C20"/>
    <mergeCell ref="C21:C22"/>
    <mergeCell ref="D21:D22"/>
    <mergeCell ref="A9:A12"/>
    <mergeCell ref="A13:A14"/>
    <mergeCell ref="B13:B14"/>
    <mergeCell ref="D13:D14"/>
    <mergeCell ref="E13:E14"/>
    <mergeCell ref="C13:C14"/>
    <mergeCell ref="B9:B12"/>
    <mergeCell ref="C9:C10"/>
    <mergeCell ref="D9:D10"/>
    <mergeCell ref="E9:E10"/>
    <mergeCell ref="C11:C12"/>
    <mergeCell ref="D11:D12"/>
    <mergeCell ref="E11:E12"/>
    <mergeCell ref="W19:W20"/>
    <mergeCell ref="W21:W22"/>
    <mergeCell ref="W23:W24"/>
    <mergeCell ref="W9:W10"/>
    <mergeCell ref="W11:W12"/>
    <mergeCell ref="W13:W14"/>
    <mergeCell ref="W15:W16"/>
    <mergeCell ref="W17:W18"/>
  </mergeCells>
  <dataValidations count="1">
    <dataValidation type="custom" allowBlank="1" showErrorMessage="1" sqref="V9 V11 V13 V15 V17 V19 V21 V23" xr:uid="{00000000-0002-0000-0200-000000000000}">
      <formula1>LT(LEN(V9),(2000))</formula1>
    </dataValidation>
  </dataValidations>
  <pageMargins left="0.7" right="0.7" top="0.75" bottom="0.75" header="0" footer="0"/>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1E282-FE73-487C-A36C-671D4B442FCB}">
  <dimension ref="A1:BE1000"/>
  <sheetViews>
    <sheetView zoomScale="77" zoomScaleNormal="77" workbookViewId="0">
      <selection activeCell="E9" sqref="E9"/>
    </sheetView>
  </sheetViews>
  <sheetFormatPr baseColWidth="10" defaultColWidth="14.42578125" defaultRowHeight="15" x14ac:dyDescent="0.25"/>
  <cols>
    <col min="1" max="1" width="10.7109375" customWidth="1"/>
    <col min="2" max="2" width="20" customWidth="1"/>
    <col min="3" max="3" width="16.7109375" customWidth="1"/>
    <col min="4" max="4" width="10.7109375" customWidth="1"/>
    <col min="5" max="7" width="19.42578125" customWidth="1"/>
    <col min="8" max="8" width="17.5703125" customWidth="1"/>
    <col min="9" max="11" width="19.42578125" customWidth="1"/>
    <col min="12" max="12" width="19.42578125" hidden="1" customWidth="1"/>
    <col min="13" max="13" width="27.140625" hidden="1" customWidth="1"/>
    <col min="14" max="14" width="20.5703125" hidden="1" customWidth="1"/>
    <col min="15" max="15" width="18.140625" hidden="1" customWidth="1"/>
    <col min="16" max="16" width="16.28515625" hidden="1" customWidth="1"/>
    <col min="17" max="17" width="29.85546875" hidden="1" customWidth="1"/>
    <col min="18" max="18" width="24.140625" hidden="1" customWidth="1"/>
    <col min="19" max="19" width="11.42578125" hidden="1" customWidth="1"/>
    <col min="20" max="20" width="19.28515625" customWidth="1"/>
    <col min="21" max="21" width="20.5703125" customWidth="1"/>
    <col min="22" max="23" width="19.28515625" customWidth="1"/>
    <col min="24" max="24" width="23.28515625" customWidth="1"/>
    <col min="25" max="25" width="19.28515625" hidden="1" customWidth="1"/>
    <col min="26" max="26" width="26.42578125" hidden="1" customWidth="1"/>
    <col min="27" max="27" width="20.140625" hidden="1" customWidth="1"/>
    <col min="28" max="28" width="19.7109375" hidden="1" customWidth="1"/>
    <col min="29" max="29" width="20" hidden="1" customWidth="1"/>
    <col min="30" max="30" width="22.5703125" hidden="1" customWidth="1"/>
    <col min="31" max="31" width="22" hidden="1" customWidth="1"/>
    <col min="32" max="32" width="41.42578125" customWidth="1"/>
    <col min="33" max="39" width="11.5703125" customWidth="1"/>
    <col min="40" max="40" width="15.28515625" customWidth="1"/>
    <col min="41" max="51" width="11.5703125" customWidth="1"/>
    <col min="53" max="55" width="17.85546875" customWidth="1"/>
    <col min="56" max="57" width="10.85546875" customWidth="1"/>
  </cols>
  <sheetData>
    <row r="1" spans="1:57" ht="25.5" customHeight="1" x14ac:dyDescent="0.25">
      <c r="A1" s="759"/>
      <c r="B1" s="696"/>
      <c r="C1" s="696"/>
      <c r="D1" s="696"/>
      <c r="E1" s="762" t="s">
        <v>0</v>
      </c>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c r="AW1" s="596"/>
      <c r="AX1" s="596"/>
      <c r="AY1" s="596"/>
    </row>
    <row r="2" spans="1:57" ht="25.5" customHeight="1" x14ac:dyDescent="0.25">
      <c r="A2" s="760"/>
      <c r="B2" s="579"/>
      <c r="C2" s="579"/>
      <c r="D2" s="761"/>
      <c r="E2" s="763" t="s">
        <v>378</v>
      </c>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row>
    <row r="3" spans="1:57" ht="25.5" customHeight="1" thickBot="1" x14ac:dyDescent="0.3">
      <c r="A3" s="760"/>
      <c r="B3" s="579"/>
      <c r="C3" s="579"/>
      <c r="D3" s="761"/>
      <c r="E3" s="764" t="s">
        <v>343</v>
      </c>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765" t="s">
        <v>867</v>
      </c>
      <c r="AF3" s="596"/>
      <c r="AG3" s="596"/>
      <c r="AH3" s="596"/>
      <c r="AI3" s="596"/>
      <c r="AJ3" s="596"/>
      <c r="AK3" s="596"/>
      <c r="AL3" s="596"/>
      <c r="AM3" s="596"/>
      <c r="AN3" s="596"/>
      <c r="AO3" s="596"/>
      <c r="AP3" s="596"/>
      <c r="AQ3" s="596"/>
      <c r="AR3" s="596"/>
      <c r="AS3" s="596"/>
      <c r="AT3" s="596"/>
      <c r="AU3" s="596"/>
      <c r="AV3" s="596"/>
      <c r="AW3" s="596"/>
      <c r="AX3" s="596"/>
      <c r="AY3" s="596"/>
    </row>
    <row r="4" spans="1:57" ht="18.75" thickBot="1" x14ac:dyDescent="0.3">
      <c r="A4" s="766" t="s">
        <v>4</v>
      </c>
      <c r="B4" s="750"/>
      <c r="C4" s="750"/>
      <c r="D4" s="750"/>
      <c r="E4" s="767" t="s">
        <v>5</v>
      </c>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row>
    <row r="5" spans="1:57" ht="15.75" thickBot="1" x14ac:dyDescent="0.3">
      <c r="A5" s="768" t="s">
        <v>6</v>
      </c>
      <c r="B5" s="750"/>
      <c r="C5" s="750"/>
      <c r="D5" s="750"/>
      <c r="E5" s="769" t="s">
        <v>189</v>
      </c>
      <c r="F5" s="596"/>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596"/>
    </row>
    <row r="6" spans="1:57" ht="15.75" thickBot="1" x14ac:dyDescent="0.3">
      <c r="A6" s="746" t="s">
        <v>379</v>
      </c>
      <c r="B6" s="747"/>
      <c r="C6" s="747"/>
      <c r="D6" s="747"/>
      <c r="E6" s="748" t="s">
        <v>887</v>
      </c>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6"/>
      <c r="AY6" s="596"/>
    </row>
    <row r="7" spans="1:57" ht="18.75" thickBot="1" x14ac:dyDescent="0.3">
      <c r="A7" s="523"/>
      <c r="B7" s="524"/>
      <c r="C7" s="524"/>
      <c r="D7" s="524"/>
      <c r="E7" s="285"/>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7"/>
    </row>
    <row r="8" spans="1:57" ht="42" customHeight="1" thickBot="1" x14ac:dyDescent="0.3">
      <c r="A8" s="749" t="s">
        <v>380</v>
      </c>
      <c r="B8" s="750"/>
      <c r="C8" s="750"/>
      <c r="D8" s="750"/>
      <c r="E8" s="750"/>
      <c r="F8" s="751"/>
      <c r="G8" s="752" t="s">
        <v>381</v>
      </c>
      <c r="H8" s="750"/>
      <c r="I8" s="750"/>
      <c r="J8" s="750"/>
      <c r="K8" s="750"/>
      <c r="L8" s="750"/>
      <c r="M8" s="750"/>
      <c r="N8" s="750"/>
      <c r="O8" s="750"/>
      <c r="P8" s="750"/>
      <c r="Q8" s="750"/>
      <c r="R8" s="750"/>
      <c r="S8" s="751"/>
      <c r="T8" s="752" t="s">
        <v>382</v>
      </c>
      <c r="U8" s="750"/>
      <c r="V8" s="750"/>
      <c r="W8" s="750"/>
      <c r="X8" s="750"/>
      <c r="Y8" s="750"/>
      <c r="Z8" s="750"/>
      <c r="AA8" s="750"/>
      <c r="AB8" s="750"/>
      <c r="AC8" s="750"/>
      <c r="AD8" s="750"/>
      <c r="AE8" s="750"/>
      <c r="AF8" s="751"/>
      <c r="AG8" s="753" t="s">
        <v>383</v>
      </c>
      <c r="AH8" s="754"/>
      <c r="AI8" s="754"/>
      <c r="AJ8" s="754"/>
      <c r="AK8" s="705"/>
      <c r="AL8" s="755" t="s">
        <v>384</v>
      </c>
      <c r="AM8" s="705"/>
      <c r="AN8" s="355"/>
      <c r="AO8" s="756" t="s">
        <v>385</v>
      </c>
      <c r="AP8" s="754"/>
      <c r="AQ8" s="754"/>
      <c r="AR8" s="754"/>
      <c r="AS8" s="754"/>
      <c r="AT8" s="754"/>
      <c r="AU8" s="754"/>
      <c r="AV8" s="754"/>
      <c r="AW8" s="754"/>
      <c r="AX8" s="705"/>
      <c r="AY8" s="757" t="s">
        <v>868</v>
      </c>
    </row>
    <row r="9" spans="1:57" ht="69" customHeight="1" thickBot="1" x14ac:dyDescent="0.3">
      <c r="A9" s="525" t="s">
        <v>386</v>
      </c>
      <c r="B9" s="86" t="s">
        <v>387</v>
      </c>
      <c r="C9" s="86" t="s">
        <v>869</v>
      </c>
      <c r="D9" s="87" t="s">
        <v>870</v>
      </c>
      <c r="E9" s="526" t="s">
        <v>925</v>
      </c>
      <c r="F9" s="526" t="s">
        <v>871</v>
      </c>
      <c r="G9" s="526" t="s">
        <v>353</v>
      </c>
      <c r="H9" s="526" t="s">
        <v>354</v>
      </c>
      <c r="I9" s="526" t="s">
        <v>355</v>
      </c>
      <c r="J9" s="526" t="s">
        <v>356</v>
      </c>
      <c r="K9" s="526" t="s">
        <v>357</v>
      </c>
      <c r="L9" s="88" t="s">
        <v>358</v>
      </c>
      <c r="M9" s="88" t="s">
        <v>359</v>
      </c>
      <c r="N9" s="88" t="s">
        <v>360</v>
      </c>
      <c r="O9" s="88" t="s">
        <v>361</v>
      </c>
      <c r="P9" s="88" t="s">
        <v>362</v>
      </c>
      <c r="Q9" s="88" t="s">
        <v>872</v>
      </c>
      <c r="R9" s="88" t="s">
        <v>364</v>
      </c>
      <c r="S9" s="88" t="s">
        <v>873</v>
      </c>
      <c r="T9" s="88" t="s">
        <v>353</v>
      </c>
      <c r="U9" s="88" t="s">
        <v>354</v>
      </c>
      <c r="V9" s="88" t="s">
        <v>355</v>
      </c>
      <c r="W9" s="88" t="s">
        <v>356</v>
      </c>
      <c r="X9" s="88" t="s">
        <v>357</v>
      </c>
      <c r="Y9" s="88" t="s">
        <v>358</v>
      </c>
      <c r="Z9" s="88" t="s">
        <v>359</v>
      </c>
      <c r="AA9" s="88" t="s">
        <v>360</v>
      </c>
      <c r="AB9" s="88" t="s">
        <v>361</v>
      </c>
      <c r="AC9" s="88" t="s">
        <v>362</v>
      </c>
      <c r="AD9" s="89" t="s">
        <v>872</v>
      </c>
      <c r="AE9" s="90" t="s">
        <v>364</v>
      </c>
      <c r="AF9" s="90" t="s">
        <v>874</v>
      </c>
      <c r="AG9" s="527" t="s">
        <v>388</v>
      </c>
      <c r="AH9" s="91" t="s">
        <v>389</v>
      </c>
      <c r="AI9" s="91" t="s">
        <v>390</v>
      </c>
      <c r="AJ9" s="91" t="s">
        <v>391</v>
      </c>
      <c r="AK9" s="91" t="s">
        <v>392</v>
      </c>
      <c r="AL9" s="91" t="s">
        <v>393</v>
      </c>
      <c r="AM9" s="91" t="s">
        <v>394</v>
      </c>
      <c r="AN9" s="92" t="s">
        <v>395</v>
      </c>
      <c r="AO9" s="92" t="s">
        <v>396</v>
      </c>
      <c r="AP9" s="92" t="s">
        <v>397</v>
      </c>
      <c r="AQ9" s="92" t="s">
        <v>398</v>
      </c>
      <c r="AR9" s="92" t="s">
        <v>399</v>
      </c>
      <c r="AS9" s="92" t="s">
        <v>400</v>
      </c>
      <c r="AT9" s="92" t="s">
        <v>401</v>
      </c>
      <c r="AU9" s="92" t="s">
        <v>402</v>
      </c>
      <c r="AV9" s="92" t="s">
        <v>403</v>
      </c>
      <c r="AW9" s="92" t="s">
        <v>404</v>
      </c>
      <c r="AX9" s="93" t="s">
        <v>405</v>
      </c>
      <c r="AY9" s="758"/>
      <c r="BA9" s="251" t="s">
        <v>875</v>
      </c>
      <c r="BB9" s="251" t="s">
        <v>876</v>
      </c>
      <c r="BC9" s="251" t="s">
        <v>877</v>
      </c>
      <c r="BD9" s="251" t="s">
        <v>878</v>
      </c>
      <c r="BE9" s="251" t="s">
        <v>879</v>
      </c>
    </row>
    <row r="10" spans="1:57" ht="28.5" customHeight="1" x14ac:dyDescent="0.25">
      <c r="A10" s="739">
        <v>1</v>
      </c>
      <c r="B10" s="741" t="s">
        <v>880</v>
      </c>
      <c r="C10" s="742" t="s">
        <v>881</v>
      </c>
      <c r="D10" s="94" t="s">
        <v>322</v>
      </c>
      <c r="E10" s="543">
        <v>4</v>
      </c>
      <c r="F10" s="543">
        <v>4</v>
      </c>
      <c r="G10" s="543">
        <v>4</v>
      </c>
      <c r="H10" s="543">
        <v>4</v>
      </c>
      <c r="I10" s="544">
        <v>4</v>
      </c>
      <c r="J10" s="543">
        <v>4</v>
      </c>
      <c r="K10" s="543">
        <f>+[1]INVERSIÓN!$EM$10</f>
        <v>4</v>
      </c>
      <c r="L10" s="545"/>
      <c r="M10" s="545"/>
      <c r="N10" s="545"/>
      <c r="O10" s="545"/>
      <c r="P10" s="545"/>
      <c r="Q10" s="545"/>
      <c r="R10" s="545"/>
      <c r="S10" s="545"/>
      <c r="T10" s="546">
        <v>0.4</v>
      </c>
      <c r="U10" s="547">
        <v>1</v>
      </c>
      <c r="V10" s="547">
        <v>2</v>
      </c>
      <c r="W10" s="547">
        <v>3</v>
      </c>
      <c r="X10" s="546">
        <f>+[1]INVERSIÓN!$EQ$10</f>
        <v>4</v>
      </c>
      <c r="Y10" s="546"/>
      <c r="Z10" s="546"/>
      <c r="AA10" s="546"/>
      <c r="AB10" s="546"/>
      <c r="AC10" s="546"/>
      <c r="AD10" s="546"/>
      <c r="AE10" s="546"/>
      <c r="AF10" s="743" t="s">
        <v>910</v>
      </c>
      <c r="AG10" s="743" t="s">
        <v>406</v>
      </c>
      <c r="AH10" s="733" t="s">
        <v>179</v>
      </c>
      <c r="AI10" s="733" t="s">
        <v>179</v>
      </c>
      <c r="AJ10" s="733" t="s">
        <v>179</v>
      </c>
      <c r="AK10" s="733" t="s">
        <v>407</v>
      </c>
      <c r="AL10" s="733" t="s">
        <v>179</v>
      </c>
      <c r="AM10" s="733" t="s">
        <v>179</v>
      </c>
      <c r="AN10" s="735">
        <v>8034649</v>
      </c>
      <c r="AO10" s="737">
        <v>3847592</v>
      </c>
      <c r="AP10" s="738">
        <v>4187057</v>
      </c>
      <c r="AQ10" s="733" t="s">
        <v>179</v>
      </c>
      <c r="AR10" s="733" t="s">
        <v>179</v>
      </c>
      <c r="AS10" s="733" t="s">
        <v>179</v>
      </c>
      <c r="AT10" s="733" t="s">
        <v>179</v>
      </c>
      <c r="AU10" s="733" t="s">
        <v>179</v>
      </c>
      <c r="AV10" s="733" t="s">
        <v>179</v>
      </c>
      <c r="AW10" s="733" t="s">
        <v>179</v>
      </c>
      <c r="AX10" s="735">
        <v>7968095</v>
      </c>
      <c r="AY10" s="736"/>
      <c r="BA10" s="528">
        <f>+X10-K10</f>
        <v>0</v>
      </c>
      <c r="BB10" s="529">
        <f>+W10-X10</f>
        <v>-1</v>
      </c>
      <c r="BC10" s="529">
        <f>+V10-X10</f>
        <v>-2</v>
      </c>
      <c r="BD10" s="529">
        <f>+X10-[1]INVERSIÓN!EO10</f>
        <v>0</v>
      </c>
      <c r="BE10" s="529">
        <f>+K10-[1]INVERSIÓN!EP10</f>
        <v>0</v>
      </c>
    </row>
    <row r="11" spans="1:57" ht="28.5" customHeight="1" x14ac:dyDescent="0.25">
      <c r="A11" s="740"/>
      <c r="B11" s="605"/>
      <c r="C11" s="605"/>
      <c r="D11" s="530" t="s">
        <v>323</v>
      </c>
      <c r="E11" s="548">
        <f>+[1]INVERSIÓN!$DN$11</f>
        <v>2298933000</v>
      </c>
      <c r="F11" s="548">
        <v>2298933000</v>
      </c>
      <c r="G11" s="548">
        <v>2298933000</v>
      </c>
      <c r="H11" s="548">
        <v>2298933000</v>
      </c>
      <c r="I11" s="548">
        <v>2298933000</v>
      </c>
      <c r="J11" s="548">
        <v>2298933000</v>
      </c>
      <c r="K11" s="548">
        <f>+[1]INVERSIÓN!$EM$11</f>
        <v>2298933000</v>
      </c>
      <c r="L11" s="549"/>
      <c r="M11" s="550"/>
      <c r="N11" s="548"/>
      <c r="O11" s="548"/>
      <c r="P11" s="548"/>
      <c r="Q11" s="548"/>
      <c r="R11" s="548"/>
      <c r="S11" s="548"/>
      <c r="T11" s="551">
        <v>192733000</v>
      </c>
      <c r="U11" s="548">
        <v>286231000</v>
      </c>
      <c r="V11" s="548">
        <v>286231000</v>
      </c>
      <c r="W11" s="548">
        <v>555949000</v>
      </c>
      <c r="X11" s="548">
        <f>+[1]INVERSIÓN!$EQ$11</f>
        <v>1191790830</v>
      </c>
      <c r="Y11" s="551"/>
      <c r="Z11" s="551"/>
      <c r="AA11" s="551"/>
      <c r="AB11" s="551"/>
      <c r="AC11" s="551"/>
      <c r="AD11" s="551"/>
      <c r="AE11" s="551"/>
      <c r="AF11" s="605"/>
      <c r="AG11" s="605"/>
      <c r="AH11" s="605"/>
      <c r="AI11" s="605"/>
      <c r="AJ11" s="605"/>
      <c r="AK11" s="605"/>
      <c r="AL11" s="605"/>
      <c r="AM11" s="605"/>
      <c r="AN11" s="605"/>
      <c r="AO11" s="605"/>
      <c r="AP11" s="605"/>
      <c r="AQ11" s="605"/>
      <c r="AR11" s="605"/>
      <c r="AS11" s="605"/>
      <c r="AT11" s="605"/>
      <c r="AU11" s="605"/>
      <c r="AV11" s="605"/>
      <c r="AW11" s="605"/>
      <c r="AX11" s="605"/>
      <c r="AY11" s="605"/>
      <c r="BA11" s="528">
        <f t="shared" ref="BA11:BA42" si="0">+X11-K11</f>
        <v>-1107142170</v>
      </c>
      <c r="BB11" s="529">
        <f t="shared" ref="BB11:BB42" si="1">+W11-X11</f>
        <v>-635841830</v>
      </c>
      <c r="BC11" s="529">
        <f t="shared" ref="BC11:BC42" si="2">+V11-X11</f>
        <v>-905559830</v>
      </c>
      <c r="BD11" s="529">
        <f>+X11-[1]INVERSIÓN!EO11</f>
        <v>0</v>
      </c>
      <c r="BE11" s="529">
        <f>+K11-[1]INVERSIÓN!EP11</f>
        <v>0</v>
      </c>
    </row>
    <row r="12" spans="1:57" ht="28.5" customHeight="1" x14ac:dyDescent="0.25">
      <c r="A12" s="740"/>
      <c r="B12" s="605"/>
      <c r="C12" s="605"/>
      <c r="D12" s="531" t="s">
        <v>325</v>
      </c>
      <c r="E12" s="548">
        <f>+[1]INVERSIÓN!$DN$13</f>
        <v>0</v>
      </c>
      <c r="F12" s="548">
        <v>0</v>
      </c>
      <c r="G12" s="548">
        <v>0</v>
      </c>
      <c r="H12" s="548">
        <v>0</v>
      </c>
      <c r="I12" s="548">
        <v>0</v>
      </c>
      <c r="J12" s="548">
        <v>0</v>
      </c>
      <c r="K12" s="548">
        <f>+[1]INVERSIÓN!$EM$13</f>
        <v>0</v>
      </c>
      <c r="L12" s="548"/>
      <c r="M12" s="548"/>
      <c r="N12" s="548"/>
      <c r="O12" s="548"/>
      <c r="P12" s="548"/>
      <c r="Q12" s="548"/>
      <c r="R12" s="548"/>
      <c r="S12" s="548"/>
      <c r="T12" s="552">
        <v>0</v>
      </c>
      <c r="U12" s="548">
        <v>0</v>
      </c>
      <c r="V12" s="548">
        <v>0</v>
      </c>
      <c r="W12" s="548">
        <v>0</v>
      </c>
      <c r="X12" s="553">
        <f>+[1]INVERSIÓN!$EQ$13</f>
        <v>0</v>
      </c>
      <c r="Y12" s="554"/>
      <c r="Z12" s="553"/>
      <c r="AA12" s="553"/>
      <c r="AB12" s="554"/>
      <c r="AC12" s="554"/>
      <c r="AD12" s="554"/>
      <c r="AE12" s="553"/>
      <c r="AF12" s="605"/>
      <c r="AG12" s="605"/>
      <c r="AH12" s="605"/>
      <c r="AI12" s="605"/>
      <c r="AJ12" s="605"/>
      <c r="AK12" s="605"/>
      <c r="AL12" s="605"/>
      <c r="AM12" s="605"/>
      <c r="AN12" s="605"/>
      <c r="AO12" s="605"/>
      <c r="AP12" s="605"/>
      <c r="AQ12" s="605"/>
      <c r="AR12" s="605"/>
      <c r="AS12" s="605"/>
      <c r="AT12" s="605"/>
      <c r="AU12" s="605"/>
      <c r="AV12" s="605"/>
      <c r="AW12" s="605"/>
      <c r="AX12" s="605"/>
      <c r="AY12" s="605"/>
      <c r="BA12" s="528">
        <f t="shared" si="0"/>
        <v>0</v>
      </c>
      <c r="BB12" s="529">
        <f t="shared" si="1"/>
        <v>0</v>
      </c>
      <c r="BC12" s="529">
        <f t="shared" si="2"/>
        <v>0</v>
      </c>
      <c r="BD12" s="529">
        <f>+X12-[1]INVERSIÓN!EO13</f>
        <v>0</v>
      </c>
      <c r="BE12" s="529">
        <f>+K12-[1]INVERSIÓN!EP13</f>
        <v>0</v>
      </c>
    </row>
    <row r="13" spans="1:57" ht="28.5" customHeight="1" x14ac:dyDescent="0.25">
      <c r="A13" s="740"/>
      <c r="B13" s="605"/>
      <c r="C13" s="605"/>
      <c r="D13" s="530" t="s">
        <v>326</v>
      </c>
      <c r="E13" s="548">
        <f>+[1]INVERSIÓN!$DN$14</f>
        <v>280654765</v>
      </c>
      <c r="F13" s="548">
        <v>280654765</v>
      </c>
      <c r="G13" s="548">
        <v>280654765</v>
      </c>
      <c r="H13" s="548">
        <v>280654765</v>
      </c>
      <c r="I13" s="548">
        <v>280654765</v>
      </c>
      <c r="J13" s="548">
        <v>280654765</v>
      </c>
      <c r="K13" s="548">
        <f>+[1]INVERSIÓN!$EM$14</f>
        <v>280654765</v>
      </c>
      <c r="L13" s="548"/>
      <c r="M13" s="548"/>
      <c r="N13" s="548"/>
      <c r="O13" s="548"/>
      <c r="P13" s="548"/>
      <c r="Q13" s="548"/>
      <c r="R13" s="548"/>
      <c r="S13" s="548"/>
      <c r="T13" s="551">
        <v>82271098</v>
      </c>
      <c r="U13" s="548">
        <v>201896832</v>
      </c>
      <c r="V13" s="548">
        <v>207602666</v>
      </c>
      <c r="W13" s="548">
        <v>252213765</v>
      </c>
      <c r="X13" s="548">
        <f>+[1]INVERSIÓN!$EQ$14</f>
        <v>252213765</v>
      </c>
      <c r="Y13" s="555"/>
      <c r="Z13" s="555"/>
      <c r="AA13" s="555"/>
      <c r="AB13" s="555"/>
      <c r="AC13" s="555"/>
      <c r="AD13" s="555"/>
      <c r="AE13" s="555"/>
      <c r="AF13" s="605"/>
      <c r="AG13" s="605"/>
      <c r="AH13" s="605"/>
      <c r="AI13" s="605"/>
      <c r="AJ13" s="605"/>
      <c r="AK13" s="605"/>
      <c r="AL13" s="605"/>
      <c r="AM13" s="605"/>
      <c r="AN13" s="605"/>
      <c r="AO13" s="605"/>
      <c r="AP13" s="605"/>
      <c r="AQ13" s="605"/>
      <c r="AR13" s="605"/>
      <c r="AS13" s="605"/>
      <c r="AT13" s="605"/>
      <c r="AU13" s="605"/>
      <c r="AV13" s="605"/>
      <c r="AW13" s="605"/>
      <c r="AX13" s="605"/>
      <c r="AY13" s="605"/>
      <c r="BA13" s="528">
        <f t="shared" si="0"/>
        <v>-28441000</v>
      </c>
      <c r="BB13" s="529">
        <f t="shared" si="1"/>
        <v>0</v>
      </c>
      <c r="BC13" s="529">
        <f t="shared" si="2"/>
        <v>-44611099</v>
      </c>
      <c r="BD13" s="529">
        <f>+X13-[1]INVERSIÓN!EO14</f>
        <v>0</v>
      </c>
      <c r="BE13" s="529">
        <f>+K13-[1]INVERSIÓN!EP14</f>
        <v>0</v>
      </c>
    </row>
    <row r="14" spans="1:57" ht="28.5" customHeight="1" x14ac:dyDescent="0.25">
      <c r="A14" s="740"/>
      <c r="B14" s="605"/>
      <c r="C14" s="605"/>
      <c r="D14" s="531" t="s">
        <v>327</v>
      </c>
      <c r="E14" s="545">
        <f>+E10+E12</f>
        <v>4</v>
      </c>
      <c r="F14" s="545">
        <v>4</v>
      </c>
      <c r="G14" s="545">
        <v>4</v>
      </c>
      <c r="H14" s="547">
        <v>4</v>
      </c>
      <c r="I14" s="547">
        <v>4</v>
      </c>
      <c r="J14" s="545">
        <v>4</v>
      </c>
      <c r="K14" s="545">
        <f>+K10+K12</f>
        <v>4</v>
      </c>
      <c r="L14" s="548"/>
      <c r="M14" s="545"/>
      <c r="N14" s="545"/>
      <c r="O14" s="545"/>
      <c r="P14" s="545"/>
      <c r="Q14" s="545"/>
      <c r="R14" s="545"/>
      <c r="S14" s="545"/>
      <c r="T14" s="556">
        <v>0.4</v>
      </c>
      <c r="U14" s="556">
        <v>1</v>
      </c>
      <c r="V14" s="547">
        <v>2</v>
      </c>
      <c r="W14" s="547">
        <v>3</v>
      </c>
      <c r="X14" s="547">
        <f>+X10+X12</f>
        <v>4</v>
      </c>
      <c r="Y14" s="557"/>
      <c r="Z14" s="553"/>
      <c r="AA14" s="553"/>
      <c r="AB14" s="554"/>
      <c r="AC14" s="557"/>
      <c r="AD14" s="558"/>
      <c r="AE14" s="558"/>
      <c r="AF14" s="605"/>
      <c r="AG14" s="605"/>
      <c r="AH14" s="605"/>
      <c r="AI14" s="605"/>
      <c r="AJ14" s="605"/>
      <c r="AK14" s="605"/>
      <c r="AL14" s="605"/>
      <c r="AM14" s="605"/>
      <c r="AN14" s="605"/>
      <c r="AO14" s="605"/>
      <c r="AP14" s="605"/>
      <c r="AQ14" s="605"/>
      <c r="AR14" s="605"/>
      <c r="AS14" s="605"/>
      <c r="AT14" s="605"/>
      <c r="AU14" s="605"/>
      <c r="AV14" s="605"/>
      <c r="AW14" s="605"/>
      <c r="AX14" s="605"/>
      <c r="AY14" s="605"/>
      <c r="BA14" s="528">
        <f t="shared" si="0"/>
        <v>0</v>
      </c>
      <c r="BB14" s="529">
        <f t="shared" si="1"/>
        <v>-1</v>
      </c>
      <c r="BC14" s="529">
        <f t="shared" si="2"/>
        <v>-2</v>
      </c>
      <c r="BD14" s="529">
        <f>+X14-[1]INVERSIÓN!EO15</f>
        <v>0</v>
      </c>
      <c r="BE14" s="529">
        <f>+K14-[1]INVERSIÓN!EP15</f>
        <v>0</v>
      </c>
    </row>
    <row r="15" spans="1:57" ht="28.5" customHeight="1" thickBot="1" x14ac:dyDescent="0.3">
      <c r="A15" s="744"/>
      <c r="B15" s="745"/>
      <c r="C15" s="745"/>
      <c r="D15" s="95" t="s">
        <v>328</v>
      </c>
      <c r="E15" s="548">
        <f>+E11+E13</f>
        <v>2579587765</v>
      </c>
      <c r="F15" s="548">
        <v>2579587765</v>
      </c>
      <c r="G15" s="548">
        <v>2579587765</v>
      </c>
      <c r="H15" s="548">
        <v>2579587765</v>
      </c>
      <c r="I15" s="548">
        <v>2579587765</v>
      </c>
      <c r="J15" s="548">
        <v>2579587765</v>
      </c>
      <c r="K15" s="548">
        <f>+K11+K13</f>
        <v>2579587765</v>
      </c>
      <c r="L15" s="548"/>
      <c r="M15" s="548"/>
      <c r="N15" s="548"/>
      <c r="O15" s="548"/>
      <c r="P15" s="548"/>
      <c r="Q15" s="548"/>
      <c r="R15" s="548"/>
      <c r="S15" s="548"/>
      <c r="T15" s="559">
        <v>275004098</v>
      </c>
      <c r="U15" s="548">
        <v>488127832</v>
      </c>
      <c r="V15" s="548">
        <v>493833666</v>
      </c>
      <c r="W15" s="548">
        <v>808162765</v>
      </c>
      <c r="X15" s="548">
        <f>+X11+X13</f>
        <v>1444004595</v>
      </c>
      <c r="Y15" s="559"/>
      <c r="Z15" s="559"/>
      <c r="AA15" s="559"/>
      <c r="AB15" s="559"/>
      <c r="AC15" s="559"/>
      <c r="AD15" s="559"/>
      <c r="AE15" s="559"/>
      <c r="AF15" s="734"/>
      <c r="AG15" s="734"/>
      <c r="AH15" s="734"/>
      <c r="AI15" s="734"/>
      <c r="AJ15" s="734"/>
      <c r="AK15" s="734"/>
      <c r="AL15" s="734"/>
      <c r="AM15" s="734"/>
      <c r="AN15" s="734"/>
      <c r="AO15" s="734"/>
      <c r="AP15" s="734"/>
      <c r="AQ15" s="734"/>
      <c r="AR15" s="734"/>
      <c r="AS15" s="734"/>
      <c r="AT15" s="734"/>
      <c r="AU15" s="734"/>
      <c r="AV15" s="734"/>
      <c r="AW15" s="734"/>
      <c r="AX15" s="734"/>
      <c r="AY15" s="734"/>
      <c r="BA15" s="528">
        <f t="shared" si="0"/>
        <v>-1135583170</v>
      </c>
      <c r="BB15" s="529">
        <f t="shared" si="1"/>
        <v>-635841830</v>
      </c>
      <c r="BC15" s="529">
        <f t="shared" si="2"/>
        <v>-950170929</v>
      </c>
      <c r="BD15" s="529">
        <f>+X15-[1]INVERSIÓN!EO16</f>
        <v>0</v>
      </c>
      <c r="BE15" s="529">
        <f>+K15-[1]INVERSIÓN!EP16</f>
        <v>0</v>
      </c>
    </row>
    <row r="16" spans="1:57" ht="28.5" customHeight="1" x14ac:dyDescent="0.25">
      <c r="A16" s="739">
        <v>2</v>
      </c>
      <c r="B16" s="741" t="s">
        <v>330</v>
      </c>
      <c r="C16" s="742" t="s">
        <v>408</v>
      </c>
      <c r="D16" s="94" t="s">
        <v>322</v>
      </c>
      <c r="E16" s="543">
        <f>+[1]INVERSIÓN!$DN$17</f>
        <v>2</v>
      </c>
      <c r="F16" s="543">
        <v>2</v>
      </c>
      <c r="G16" s="543">
        <v>2</v>
      </c>
      <c r="H16" s="543">
        <v>2</v>
      </c>
      <c r="I16" s="544">
        <v>2</v>
      </c>
      <c r="J16" s="543">
        <v>2</v>
      </c>
      <c r="K16" s="543">
        <f>+[1]INVERSIÓN!$EM$17</f>
        <v>2</v>
      </c>
      <c r="L16" s="545"/>
      <c r="M16" s="545"/>
      <c r="N16" s="545"/>
      <c r="O16" s="545"/>
      <c r="P16" s="545"/>
      <c r="Q16" s="545"/>
      <c r="R16" s="545"/>
      <c r="S16" s="545"/>
      <c r="T16" s="546">
        <v>0.2</v>
      </c>
      <c r="U16" s="547">
        <v>0.5</v>
      </c>
      <c r="V16" s="547">
        <v>1</v>
      </c>
      <c r="W16" s="547">
        <v>1.5</v>
      </c>
      <c r="X16" s="547">
        <f>+[1]INVERSIÓN!$EQ$17</f>
        <v>2</v>
      </c>
      <c r="Y16" s="546"/>
      <c r="Z16" s="560"/>
      <c r="AA16" s="546"/>
      <c r="AB16" s="546"/>
      <c r="AC16" s="546"/>
      <c r="AD16" s="546"/>
      <c r="AE16" s="546"/>
      <c r="AF16" s="743" t="s">
        <v>910</v>
      </c>
      <c r="AG16" s="743" t="s">
        <v>406</v>
      </c>
      <c r="AH16" s="733" t="s">
        <v>179</v>
      </c>
      <c r="AI16" s="733" t="s">
        <v>179</v>
      </c>
      <c r="AJ16" s="733" t="s">
        <v>179</v>
      </c>
      <c r="AK16" s="733" t="s">
        <v>407</v>
      </c>
      <c r="AL16" s="733" t="s">
        <v>179</v>
      </c>
      <c r="AM16" s="733" t="s">
        <v>179</v>
      </c>
      <c r="AN16" s="735">
        <v>8034649</v>
      </c>
      <c r="AO16" s="737">
        <v>3847592</v>
      </c>
      <c r="AP16" s="738">
        <v>4187057</v>
      </c>
      <c r="AQ16" s="733" t="s">
        <v>179</v>
      </c>
      <c r="AR16" s="733" t="s">
        <v>179</v>
      </c>
      <c r="AS16" s="733" t="s">
        <v>179</v>
      </c>
      <c r="AT16" s="733" t="s">
        <v>179</v>
      </c>
      <c r="AU16" s="733" t="s">
        <v>179</v>
      </c>
      <c r="AV16" s="733" t="s">
        <v>179</v>
      </c>
      <c r="AW16" s="733" t="s">
        <v>179</v>
      </c>
      <c r="AX16" s="735">
        <v>7968095</v>
      </c>
      <c r="AY16" s="736"/>
      <c r="BA16" s="528">
        <f t="shared" si="0"/>
        <v>0</v>
      </c>
      <c r="BB16" s="529">
        <f t="shared" si="1"/>
        <v>-0.5</v>
      </c>
      <c r="BC16" s="529">
        <f t="shared" si="2"/>
        <v>-1</v>
      </c>
      <c r="BD16" s="529">
        <f>+X16-[1]INVERSIÓN!EO17</f>
        <v>0</v>
      </c>
      <c r="BE16" s="529">
        <f>+K16-[1]INVERSIÓN!EP17</f>
        <v>0</v>
      </c>
    </row>
    <row r="17" spans="1:57" ht="28.5" customHeight="1" x14ac:dyDescent="0.25">
      <c r="A17" s="740"/>
      <c r="B17" s="605"/>
      <c r="C17" s="605"/>
      <c r="D17" s="530" t="s">
        <v>323</v>
      </c>
      <c r="E17" s="548">
        <f>+[1]INVERSIÓN!$DN$18</f>
        <v>536822000</v>
      </c>
      <c r="F17" s="548">
        <v>536822000</v>
      </c>
      <c r="G17" s="548">
        <v>536822000</v>
      </c>
      <c r="H17" s="548">
        <v>536822000</v>
      </c>
      <c r="I17" s="548">
        <v>536822000</v>
      </c>
      <c r="J17" s="548">
        <v>536822000</v>
      </c>
      <c r="K17" s="548">
        <f>+[1]INVERSIÓN!$EM$18</f>
        <v>536822000</v>
      </c>
      <c r="L17" s="545"/>
      <c r="M17" s="548"/>
      <c r="N17" s="548"/>
      <c r="O17" s="548"/>
      <c r="P17" s="548"/>
      <c r="Q17" s="548"/>
      <c r="R17" s="548"/>
      <c r="S17" s="548"/>
      <c r="T17" s="551">
        <v>33391000</v>
      </c>
      <c r="U17" s="548">
        <v>117696000</v>
      </c>
      <c r="V17" s="548">
        <v>129726000</v>
      </c>
      <c r="W17" s="548">
        <v>216442000</v>
      </c>
      <c r="X17" s="548">
        <f>+[1]INVERSIÓN!$EQ$18</f>
        <v>234107000</v>
      </c>
      <c r="Y17" s="551"/>
      <c r="Z17" s="551"/>
      <c r="AA17" s="551"/>
      <c r="AB17" s="551"/>
      <c r="AC17" s="551"/>
      <c r="AD17" s="551"/>
      <c r="AE17" s="551"/>
      <c r="AF17" s="605"/>
      <c r="AG17" s="605"/>
      <c r="AH17" s="605"/>
      <c r="AI17" s="605"/>
      <c r="AJ17" s="605"/>
      <c r="AK17" s="605"/>
      <c r="AL17" s="605"/>
      <c r="AM17" s="605"/>
      <c r="AN17" s="605"/>
      <c r="AO17" s="605"/>
      <c r="AP17" s="605"/>
      <c r="AQ17" s="605"/>
      <c r="AR17" s="605"/>
      <c r="AS17" s="605"/>
      <c r="AT17" s="605"/>
      <c r="AU17" s="605"/>
      <c r="AV17" s="605"/>
      <c r="AW17" s="605"/>
      <c r="AX17" s="605"/>
      <c r="AY17" s="605"/>
      <c r="BA17" s="528">
        <f t="shared" si="0"/>
        <v>-302715000</v>
      </c>
      <c r="BB17" s="529">
        <f t="shared" si="1"/>
        <v>-17665000</v>
      </c>
      <c r="BC17" s="529">
        <f t="shared" si="2"/>
        <v>-104381000</v>
      </c>
      <c r="BD17" s="529">
        <f>+X17-[1]INVERSIÓN!EO18</f>
        <v>0</v>
      </c>
      <c r="BE17" s="529">
        <f>+K17-[1]INVERSIÓN!EP18</f>
        <v>0</v>
      </c>
    </row>
    <row r="18" spans="1:57" ht="28.5" customHeight="1" x14ac:dyDescent="0.25">
      <c r="A18" s="740"/>
      <c r="B18" s="605"/>
      <c r="C18" s="605"/>
      <c r="D18" s="531" t="s">
        <v>325</v>
      </c>
      <c r="E18" s="548">
        <f>+[1]INVERSIÓN!$DN$20</f>
        <v>0</v>
      </c>
      <c r="F18" s="548">
        <v>0</v>
      </c>
      <c r="G18" s="548">
        <v>0</v>
      </c>
      <c r="H18" s="548">
        <v>0</v>
      </c>
      <c r="I18" s="548">
        <v>0</v>
      </c>
      <c r="J18" s="548">
        <v>0</v>
      </c>
      <c r="K18" s="548">
        <f>+[1]INVERSIÓN!$EM$20</f>
        <v>0</v>
      </c>
      <c r="L18" s="545"/>
      <c r="M18" s="548"/>
      <c r="N18" s="548"/>
      <c r="O18" s="548"/>
      <c r="P18" s="548"/>
      <c r="Q18" s="548"/>
      <c r="R18" s="548"/>
      <c r="S18" s="548"/>
      <c r="T18" s="561">
        <v>0</v>
      </c>
      <c r="U18" s="548">
        <v>0</v>
      </c>
      <c r="V18" s="548">
        <v>0</v>
      </c>
      <c r="W18" s="548">
        <v>0</v>
      </c>
      <c r="X18" s="548">
        <f>+[1]INVERSIÓN!$EQ$20</f>
        <v>0</v>
      </c>
      <c r="Y18" s="554"/>
      <c r="Z18" s="553"/>
      <c r="AA18" s="553"/>
      <c r="AB18" s="554"/>
      <c r="AC18" s="554"/>
      <c r="AD18" s="554"/>
      <c r="AE18" s="554"/>
      <c r="AF18" s="605"/>
      <c r="AG18" s="605"/>
      <c r="AH18" s="605"/>
      <c r="AI18" s="605"/>
      <c r="AJ18" s="605"/>
      <c r="AK18" s="605"/>
      <c r="AL18" s="605"/>
      <c r="AM18" s="605"/>
      <c r="AN18" s="605"/>
      <c r="AO18" s="605"/>
      <c r="AP18" s="605"/>
      <c r="AQ18" s="605"/>
      <c r="AR18" s="605"/>
      <c r="AS18" s="605"/>
      <c r="AT18" s="605"/>
      <c r="AU18" s="605"/>
      <c r="AV18" s="605"/>
      <c r="AW18" s="605"/>
      <c r="AX18" s="605"/>
      <c r="AY18" s="605"/>
      <c r="BA18" s="528">
        <f t="shared" si="0"/>
        <v>0</v>
      </c>
      <c r="BB18" s="529">
        <f t="shared" si="1"/>
        <v>0</v>
      </c>
      <c r="BC18" s="529">
        <f t="shared" si="2"/>
        <v>0</v>
      </c>
      <c r="BD18" s="529">
        <f>+X18-[1]INVERSIÓN!EO20</f>
        <v>0</v>
      </c>
      <c r="BE18" s="529">
        <f>+K18-[1]INVERSIÓN!EP20</f>
        <v>0</v>
      </c>
    </row>
    <row r="19" spans="1:57" ht="28.5" customHeight="1" x14ac:dyDescent="0.25">
      <c r="A19" s="740"/>
      <c r="B19" s="605"/>
      <c r="C19" s="605"/>
      <c r="D19" s="530" t="s">
        <v>326</v>
      </c>
      <c r="E19" s="548">
        <f>+[1]INVERSIÓN!$DN$21</f>
        <v>58046234</v>
      </c>
      <c r="F19" s="548">
        <v>58046234</v>
      </c>
      <c r="G19" s="548">
        <v>58046234</v>
      </c>
      <c r="H19" s="548">
        <v>58046234</v>
      </c>
      <c r="I19" s="548">
        <v>58046234</v>
      </c>
      <c r="J19" s="548">
        <v>58046234</v>
      </c>
      <c r="K19" s="548">
        <f>+[1]INVERSIÓN!$EM$21</f>
        <v>58046234</v>
      </c>
      <c r="L19" s="545"/>
      <c r="M19" s="548"/>
      <c r="N19" s="548"/>
      <c r="O19" s="548"/>
      <c r="P19" s="548"/>
      <c r="Q19" s="548"/>
      <c r="R19" s="548"/>
      <c r="S19" s="548"/>
      <c r="T19" s="555">
        <v>25159000</v>
      </c>
      <c r="U19" s="548">
        <v>58046234</v>
      </c>
      <c r="V19" s="548">
        <v>58046234</v>
      </c>
      <c r="W19" s="548">
        <v>58046234</v>
      </c>
      <c r="X19" s="548">
        <f>+[1]INVERSIÓN!$EQ$21</f>
        <v>58046234</v>
      </c>
      <c r="Y19" s="555"/>
      <c r="Z19" s="555"/>
      <c r="AA19" s="555"/>
      <c r="AB19" s="555"/>
      <c r="AC19" s="555"/>
      <c r="AD19" s="555"/>
      <c r="AE19" s="555"/>
      <c r="AF19" s="605"/>
      <c r="AG19" s="605"/>
      <c r="AH19" s="605"/>
      <c r="AI19" s="605"/>
      <c r="AJ19" s="605"/>
      <c r="AK19" s="605"/>
      <c r="AL19" s="605"/>
      <c r="AM19" s="605"/>
      <c r="AN19" s="605"/>
      <c r="AO19" s="605"/>
      <c r="AP19" s="605"/>
      <c r="AQ19" s="605"/>
      <c r="AR19" s="605"/>
      <c r="AS19" s="605"/>
      <c r="AT19" s="605"/>
      <c r="AU19" s="605"/>
      <c r="AV19" s="605"/>
      <c r="AW19" s="605"/>
      <c r="AX19" s="605"/>
      <c r="AY19" s="605"/>
      <c r="BA19" s="528">
        <f t="shared" si="0"/>
        <v>0</v>
      </c>
      <c r="BB19" s="529">
        <f t="shared" si="1"/>
        <v>0</v>
      </c>
      <c r="BC19" s="529">
        <f t="shared" si="2"/>
        <v>0</v>
      </c>
      <c r="BD19" s="529">
        <f>+X19-[1]INVERSIÓN!EO21</f>
        <v>0</v>
      </c>
      <c r="BE19" s="529">
        <f>+K19-[1]INVERSIÓN!EP21</f>
        <v>0</v>
      </c>
    </row>
    <row r="20" spans="1:57" ht="28.5" customHeight="1" x14ac:dyDescent="0.25">
      <c r="A20" s="740"/>
      <c r="B20" s="605"/>
      <c r="C20" s="605"/>
      <c r="D20" s="531" t="s">
        <v>327</v>
      </c>
      <c r="E20" s="543">
        <f>+E16+E18</f>
        <v>2</v>
      </c>
      <c r="F20" s="543">
        <v>2</v>
      </c>
      <c r="G20" s="543">
        <v>2</v>
      </c>
      <c r="H20" s="544">
        <v>2</v>
      </c>
      <c r="I20" s="544">
        <v>2</v>
      </c>
      <c r="J20" s="543">
        <v>2</v>
      </c>
      <c r="K20" s="543">
        <f>+K16+K18</f>
        <v>2</v>
      </c>
      <c r="L20" s="545"/>
      <c r="M20" s="545"/>
      <c r="N20" s="545"/>
      <c r="O20" s="545"/>
      <c r="P20" s="545"/>
      <c r="Q20" s="545"/>
      <c r="R20" s="545"/>
      <c r="S20" s="545"/>
      <c r="T20" s="558">
        <v>0.2</v>
      </c>
      <c r="U20" s="547">
        <v>0.5</v>
      </c>
      <c r="V20" s="547">
        <v>1.5</v>
      </c>
      <c r="W20" s="547">
        <v>1.5</v>
      </c>
      <c r="X20" s="547">
        <f>[1]INVERSIÓN!EQ22</f>
        <v>2</v>
      </c>
      <c r="Y20" s="557"/>
      <c r="Z20" s="553"/>
      <c r="AA20" s="553"/>
      <c r="AB20" s="554"/>
      <c r="AC20" s="557"/>
      <c r="AD20" s="557"/>
      <c r="AE20" s="557"/>
      <c r="AF20" s="605"/>
      <c r="AG20" s="605"/>
      <c r="AH20" s="605"/>
      <c r="AI20" s="605"/>
      <c r="AJ20" s="605"/>
      <c r="AK20" s="605"/>
      <c r="AL20" s="605"/>
      <c r="AM20" s="605"/>
      <c r="AN20" s="605"/>
      <c r="AO20" s="605"/>
      <c r="AP20" s="605"/>
      <c r="AQ20" s="605"/>
      <c r="AR20" s="605"/>
      <c r="AS20" s="605"/>
      <c r="AT20" s="605"/>
      <c r="AU20" s="605"/>
      <c r="AV20" s="605"/>
      <c r="AW20" s="605"/>
      <c r="AX20" s="605"/>
      <c r="AY20" s="605"/>
      <c r="BA20" s="528">
        <f t="shared" si="0"/>
        <v>0</v>
      </c>
      <c r="BB20" s="529">
        <f t="shared" si="1"/>
        <v>-0.5</v>
      </c>
      <c r="BC20" s="529">
        <f t="shared" si="2"/>
        <v>-0.5</v>
      </c>
      <c r="BD20" s="529">
        <f>+X20-[1]INVERSIÓN!EO22</f>
        <v>0</v>
      </c>
      <c r="BE20" s="529">
        <f>+K20-[1]INVERSIÓN!EP22</f>
        <v>0</v>
      </c>
    </row>
    <row r="21" spans="1:57" ht="28.5" customHeight="1" thickBot="1" x14ac:dyDescent="0.3">
      <c r="A21" s="744"/>
      <c r="B21" s="745"/>
      <c r="C21" s="745"/>
      <c r="D21" s="95" t="s">
        <v>328</v>
      </c>
      <c r="E21" s="548">
        <f>+E17+E19</f>
        <v>594868234</v>
      </c>
      <c r="F21" s="548">
        <v>594868234</v>
      </c>
      <c r="G21" s="548">
        <v>594868234</v>
      </c>
      <c r="H21" s="548">
        <v>594868234</v>
      </c>
      <c r="I21" s="548">
        <v>594868234</v>
      </c>
      <c r="J21" s="548">
        <v>594868234</v>
      </c>
      <c r="K21" s="548">
        <f>+K17+K19</f>
        <v>594868234</v>
      </c>
      <c r="L21" s="548"/>
      <c r="M21" s="548"/>
      <c r="N21" s="548"/>
      <c r="O21" s="548"/>
      <c r="P21" s="548"/>
      <c r="Q21" s="548"/>
      <c r="R21" s="548"/>
      <c r="S21" s="548"/>
      <c r="T21" s="555">
        <v>58550000</v>
      </c>
      <c r="U21" s="545">
        <v>175742234</v>
      </c>
      <c r="V21" s="548">
        <v>187772234</v>
      </c>
      <c r="W21" s="548">
        <v>274488234</v>
      </c>
      <c r="X21" s="548">
        <f>+X17+X19</f>
        <v>292153234</v>
      </c>
      <c r="Y21" s="555"/>
      <c r="Z21" s="555"/>
      <c r="AA21" s="555"/>
      <c r="AB21" s="555"/>
      <c r="AC21" s="555"/>
      <c r="AD21" s="555"/>
      <c r="AE21" s="555"/>
      <c r="AF21" s="734"/>
      <c r="AG21" s="734"/>
      <c r="AH21" s="734"/>
      <c r="AI21" s="734"/>
      <c r="AJ21" s="734"/>
      <c r="AK21" s="734"/>
      <c r="AL21" s="734"/>
      <c r="AM21" s="734"/>
      <c r="AN21" s="734"/>
      <c r="AO21" s="734"/>
      <c r="AP21" s="734"/>
      <c r="AQ21" s="734"/>
      <c r="AR21" s="734"/>
      <c r="AS21" s="734"/>
      <c r="AT21" s="734"/>
      <c r="AU21" s="734"/>
      <c r="AV21" s="734"/>
      <c r="AW21" s="734"/>
      <c r="AX21" s="734"/>
      <c r="AY21" s="734"/>
      <c r="BA21" s="528">
        <f t="shared" si="0"/>
        <v>-302715000</v>
      </c>
      <c r="BB21" s="529">
        <f t="shared" si="1"/>
        <v>-17665000</v>
      </c>
      <c r="BC21" s="529">
        <f t="shared" si="2"/>
        <v>-104381000</v>
      </c>
      <c r="BD21" s="529">
        <f>+X22-[1]INVERSIÓN!EO24</f>
        <v>0</v>
      </c>
      <c r="BE21" s="529">
        <f>+K22-[1]INVERSIÓN!EP24</f>
        <v>0</v>
      </c>
    </row>
    <row r="22" spans="1:57" ht="28.5" customHeight="1" x14ac:dyDescent="0.25">
      <c r="A22" s="739">
        <v>3</v>
      </c>
      <c r="B22" s="741" t="s">
        <v>332</v>
      </c>
      <c r="C22" s="742" t="s">
        <v>409</v>
      </c>
      <c r="D22" s="94" t="s">
        <v>322</v>
      </c>
      <c r="E22" s="543">
        <f>+[1]INVERSIÓN!$DN$24</f>
        <v>2</v>
      </c>
      <c r="F22" s="543">
        <v>2</v>
      </c>
      <c r="G22" s="543">
        <v>2</v>
      </c>
      <c r="H22" s="543">
        <v>2</v>
      </c>
      <c r="I22" s="544">
        <v>2</v>
      </c>
      <c r="J22" s="543">
        <v>2</v>
      </c>
      <c r="K22" s="543">
        <f>+[1]INVERSIÓN!$EM$24</f>
        <v>2</v>
      </c>
      <c r="L22" s="545"/>
      <c r="M22" s="545"/>
      <c r="N22" s="545"/>
      <c r="O22" s="545"/>
      <c r="P22" s="545"/>
      <c r="Q22" s="545"/>
      <c r="R22" s="545"/>
      <c r="S22" s="545"/>
      <c r="T22" s="546">
        <v>0.17</v>
      </c>
      <c r="U22" s="547">
        <v>0.47</v>
      </c>
      <c r="V22" s="547">
        <v>0.91999999999999993</v>
      </c>
      <c r="W22" s="547">
        <v>1.4</v>
      </c>
      <c r="X22" s="547">
        <f>+[1]INVERSIÓN!$EQ$24</f>
        <v>2</v>
      </c>
      <c r="Y22" s="546"/>
      <c r="Z22" s="560"/>
      <c r="AA22" s="546"/>
      <c r="AB22" s="546"/>
      <c r="AC22" s="546"/>
      <c r="AD22" s="546"/>
      <c r="AE22" s="546"/>
      <c r="AF22" s="743" t="s">
        <v>910</v>
      </c>
      <c r="AG22" s="743" t="s">
        <v>406</v>
      </c>
      <c r="AH22" s="733" t="s">
        <v>179</v>
      </c>
      <c r="AI22" s="733" t="s">
        <v>179</v>
      </c>
      <c r="AJ22" s="733" t="s">
        <v>179</v>
      </c>
      <c r="AK22" s="733" t="s">
        <v>407</v>
      </c>
      <c r="AL22" s="733" t="s">
        <v>179</v>
      </c>
      <c r="AM22" s="733" t="s">
        <v>179</v>
      </c>
      <c r="AN22" s="735">
        <v>8034649</v>
      </c>
      <c r="AO22" s="737">
        <v>3847592</v>
      </c>
      <c r="AP22" s="738">
        <v>4187057</v>
      </c>
      <c r="AQ22" s="733" t="s">
        <v>179</v>
      </c>
      <c r="AR22" s="733" t="s">
        <v>179</v>
      </c>
      <c r="AS22" s="733" t="s">
        <v>179</v>
      </c>
      <c r="AT22" s="733" t="s">
        <v>179</v>
      </c>
      <c r="AU22" s="733" t="s">
        <v>179</v>
      </c>
      <c r="AV22" s="733" t="s">
        <v>179</v>
      </c>
      <c r="AW22" s="733" t="s">
        <v>179</v>
      </c>
      <c r="AX22" s="735">
        <v>7968095</v>
      </c>
      <c r="AY22" s="736"/>
      <c r="BA22" s="528">
        <f t="shared" si="0"/>
        <v>0</v>
      </c>
      <c r="BB22" s="529">
        <f t="shared" si="1"/>
        <v>-0.60000000000000009</v>
      </c>
      <c r="BC22" s="529">
        <f t="shared" si="2"/>
        <v>-1.08</v>
      </c>
      <c r="BD22" s="529">
        <f>+X22-[1]INVERSIÓN!EO24</f>
        <v>0</v>
      </c>
      <c r="BE22" s="529">
        <f>+K22-[1]INVERSIÓN!EP24</f>
        <v>0</v>
      </c>
    </row>
    <row r="23" spans="1:57" ht="28.5" customHeight="1" x14ac:dyDescent="0.25">
      <c r="A23" s="740"/>
      <c r="B23" s="605"/>
      <c r="C23" s="605"/>
      <c r="D23" s="530" t="s">
        <v>323</v>
      </c>
      <c r="E23" s="548">
        <f>+[1]INVERSIÓN!$DN$25</f>
        <v>184052000</v>
      </c>
      <c r="F23" s="548">
        <v>184052000</v>
      </c>
      <c r="G23" s="548">
        <v>184052000</v>
      </c>
      <c r="H23" s="548">
        <v>184052000</v>
      </c>
      <c r="I23" s="548">
        <v>184052000</v>
      </c>
      <c r="J23" s="548">
        <v>184052000</v>
      </c>
      <c r="K23" s="548">
        <f>+[1]INVERSIÓN!$EM$25</f>
        <v>184052000</v>
      </c>
      <c r="L23" s="545"/>
      <c r="M23" s="548"/>
      <c r="N23" s="548"/>
      <c r="O23" s="548"/>
      <c r="P23" s="548"/>
      <c r="Q23" s="548"/>
      <c r="R23" s="548"/>
      <c r="S23" s="548"/>
      <c r="T23" s="551">
        <v>30360000</v>
      </c>
      <c r="U23" s="548">
        <v>30360000</v>
      </c>
      <c r="V23" s="548">
        <v>30360000</v>
      </c>
      <c r="W23" s="548">
        <v>105547000</v>
      </c>
      <c r="X23" s="548">
        <f>+[1]INVERSIÓN!$EQ$25</f>
        <v>105547000</v>
      </c>
      <c r="Y23" s="551"/>
      <c r="Z23" s="551"/>
      <c r="AA23" s="551"/>
      <c r="AB23" s="551"/>
      <c r="AC23" s="551"/>
      <c r="AD23" s="551"/>
      <c r="AE23" s="551"/>
      <c r="AF23" s="605"/>
      <c r="AG23" s="605"/>
      <c r="AH23" s="605"/>
      <c r="AI23" s="605"/>
      <c r="AJ23" s="605"/>
      <c r="AK23" s="605"/>
      <c r="AL23" s="605"/>
      <c r="AM23" s="605"/>
      <c r="AN23" s="605"/>
      <c r="AO23" s="605"/>
      <c r="AP23" s="605"/>
      <c r="AQ23" s="605"/>
      <c r="AR23" s="605"/>
      <c r="AS23" s="605"/>
      <c r="AT23" s="605"/>
      <c r="AU23" s="605"/>
      <c r="AV23" s="605"/>
      <c r="AW23" s="605"/>
      <c r="AX23" s="605"/>
      <c r="AY23" s="605"/>
      <c r="BA23" s="528">
        <f t="shared" si="0"/>
        <v>-78505000</v>
      </c>
      <c r="BB23" s="529">
        <f t="shared" si="1"/>
        <v>0</v>
      </c>
      <c r="BC23" s="529">
        <f t="shared" si="2"/>
        <v>-75187000</v>
      </c>
      <c r="BD23" s="529">
        <f>+X23-[1]INVERSIÓN!EO25</f>
        <v>0</v>
      </c>
      <c r="BE23" s="529">
        <f>+K23-[1]INVERSIÓN!EP25</f>
        <v>0</v>
      </c>
    </row>
    <row r="24" spans="1:57" ht="28.5" customHeight="1" x14ac:dyDescent="0.25">
      <c r="A24" s="740"/>
      <c r="B24" s="605"/>
      <c r="C24" s="605"/>
      <c r="D24" s="531" t="s">
        <v>325</v>
      </c>
      <c r="E24" s="562">
        <f>+[1]INVERSIÓN!$DN$27</f>
        <v>0</v>
      </c>
      <c r="F24" s="562">
        <v>0</v>
      </c>
      <c r="G24" s="562">
        <v>0</v>
      </c>
      <c r="H24" s="562">
        <v>0</v>
      </c>
      <c r="I24" s="562">
        <v>0</v>
      </c>
      <c r="J24" s="562">
        <v>0</v>
      </c>
      <c r="K24" s="562">
        <f>+[1]INVERSIÓN!$EM$27</f>
        <v>0</v>
      </c>
      <c r="L24" s="563"/>
      <c r="M24" s="562"/>
      <c r="N24" s="562"/>
      <c r="O24" s="562"/>
      <c r="P24" s="562"/>
      <c r="Q24" s="562"/>
      <c r="R24" s="562"/>
      <c r="S24" s="562"/>
      <c r="T24" s="561">
        <v>0</v>
      </c>
      <c r="U24" s="562">
        <v>0</v>
      </c>
      <c r="V24" s="562">
        <v>0</v>
      </c>
      <c r="W24" s="562">
        <v>0</v>
      </c>
      <c r="X24" s="562">
        <f>+[1]INVERSIÓN!$EQ$27</f>
        <v>0</v>
      </c>
      <c r="Y24" s="554"/>
      <c r="Z24" s="561"/>
      <c r="AA24" s="561"/>
      <c r="AB24" s="554"/>
      <c r="AC24" s="554"/>
      <c r="AD24" s="554"/>
      <c r="AE24" s="554"/>
      <c r="AF24" s="605"/>
      <c r="AG24" s="605"/>
      <c r="AH24" s="605"/>
      <c r="AI24" s="605"/>
      <c r="AJ24" s="605"/>
      <c r="AK24" s="605"/>
      <c r="AL24" s="605"/>
      <c r="AM24" s="605"/>
      <c r="AN24" s="605"/>
      <c r="AO24" s="605"/>
      <c r="AP24" s="605"/>
      <c r="AQ24" s="605"/>
      <c r="AR24" s="605"/>
      <c r="AS24" s="605"/>
      <c r="AT24" s="605"/>
      <c r="AU24" s="605"/>
      <c r="AV24" s="605"/>
      <c r="AW24" s="605"/>
      <c r="AX24" s="605"/>
      <c r="AY24" s="605"/>
      <c r="BA24" s="528">
        <f t="shared" si="0"/>
        <v>0</v>
      </c>
      <c r="BB24" s="529">
        <f t="shared" si="1"/>
        <v>0</v>
      </c>
      <c r="BC24" s="529">
        <f t="shared" si="2"/>
        <v>0</v>
      </c>
      <c r="BD24" s="529">
        <f>+X24-[1]INVERSIÓN!EO27</f>
        <v>0</v>
      </c>
      <c r="BE24" s="529">
        <f>+K24-[1]INVERSIÓN!EP27</f>
        <v>0</v>
      </c>
    </row>
    <row r="25" spans="1:57" ht="28.5" customHeight="1" x14ac:dyDescent="0.25">
      <c r="A25" s="740"/>
      <c r="B25" s="605"/>
      <c r="C25" s="605"/>
      <c r="D25" s="530" t="s">
        <v>326</v>
      </c>
      <c r="E25" s="548">
        <f>+[1]INVERSIÓN!$DN$28</f>
        <v>17710000</v>
      </c>
      <c r="F25" s="548">
        <v>17710000</v>
      </c>
      <c r="G25" s="548">
        <v>17710000</v>
      </c>
      <c r="H25" s="548">
        <v>17710000</v>
      </c>
      <c r="I25" s="548">
        <v>17710000</v>
      </c>
      <c r="J25" s="548">
        <v>17710000</v>
      </c>
      <c r="K25" s="548">
        <f>+[1]INVERSIÓN!$EM$28</f>
        <v>17710000</v>
      </c>
      <c r="L25" s="550"/>
      <c r="M25" s="548"/>
      <c r="N25" s="548"/>
      <c r="O25" s="548"/>
      <c r="P25" s="548"/>
      <c r="Q25" s="548"/>
      <c r="R25" s="548"/>
      <c r="S25" s="548"/>
      <c r="T25" s="551">
        <v>7590000</v>
      </c>
      <c r="U25" s="548">
        <v>17710000</v>
      </c>
      <c r="V25" s="548">
        <v>17710000</v>
      </c>
      <c r="W25" s="548">
        <v>17710000</v>
      </c>
      <c r="X25" s="548">
        <f>+[1]INVERSIÓN!$EQ$28</f>
        <v>17710000</v>
      </c>
      <c r="Y25" s="555"/>
      <c r="Z25" s="555"/>
      <c r="AA25" s="555"/>
      <c r="AB25" s="555"/>
      <c r="AC25" s="555"/>
      <c r="AD25" s="555"/>
      <c r="AE25" s="555"/>
      <c r="AF25" s="605"/>
      <c r="AG25" s="605"/>
      <c r="AH25" s="605"/>
      <c r="AI25" s="605"/>
      <c r="AJ25" s="605"/>
      <c r="AK25" s="605"/>
      <c r="AL25" s="605"/>
      <c r="AM25" s="605"/>
      <c r="AN25" s="605"/>
      <c r="AO25" s="605"/>
      <c r="AP25" s="605"/>
      <c r="AQ25" s="605"/>
      <c r="AR25" s="605"/>
      <c r="AS25" s="605"/>
      <c r="AT25" s="605"/>
      <c r="AU25" s="605"/>
      <c r="AV25" s="605"/>
      <c r="AW25" s="605"/>
      <c r="AX25" s="605"/>
      <c r="AY25" s="605"/>
      <c r="BA25" s="528">
        <f t="shared" si="0"/>
        <v>0</v>
      </c>
      <c r="BB25" s="529">
        <f t="shared" si="1"/>
        <v>0</v>
      </c>
      <c r="BC25" s="529">
        <f t="shared" si="2"/>
        <v>0</v>
      </c>
      <c r="BD25" s="529">
        <f>+X25-[1]INVERSIÓN!EO28</f>
        <v>0</v>
      </c>
      <c r="BE25" s="529">
        <f>+K25-[1]INVERSIÓN!EP28</f>
        <v>0</v>
      </c>
    </row>
    <row r="26" spans="1:57" ht="28.5" customHeight="1" x14ac:dyDescent="0.25">
      <c r="A26" s="740"/>
      <c r="B26" s="605"/>
      <c r="C26" s="605"/>
      <c r="D26" s="531" t="s">
        <v>327</v>
      </c>
      <c r="E26" s="545">
        <f>+E22+E24</f>
        <v>2</v>
      </c>
      <c r="F26" s="545">
        <v>2</v>
      </c>
      <c r="G26" s="545">
        <v>2</v>
      </c>
      <c r="H26" s="547">
        <v>2</v>
      </c>
      <c r="I26" s="547">
        <v>2</v>
      </c>
      <c r="J26" s="545">
        <v>2</v>
      </c>
      <c r="K26" s="545">
        <f>+K22+K24</f>
        <v>2</v>
      </c>
      <c r="L26" s="545"/>
      <c r="M26" s="545"/>
      <c r="N26" s="545"/>
      <c r="O26" s="545"/>
      <c r="P26" s="545"/>
      <c r="Q26" s="545"/>
      <c r="R26" s="545"/>
      <c r="S26" s="545"/>
      <c r="T26" s="558">
        <v>0.17</v>
      </c>
      <c r="U26" s="547">
        <v>0.47</v>
      </c>
      <c r="V26" s="547">
        <v>0.91999999999999993</v>
      </c>
      <c r="W26" s="547">
        <v>1.4</v>
      </c>
      <c r="X26" s="547">
        <f>+X22+X24</f>
        <v>2</v>
      </c>
      <c r="Y26" s="557"/>
      <c r="Z26" s="558"/>
      <c r="AA26" s="558"/>
      <c r="AB26" s="557"/>
      <c r="AC26" s="557"/>
      <c r="AD26" s="557"/>
      <c r="AE26" s="557"/>
      <c r="AF26" s="605"/>
      <c r="AG26" s="605"/>
      <c r="AH26" s="605"/>
      <c r="AI26" s="605"/>
      <c r="AJ26" s="605"/>
      <c r="AK26" s="605"/>
      <c r="AL26" s="605"/>
      <c r="AM26" s="605"/>
      <c r="AN26" s="605"/>
      <c r="AO26" s="605"/>
      <c r="AP26" s="605"/>
      <c r="AQ26" s="605"/>
      <c r="AR26" s="605"/>
      <c r="AS26" s="605"/>
      <c r="AT26" s="605"/>
      <c r="AU26" s="605"/>
      <c r="AV26" s="605"/>
      <c r="AW26" s="605"/>
      <c r="AX26" s="605"/>
      <c r="AY26" s="605"/>
      <c r="BA26" s="528">
        <f t="shared" si="0"/>
        <v>0</v>
      </c>
      <c r="BB26" s="529">
        <f t="shared" si="1"/>
        <v>-0.60000000000000009</v>
      </c>
      <c r="BC26" s="529">
        <f t="shared" si="2"/>
        <v>-1.08</v>
      </c>
      <c r="BD26" s="529">
        <f>+X26-[1]INVERSIÓN!EO29</f>
        <v>0</v>
      </c>
      <c r="BE26" s="529">
        <f>+K26-[1]INVERSIÓN!EP29</f>
        <v>0</v>
      </c>
    </row>
    <row r="27" spans="1:57" ht="28.5" customHeight="1" thickBot="1" x14ac:dyDescent="0.3">
      <c r="A27" s="744"/>
      <c r="B27" s="745"/>
      <c r="C27" s="745"/>
      <c r="D27" s="95" t="s">
        <v>328</v>
      </c>
      <c r="E27" s="548">
        <f>+E23+E25</f>
        <v>201762000</v>
      </c>
      <c r="F27" s="548">
        <v>201762000</v>
      </c>
      <c r="G27" s="548">
        <v>201762000</v>
      </c>
      <c r="H27" s="548">
        <v>201762000</v>
      </c>
      <c r="I27" s="548">
        <v>201762000</v>
      </c>
      <c r="J27" s="548">
        <v>201762000</v>
      </c>
      <c r="K27" s="548">
        <f>+K23+K25</f>
        <v>201762000</v>
      </c>
      <c r="L27" s="548"/>
      <c r="M27" s="548"/>
      <c r="N27" s="548"/>
      <c r="O27" s="548"/>
      <c r="P27" s="548"/>
      <c r="Q27" s="548"/>
      <c r="R27" s="548"/>
      <c r="S27" s="548"/>
      <c r="T27" s="555">
        <v>37950000</v>
      </c>
      <c r="U27" s="555">
        <v>48070000</v>
      </c>
      <c r="V27" s="548">
        <v>48070000</v>
      </c>
      <c r="W27" s="548">
        <v>123257000</v>
      </c>
      <c r="X27" s="548">
        <f>+X23+X25</f>
        <v>123257000</v>
      </c>
      <c r="Y27" s="555"/>
      <c r="Z27" s="555"/>
      <c r="AA27" s="555"/>
      <c r="AB27" s="555"/>
      <c r="AC27" s="555"/>
      <c r="AD27" s="555"/>
      <c r="AE27" s="555"/>
      <c r="AF27" s="734"/>
      <c r="AG27" s="734"/>
      <c r="AH27" s="734"/>
      <c r="AI27" s="734"/>
      <c r="AJ27" s="734"/>
      <c r="AK27" s="734"/>
      <c r="AL27" s="734"/>
      <c r="AM27" s="734"/>
      <c r="AN27" s="734"/>
      <c r="AO27" s="734"/>
      <c r="AP27" s="734"/>
      <c r="AQ27" s="734"/>
      <c r="AR27" s="734"/>
      <c r="AS27" s="734"/>
      <c r="AT27" s="734"/>
      <c r="AU27" s="734"/>
      <c r="AV27" s="734"/>
      <c r="AW27" s="734"/>
      <c r="AX27" s="734"/>
      <c r="AY27" s="734"/>
      <c r="BA27" s="528">
        <f t="shared" si="0"/>
        <v>-78505000</v>
      </c>
      <c r="BB27" s="529">
        <f t="shared" si="1"/>
        <v>0</v>
      </c>
      <c r="BC27" s="529">
        <f t="shared" si="2"/>
        <v>-75187000</v>
      </c>
      <c r="BD27" s="529">
        <f>+X27-[1]INVERSIÓN!EO30</f>
        <v>0</v>
      </c>
      <c r="BE27" s="529">
        <f>+K27-[1]INVERSIÓN!EP30</f>
        <v>0</v>
      </c>
    </row>
    <row r="28" spans="1:57" ht="28.5" customHeight="1" x14ac:dyDescent="0.25">
      <c r="A28" s="739">
        <v>4</v>
      </c>
      <c r="B28" s="741" t="s">
        <v>334</v>
      </c>
      <c r="C28" s="742" t="s">
        <v>410</v>
      </c>
      <c r="D28" s="94" t="s">
        <v>322</v>
      </c>
      <c r="E28" s="564">
        <f>+[1]INVERSIÓN!$DN$31</f>
        <v>5.4300000000000001E-2</v>
      </c>
      <c r="F28" s="564">
        <v>5.4300000000000001E-2</v>
      </c>
      <c r="G28" s="564">
        <v>5.4300000000000001E-2</v>
      </c>
      <c r="H28" s="564">
        <v>5.4300000000000001E-2</v>
      </c>
      <c r="I28" s="565">
        <v>5.4300000000000001E-2</v>
      </c>
      <c r="J28" s="564">
        <v>5.4300000000000001E-2</v>
      </c>
      <c r="K28" s="564">
        <f>+[1]INVERSIÓN!$EM$31</f>
        <v>5.4300000000000001E-2</v>
      </c>
      <c r="L28" s="564"/>
      <c r="M28" s="564"/>
      <c r="N28" s="564"/>
      <c r="O28" s="564"/>
      <c r="P28" s="564"/>
      <c r="Q28" s="564"/>
      <c r="R28" s="564"/>
      <c r="S28" s="564"/>
      <c r="T28" s="566">
        <v>1.0800000000000001E-2</v>
      </c>
      <c r="U28" s="565">
        <v>2.1600000000000001E-2</v>
      </c>
      <c r="V28" s="565">
        <v>3.2500000000000001E-2</v>
      </c>
      <c r="W28" s="565">
        <v>4.3400000000000001E-2</v>
      </c>
      <c r="X28" s="565">
        <f>+[1]INVERSIÓN!$EQ$31</f>
        <v>5.4300000000000001E-2</v>
      </c>
      <c r="Y28" s="566"/>
      <c r="Z28" s="567"/>
      <c r="AA28" s="566"/>
      <c r="AB28" s="566"/>
      <c r="AC28" s="566"/>
      <c r="AD28" s="566"/>
      <c r="AE28" s="566"/>
      <c r="AF28" s="743" t="s">
        <v>910</v>
      </c>
      <c r="AG28" s="743" t="s">
        <v>406</v>
      </c>
      <c r="AH28" s="733" t="s">
        <v>179</v>
      </c>
      <c r="AI28" s="733" t="s">
        <v>179</v>
      </c>
      <c r="AJ28" s="733" t="s">
        <v>179</v>
      </c>
      <c r="AK28" s="733" t="s">
        <v>407</v>
      </c>
      <c r="AL28" s="733" t="s">
        <v>179</v>
      </c>
      <c r="AM28" s="733" t="s">
        <v>179</v>
      </c>
      <c r="AN28" s="735">
        <v>8034649</v>
      </c>
      <c r="AO28" s="737">
        <v>3847592</v>
      </c>
      <c r="AP28" s="738">
        <v>4187057</v>
      </c>
      <c r="AQ28" s="733" t="s">
        <v>179</v>
      </c>
      <c r="AR28" s="733" t="s">
        <v>179</v>
      </c>
      <c r="AS28" s="733" t="s">
        <v>179</v>
      </c>
      <c r="AT28" s="733" t="s">
        <v>179</v>
      </c>
      <c r="AU28" s="733" t="s">
        <v>179</v>
      </c>
      <c r="AV28" s="733" t="s">
        <v>179</v>
      </c>
      <c r="AW28" s="733" t="s">
        <v>179</v>
      </c>
      <c r="AX28" s="735">
        <v>7968095</v>
      </c>
      <c r="AY28" s="736"/>
      <c r="BA28" s="528">
        <f t="shared" si="0"/>
        <v>0</v>
      </c>
      <c r="BB28" s="529">
        <f t="shared" si="1"/>
        <v>-1.09E-2</v>
      </c>
      <c r="BC28" s="529">
        <f t="shared" si="2"/>
        <v>-2.18E-2</v>
      </c>
      <c r="BD28" s="529">
        <f>+X28-[1]INVERSIÓN!EO31</f>
        <v>0</v>
      </c>
      <c r="BE28" s="529">
        <f>+K28-[1]INVERSIÓN!EP31</f>
        <v>0</v>
      </c>
    </row>
    <row r="29" spans="1:57" ht="28.5" customHeight="1" x14ac:dyDescent="0.25">
      <c r="A29" s="740"/>
      <c r="B29" s="605"/>
      <c r="C29" s="605"/>
      <c r="D29" s="530" t="s">
        <v>323</v>
      </c>
      <c r="E29" s="548">
        <f>+[1]INVERSIÓN!$DN$32</f>
        <v>4214372000</v>
      </c>
      <c r="F29" s="548">
        <v>4214372000</v>
      </c>
      <c r="G29" s="548">
        <v>4214372000</v>
      </c>
      <c r="H29" s="548">
        <v>4214372000</v>
      </c>
      <c r="I29" s="548">
        <v>4214372000</v>
      </c>
      <c r="J29" s="548">
        <v>4214372000</v>
      </c>
      <c r="K29" s="548">
        <f>+[1]INVERSIÓN!$EM$32</f>
        <v>4214372000</v>
      </c>
      <c r="L29" s="548"/>
      <c r="M29" s="548"/>
      <c r="N29" s="548"/>
      <c r="O29" s="548"/>
      <c r="P29" s="548"/>
      <c r="Q29" s="548"/>
      <c r="R29" s="548"/>
      <c r="S29" s="548"/>
      <c r="T29" s="548">
        <v>59590000</v>
      </c>
      <c r="U29" s="548">
        <v>84513714</v>
      </c>
      <c r="V29" s="548">
        <v>111759712</v>
      </c>
      <c r="W29" s="548">
        <v>242021116</v>
      </c>
      <c r="X29" s="548">
        <f>+[1]INVERSIÓN!$EQ$32</f>
        <v>866552019</v>
      </c>
      <c r="Y29" s="548"/>
      <c r="Z29" s="548"/>
      <c r="AA29" s="548"/>
      <c r="AB29" s="548"/>
      <c r="AC29" s="548"/>
      <c r="AD29" s="548"/>
      <c r="AE29" s="548"/>
      <c r="AF29" s="605"/>
      <c r="AG29" s="605"/>
      <c r="AH29" s="605"/>
      <c r="AI29" s="605"/>
      <c r="AJ29" s="605"/>
      <c r="AK29" s="605"/>
      <c r="AL29" s="605"/>
      <c r="AM29" s="605"/>
      <c r="AN29" s="605"/>
      <c r="AO29" s="605"/>
      <c r="AP29" s="605"/>
      <c r="AQ29" s="605"/>
      <c r="AR29" s="605"/>
      <c r="AS29" s="605"/>
      <c r="AT29" s="605"/>
      <c r="AU29" s="605"/>
      <c r="AV29" s="605"/>
      <c r="AW29" s="605"/>
      <c r="AX29" s="605"/>
      <c r="AY29" s="605"/>
      <c r="BA29" s="528">
        <f t="shared" si="0"/>
        <v>-3347819981</v>
      </c>
      <c r="BB29" s="529">
        <f t="shared" si="1"/>
        <v>-624530903</v>
      </c>
      <c r="BC29" s="529">
        <f t="shared" si="2"/>
        <v>-754792307</v>
      </c>
      <c r="BD29" s="529">
        <f>+X29-[1]INVERSIÓN!EO32</f>
        <v>0</v>
      </c>
      <c r="BE29" s="529">
        <f>+K29-[1]INVERSIÓN!EP32</f>
        <v>0</v>
      </c>
    </row>
    <row r="30" spans="1:57" ht="28.5" customHeight="1" x14ac:dyDescent="0.25">
      <c r="A30" s="740"/>
      <c r="B30" s="605"/>
      <c r="C30" s="605"/>
      <c r="D30" s="531" t="s">
        <v>325</v>
      </c>
      <c r="E30" s="564">
        <f>+[1]INVERSIÓN!$DN$34</f>
        <v>0</v>
      </c>
      <c r="F30" s="564">
        <v>0</v>
      </c>
      <c r="G30" s="564">
        <v>0</v>
      </c>
      <c r="H30" s="564">
        <v>0</v>
      </c>
      <c r="I30" s="564">
        <v>0</v>
      </c>
      <c r="J30" s="564">
        <v>0</v>
      </c>
      <c r="K30" s="564">
        <f>+[1]INVERSIÓN!$EM$34</f>
        <v>0</v>
      </c>
      <c r="L30" s="564"/>
      <c r="M30" s="564"/>
      <c r="N30" s="564"/>
      <c r="O30" s="564"/>
      <c r="P30" s="564"/>
      <c r="Q30" s="564"/>
      <c r="R30" s="564"/>
      <c r="S30" s="564"/>
      <c r="T30" s="564">
        <v>0</v>
      </c>
      <c r="U30" s="564">
        <v>0</v>
      </c>
      <c r="V30" s="564">
        <v>0</v>
      </c>
      <c r="W30" s="564">
        <v>0</v>
      </c>
      <c r="X30" s="564">
        <f>+[1]INVERSIÓN!$EQ$34</f>
        <v>0</v>
      </c>
      <c r="Y30" s="564"/>
      <c r="Z30" s="564"/>
      <c r="AA30" s="564"/>
      <c r="AB30" s="564"/>
      <c r="AC30" s="564"/>
      <c r="AD30" s="564"/>
      <c r="AE30" s="564"/>
      <c r="AF30" s="605"/>
      <c r="AG30" s="605"/>
      <c r="AH30" s="605"/>
      <c r="AI30" s="605"/>
      <c r="AJ30" s="605"/>
      <c r="AK30" s="605"/>
      <c r="AL30" s="605"/>
      <c r="AM30" s="605"/>
      <c r="AN30" s="605"/>
      <c r="AO30" s="605"/>
      <c r="AP30" s="605"/>
      <c r="AQ30" s="605"/>
      <c r="AR30" s="605"/>
      <c r="AS30" s="605"/>
      <c r="AT30" s="605"/>
      <c r="AU30" s="605"/>
      <c r="AV30" s="605"/>
      <c r="AW30" s="605"/>
      <c r="AX30" s="605"/>
      <c r="AY30" s="605"/>
      <c r="BA30" s="528">
        <f t="shared" si="0"/>
        <v>0</v>
      </c>
      <c r="BB30" s="529">
        <f t="shared" si="1"/>
        <v>0</v>
      </c>
      <c r="BC30" s="529">
        <f t="shared" si="2"/>
        <v>0</v>
      </c>
      <c r="BD30" s="529">
        <f>+X30-[1]INVERSIÓN!EO34</f>
        <v>0</v>
      </c>
      <c r="BE30" s="529">
        <f>+K30-[1]INVERSIÓN!EP34</f>
        <v>0</v>
      </c>
    </row>
    <row r="31" spans="1:57" ht="28.5" customHeight="1" x14ac:dyDescent="0.25">
      <c r="A31" s="740"/>
      <c r="B31" s="605"/>
      <c r="C31" s="605"/>
      <c r="D31" s="530" t="s">
        <v>326</v>
      </c>
      <c r="E31" s="548">
        <f>+[1]INVERSIÓN!$DN$35</f>
        <v>367727197</v>
      </c>
      <c r="F31" s="548">
        <v>367727197</v>
      </c>
      <c r="G31" s="548">
        <v>367727197</v>
      </c>
      <c r="H31" s="548">
        <v>367727197</v>
      </c>
      <c r="I31" s="548">
        <v>367727197</v>
      </c>
      <c r="J31" s="548">
        <v>367727197</v>
      </c>
      <c r="K31" s="548">
        <f>+[1]INVERSIÓN!$EM$35</f>
        <v>367727197</v>
      </c>
      <c r="L31" s="548"/>
      <c r="M31" s="548"/>
      <c r="N31" s="548"/>
      <c r="O31" s="548"/>
      <c r="P31" s="548"/>
      <c r="Q31" s="548"/>
      <c r="R31" s="548"/>
      <c r="S31" s="548"/>
      <c r="T31" s="548">
        <v>7590000</v>
      </c>
      <c r="U31" s="548">
        <v>213176459</v>
      </c>
      <c r="V31" s="548">
        <v>270711252</v>
      </c>
      <c r="W31" s="548">
        <v>301988172</v>
      </c>
      <c r="X31" s="548">
        <f>+[1]INVERSIÓN!$EQ$35</f>
        <v>312831672</v>
      </c>
      <c r="Y31" s="548"/>
      <c r="Z31" s="548"/>
      <c r="AA31" s="548"/>
      <c r="AB31" s="548"/>
      <c r="AC31" s="548"/>
      <c r="AD31" s="548"/>
      <c r="AE31" s="548"/>
      <c r="AF31" s="605"/>
      <c r="AG31" s="605"/>
      <c r="AH31" s="605"/>
      <c r="AI31" s="605"/>
      <c r="AJ31" s="605"/>
      <c r="AK31" s="605"/>
      <c r="AL31" s="605"/>
      <c r="AM31" s="605"/>
      <c r="AN31" s="605"/>
      <c r="AO31" s="605"/>
      <c r="AP31" s="605"/>
      <c r="AQ31" s="605"/>
      <c r="AR31" s="605"/>
      <c r="AS31" s="605"/>
      <c r="AT31" s="605"/>
      <c r="AU31" s="605"/>
      <c r="AV31" s="605"/>
      <c r="AW31" s="605"/>
      <c r="AX31" s="605"/>
      <c r="AY31" s="605"/>
      <c r="BA31" s="528">
        <f t="shared" si="0"/>
        <v>-54895525</v>
      </c>
      <c r="BB31" s="529">
        <f t="shared" si="1"/>
        <v>-10843500</v>
      </c>
      <c r="BC31" s="529">
        <f t="shared" si="2"/>
        <v>-42120420</v>
      </c>
      <c r="BD31" s="529">
        <f>+X31-[1]INVERSIÓN!EO35</f>
        <v>0</v>
      </c>
      <c r="BE31" s="529">
        <f>+K31-[1]INVERSIÓN!EP35</f>
        <v>0</v>
      </c>
    </row>
    <row r="32" spans="1:57" ht="28.5" customHeight="1" x14ac:dyDescent="0.25">
      <c r="A32" s="740"/>
      <c r="B32" s="605"/>
      <c r="C32" s="605"/>
      <c r="D32" s="531" t="s">
        <v>327</v>
      </c>
      <c r="E32" s="564">
        <f>+E28+E30</f>
        <v>5.4300000000000001E-2</v>
      </c>
      <c r="F32" s="564">
        <v>5.4300000000000001E-2</v>
      </c>
      <c r="G32" s="564">
        <v>5.4300000000000001E-2</v>
      </c>
      <c r="H32" s="565">
        <v>5.4300000000000001E-2</v>
      </c>
      <c r="I32" s="565">
        <v>5.4300000000000001E-2</v>
      </c>
      <c r="J32" s="564">
        <v>5.4300000000000001E-2</v>
      </c>
      <c r="K32" s="564">
        <f>+K28+K30</f>
        <v>5.4300000000000001E-2</v>
      </c>
      <c r="L32" s="564"/>
      <c r="M32" s="564"/>
      <c r="N32" s="564"/>
      <c r="O32" s="564"/>
      <c r="P32" s="564"/>
      <c r="Q32" s="564"/>
      <c r="R32" s="564"/>
      <c r="S32" s="564"/>
      <c r="T32" s="565">
        <v>1.0800000000000001E-2</v>
      </c>
      <c r="U32" s="565">
        <v>2.1600000000000001E-2</v>
      </c>
      <c r="V32" s="565">
        <v>3.2500000000000001E-2</v>
      </c>
      <c r="W32" s="565">
        <v>4.3400000000000001E-2</v>
      </c>
      <c r="X32" s="565">
        <f>+X28+X30</f>
        <v>5.4300000000000001E-2</v>
      </c>
      <c r="Y32" s="565"/>
      <c r="Z32" s="565"/>
      <c r="AA32" s="565"/>
      <c r="AB32" s="565"/>
      <c r="AC32" s="565"/>
      <c r="AD32" s="565"/>
      <c r="AE32" s="565"/>
      <c r="AF32" s="605"/>
      <c r="AG32" s="605"/>
      <c r="AH32" s="605"/>
      <c r="AI32" s="605"/>
      <c r="AJ32" s="605"/>
      <c r="AK32" s="605"/>
      <c r="AL32" s="605"/>
      <c r="AM32" s="605"/>
      <c r="AN32" s="605"/>
      <c r="AO32" s="605"/>
      <c r="AP32" s="605"/>
      <c r="AQ32" s="605"/>
      <c r="AR32" s="605"/>
      <c r="AS32" s="605"/>
      <c r="AT32" s="605"/>
      <c r="AU32" s="605"/>
      <c r="AV32" s="605"/>
      <c r="AW32" s="605"/>
      <c r="AX32" s="605"/>
      <c r="AY32" s="605"/>
      <c r="BA32" s="528">
        <f t="shared" si="0"/>
        <v>0</v>
      </c>
      <c r="BB32" s="529">
        <f t="shared" si="1"/>
        <v>-1.09E-2</v>
      </c>
      <c r="BC32" s="529">
        <f t="shared" si="2"/>
        <v>-2.18E-2</v>
      </c>
      <c r="BD32" s="529">
        <f>+X32-[1]INVERSIÓN!EO36</f>
        <v>0</v>
      </c>
      <c r="BE32" s="529">
        <f>+K32-[1]INVERSIÓN!EP36</f>
        <v>0</v>
      </c>
    </row>
    <row r="33" spans="1:57" ht="28.5" customHeight="1" thickBot="1" x14ac:dyDescent="0.3">
      <c r="A33" s="744"/>
      <c r="B33" s="745"/>
      <c r="C33" s="745"/>
      <c r="D33" s="95" t="s">
        <v>328</v>
      </c>
      <c r="E33" s="548">
        <f>+E29+E31</f>
        <v>4582099197</v>
      </c>
      <c r="F33" s="548">
        <v>4582099197</v>
      </c>
      <c r="G33" s="548">
        <v>4582099197</v>
      </c>
      <c r="H33" s="548">
        <v>4582099197</v>
      </c>
      <c r="I33" s="548">
        <v>4582099197</v>
      </c>
      <c r="J33" s="548">
        <v>4582099197</v>
      </c>
      <c r="K33" s="548">
        <f>+K29+K31</f>
        <v>4582099197</v>
      </c>
      <c r="L33" s="548"/>
      <c r="M33" s="548"/>
      <c r="N33" s="548"/>
      <c r="O33" s="548"/>
      <c r="P33" s="548"/>
      <c r="Q33" s="548"/>
      <c r="R33" s="548"/>
      <c r="S33" s="548"/>
      <c r="T33" s="568">
        <v>67180000</v>
      </c>
      <c r="U33" s="568">
        <v>297690173</v>
      </c>
      <c r="V33" s="548">
        <v>382470964</v>
      </c>
      <c r="W33" s="548">
        <v>544009288</v>
      </c>
      <c r="X33" s="548">
        <f>+X29+X31</f>
        <v>1179383691</v>
      </c>
      <c r="Y33" s="568"/>
      <c r="Z33" s="568"/>
      <c r="AA33" s="568"/>
      <c r="AB33" s="568"/>
      <c r="AC33" s="568"/>
      <c r="AD33" s="568"/>
      <c r="AE33" s="568"/>
      <c r="AF33" s="734"/>
      <c r="AG33" s="734"/>
      <c r="AH33" s="734"/>
      <c r="AI33" s="734"/>
      <c r="AJ33" s="734"/>
      <c r="AK33" s="734"/>
      <c r="AL33" s="734"/>
      <c r="AM33" s="734"/>
      <c r="AN33" s="734"/>
      <c r="AO33" s="734"/>
      <c r="AP33" s="734"/>
      <c r="AQ33" s="734"/>
      <c r="AR33" s="734"/>
      <c r="AS33" s="734"/>
      <c r="AT33" s="734"/>
      <c r="AU33" s="734"/>
      <c r="AV33" s="734"/>
      <c r="AW33" s="734"/>
      <c r="AX33" s="734"/>
      <c r="AY33" s="734"/>
      <c r="BA33" s="528">
        <f t="shared" si="0"/>
        <v>-3402715506</v>
      </c>
      <c r="BB33" s="529">
        <f t="shared" si="1"/>
        <v>-635374403</v>
      </c>
      <c r="BC33" s="529">
        <f t="shared" si="2"/>
        <v>-796912727</v>
      </c>
      <c r="BD33" s="529">
        <f>+X33-[1]INVERSIÓN!EO37</f>
        <v>0</v>
      </c>
      <c r="BE33" s="529">
        <f>+K33-[1]INVERSIÓN!EP37</f>
        <v>0</v>
      </c>
    </row>
    <row r="34" spans="1:57" ht="28.5" customHeight="1" x14ac:dyDescent="0.25">
      <c r="A34" s="739">
        <v>5</v>
      </c>
      <c r="B34" s="741" t="s">
        <v>336</v>
      </c>
      <c r="C34" s="742" t="s">
        <v>411</v>
      </c>
      <c r="D34" s="94" t="s">
        <v>322</v>
      </c>
      <c r="E34" s="543">
        <f>+[1]INVERSIÓN!DN38</f>
        <v>2</v>
      </c>
      <c r="F34" s="543">
        <v>2</v>
      </c>
      <c r="G34" s="543">
        <v>2</v>
      </c>
      <c r="H34" s="543">
        <v>2</v>
      </c>
      <c r="I34" s="544">
        <v>2</v>
      </c>
      <c r="J34" s="543">
        <v>2</v>
      </c>
      <c r="K34" s="543">
        <f>+[1]INVERSIÓN!$EM$38</f>
        <v>2</v>
      </c>
      <c r="L34" s="545"/>
      <c r="M34" s="545"/>
      <c r="N34" s="545"/>
      <c r="O34" s="545"/>
      <c r="P34" s="545"/>
      <c r="Q34" s="545"/>
      <c r="R34" s="545"/>
      <c r="S34" s="545"/>
      <c r="T34" s="569">
        <v>0.2</v>
      </c>
      <c r="U34" s="547">
        <v>0.5</v>
      </c>
      <c r="V34" s="547">
        <v>1</v>
      </c>
      <c r="W34" s="547">
        <v>1.5</v>
      </c>
      <c r="X34" s="547">
        <f>+[1]INVERSIÓN!$EQ$38</f>
        <v>2</v>
      </c>
      <c r="Y34" s="569"/>
      <c r="Z34" s="570"/>
      <c r="AA34" s="569"/>
      <c r="AB34" s="569"/>
      <c r="AC34" s="569"/>
      <c r="AD34" s="569"/>
      <c r="AE34" s="569"/>
      <c r="AF34" s="743" t="s">
        <v>910</v>
      </c>
      <c r="AG34" s="743" t="s">
        <v>406</v>
      </c>
      <c r="AH34" s="733" t="s">
        <v>179</v>
      </c>
      <c r="AI34" s="733" t="s">
        <v>179</v>
      </c>
      <c r="AJ34" s="733" t="s">
        <v>179</v>
      </c>
      <c r="AK34" s="733" t="s">
        <v>407</v>
      </c>
      <c r="AL34" s="733" t="s">
        <v>179</v>
      </c>
      <c r="AM34" s="733" t="s">
        <v>179</v>
      </c>
      <c r="AN34" s="735">
        <v>8034649</v>
      </c>
      <c r="AO34" s="737">
        <v>3847592</v>
      </c>
      <c r="AP34" s="738">
        <v>4187057</v>
      </c>
      <c r="AQ34" s="733" t="s">
        <v>179</v>
      </c>
      <c r="AR34" s="733" t="s">
        <v>179</v>
      </c>
      <c r="AS34" s="733" t="s">
        <v>179</v>
      </c>
      <c r="AT34" s="733" t="s">
        <v>179</v>
      </c>
      <c r="AU34" s="733" t="s">
        <v>179</v>
      </c>
      <c r="AV34" s="733" t="s">
        <v>179</v>
      </c>
      <c r="AW34" s="733" t="s">
        <v>179</v>
      </c>
      <c r="AX34" s="735">
        <v>7968095</v>
      </c>
      <c r="AY34" s="736"/>
      <c r="BA34" s="528">
        <f t="shared" si="0"/>
        <v>0</v>
      </c>
      <c r="BB34" s="529">
        <f t="shared" si="1"/>
        <v>-0.5</v>
      </c>
      <c r="BC34" s="529">
        <f t="shared" si="2"/>
        <v>-1</v>
      </c>
      <c r="BD34" s="529">
        <f>+X34-[1]INVERSIÓN!EO38</f>
        <v>0</v>
      </c>
      <c r="BE34" s="529">
        <f>+K34-[1]INVERSIÓN!EP38</f>
        <v>0</v>
      </c>
    </row>
    <row r="35" spans="1:57" ht="28.5" customHeight="1" x14ac:dyDescent="0.25">
      <c r="A35" s="740"/>
      <c r="B35" s="605"/>
      <c r="C35" s="605"/>
      <c r="D35" s="530" t="s">
        <v>323</v>
      </c>
      <c r="E35" s="548">
        <f>+[1]INVERSIÓN!DN39</f>
        <v>326821000</v>
      </c>
      <c r="F35" s="548">
        <v>326821000</v>
      </c>
      <c r="G35" s="548">
        <v>326821000</v>
      </c>
      <c r="H35" s="548">
        <v>326821000</v>
      </c>
      <c r="I35" s="548">
        <v>326821000</v>
      </c>
      <c r="J35" s="548">
        <v>326821000</v>
      </c>
      <c r="K35" s="548">
        <f>+[1]INVERSIÓN!$EM$39</f>
        <v>326821000</v>
      </c>
      <c r="L35" s="548"/>
      <c r="M35" s="548"/>
      <c r="N35" s="548"/>
      <c r="O35" s="548"/>
      <c r="P35" s="548"/>
      <c r="Q35" s="548"/>
      <c r="R35" s="548"/>
      <c r="S35" s="548"/>
      <c r="T35" s="568">
        <v>42789000</v>
      </c>
      <c r="U35" s="548">
        <v>91824000</v>
      </c>
      <c r="V35" s="548">
        <v>91824000</v>
      </c>
      <c r="W35" s="548">
        <v>128176000</v>
      </c>
      <c r="X35" s="548">
        <f>+[1]INVERSIÓN!$EQ$39</f>
        <v>220480000</v>
      </c>
      <c r="Y35" s="568"/>
      <c r="Z35" s="568"/>
      <c r="AA35" s="568"/>
      <c r="AB35" s="568"/>
      <c r="AC35" s="568"/>
      <c r="AD35" s="568"/>
      <c r="AE35" s="568"/>
      <c r="AF35" s="605"/>
      <c r="AG35" s="605"/>
      <c r="AH35" s="605"/>
      <c r="AI35" s="605"/>
      <c r="AJ35" s="605"/>
      <c r="AK35" s="605"/>
      <c r="AL35" s="605"/>
      <c r="AM35" s="605"/>
      <c r="AN35" s="605"/>
      <c r="AO35" s="605"/>
      <c r="AP35" s="605"/>
      <c r="AQ35" s="605"/>
      <c r="AR35" s="605"/>
      <c r="AS35" s="605"/>
      <c r="AT35" s="605"/>
      <c r="AU35" s="605"/>
      <c r="AV35" s="605"/>
      <c r="AW35" s="605"/>
      <c r="AX35" s="605"/>
      <c r="AY35" s="605"/>
      <c r="BA35" s="528">
        <f t="shared" si="0"/>
        <v>-106341000</v>
      </c>
      <c r="BB35" s="529">
        <f t="shared" si="1"/>
        <v>-92304000</v>
      </c>
      <c r="BC35" s="529">
        <f t="shared" si="2"/>
        <v>-128656000</v>
      </c>
      <c r="BD35" s="529">
        <f>+X35-[1]INVERSIÓN!EO39</f>
        <v>0</v>
      </c>
      <c r="BE35" s="529">
        <f>+K35-[1]INVERSIÓN!EP39</f>
        <v>0</v>
      </c>
    </row>
    <row r="36" spans="1:57" ht="28.5" customHeight="1" x14ac:dyDescent="0.25">
      <c r="A36" s="740"/>
      <c r="B36" s="605"/>
      <c r="C36" s="605"/>
      <c r="D36" s="531" t="s">
        <v>325</v>
      </c>
      <c r="E36" s="562">
        <f>+[1]INVERSIÓN!DN41</f>
        <v>0</v>
      </c>
      <c r="F36" s="562">
        <v>0</v>
      </c>
      <c r="G36" s="562">
        <v>0</v>
      </c>
      <c r="H36" s="562">
        <v>0</v>
      </c>
      <c r="I36" s="562">
        <v>0</v>
      </c>
      <c r="J36" s="562">
        <v>0</v>
      </c>
      <c r="K36" s="562">
        <f>+[1]INVERSIÓN!$EM$41</f>
        <v>0</v>
      </c>
      <c r="L36" s="562"/>
      <c r="M36" s="562"/>
      <c r="N36" s="562"/>
      <c r="O36" s="562"/>
      <c r="P36" s="562"/>
      <c r="Q36" s="562"/>
      <c r="R36" s="562"/>
      <c r="S36" s="562"/>
      <c r="T36" s="570">
        <v>0</v>
      </c>
      <c r="U36" s="562">
        <v>0</v>
      </c>
      <c r="V36" s="562">
        <v>0</v>
      </c>
      <c r="W36" s="562">
        <v>0</v>
      </c>
      <c r="X36" s="562">
        <f>+[1]INVERSIÓN!$EQ$41</f>
        <v>0</v>
      </c>
      <c r="Y36" s="570"/>
      <c r="Z36" s="570"/>
      <c r="AA36" s="570"/>
      <c r="AB36" s="570"/>
      <c r="AC36" s="570"/>
      <c r="AD36" s="570"/>
      <c r="AE36" s="570"/>
      <c r="AF36" s="605"/>
      <c r="AG36" s="605"/>
      <c r="AH36" s="605"/>
      <c r="AI36" s="605"/>
      <c r="AJ36" s="605"/>
      <c r="AK36" s="605"/>
      <c r="AL36" s="605"/>
      <c r="AM36" s="605"/>
      <c r="AN36" s="605"/>
      <c r="AO36" s="605"/>
      <c r="AP36" s="605"/>
      <c r="AQ36" s="605"/>
      <c r="AR36" s="605"/>
      <c r="AS36" s="605"/>
      <c r="AT36" s="605"/>
      <c r="AU36" s="605"/>
      <c r="AV36" s="605"/>
      <c r="AW36" s="605"/>
      <c r="AX36" s="605"/>
      <c r="AY36" s="605"/>
      <c r="BA36" s="528">
        <f t="shared" si="0"/>
        <v>0</v>
      </c>
      <c r="BB36" s="529">
        <f t="shared" si="1"/>
        <v>0</v>
      </c>
      <c r="BC36" s="529">
        <f t="shared" si="2"/>
        <v>0</v>
      </c>
      <c r="BD36" s="529">
        <f>+X36-[1]INVERSIÓN!EO41</f>
        <v>0</v>
      </c>
      <c r="BE36" s="529">
        <f>+K36-[1]INVERSIÓN!EP41</f>
        <v>0</v>
      </c>
    </row>
    <row r="37" spans="1:57" ht="28.5" customHeight="1" x14ac:dyDescent="0.25">
      <c r="A37" s="740"/>
      <c r="B37" s="605"/>
      <c r="C37" s="605"/>
      <c r="D37" s="530" t="s">
        <v>326</v>
      </c>
      <c r="E37" s="548">
        <f>+[1]INVERSIÓN!DN42</f>
        <v>33934667</v>
      </c>
      <c r="F37" s="548">
        <v>33914667</v>
      </c>
      <c r="G37" s="548">
        <v>33934667</v>
      </c>
      <c r="H37" s="548">
        <v>33934667</v>
      </c>
      <c r="I37" s="548">
        <v>33934667</v>
      </c>
      <c r="J37" s="548">
        <v>33934667</v>
      </c>
      <c r="K37" s="548">
        <f>+[1]INVERSIÓN!$EM$42</f>
        <v>33934667</v>
      </c>
      <c r="L37" s="571"/>
      <c r="M37" s="548"/>
      <c r="N37" s="548"/>
      <c r="O37" s="548"/>
      <c r="P37" s="548"/>
      <c r="Q37" s="548"/>
      <c r="R37" s="548"/>
      <c r="S37" s="548"/>
      <c r="T37" s="568">
        <v>10468000</v>
      </c>
      <c r="U37" s="548">
        <v>33934667</v>
      </c>
      <c r="V37" s="548">
        <v>33934667</v>
      </c>
      <c r="W37" s="548">
        <v>33934667</v>
      </c>
      <c r="X37" s="548">
        <f>+[1]INVERSIÓN!$EQ$42</f>
        <v>33934667</v>
      </c>
      <c r="Y37" s="568"/>
      <c r="Z37" s="568"/>
      <c r="AA37" s="568"/>
      <c r="AB37" s="568"/>
      <c r="AC37" s="568"/>
      <c r="AD37" s="568"/>
      <c r="AE37" s="568"/>
      <c r="AF37" s="605"/>
      <c r="AG37" s="605"/>
      <c r="AH37" s="605"/>
      <c r="AI37" s="605"/>
      <c r="AJ37" s="605"/>
      <c r="AK37" s="605"/>
      <c r="AL37" s="605"/>
      <c r="AM37" s="605"/>
      <c r="AN37" s="605"/>
      <c r="AO37" s="605"/>
      <c r="AP37" s="605"/>
      <c r="AQ37" s="605"/>
      <c r="AR37" s="605"/>
      <c r="AS37" s="605"/>
      <c r="AT37" s="605"/>
      <c r="AU37" s="605"/>
      <c r="AV37" s="605"/>
      <c r="AW37" s="605"/>
      <c r="AX37" s="605"/>
      <c r="AY37" s="605"/>
      <c r="BA37" s="528">
        <f t="shared" si="0"/>
        <v>0</v>
      </c>
      <c r="BB37" s="529">
        <f t="shared" si="1"/>
        <v>0</v>
      </c>
      <c r="BC37" s="529">
        <f t="shared" si="2"/>
        <v>0</v>
      </c>
      <c r="BD37" s="529">
        <f>+X37-[1]INVERSIÓN!EO42</f>
        <v>0</v>
      </c>
      <c r="BE37" s="529">
        <f>+K37-[1]INVERSIÓN!EP42</f>
        <v>0</v>
      </c>
    </row>
    <row r="38" spans="1:57" ht="28.5" customHeight="1" x14ac:dyDescent="0.25">
      <c r="A38" s="740"/>
      <c r="B38" s="605"/>
      <c r="C38" s="605"/>
      <c r="D38" s="531" t="s">
        <v>327</v>
      </c>
      <c r="E38" s="545">
        <f>+E34+E36</f>
        <v>2</v>
      </c>
      <c r="F38" s="545">
        <v>2</v>
      </c>
      <c r="G38" s="545">
        <v>2</v>
      </c>
      <c r="H38" s="545">
        <v>2</v>
      </c>
      <c r="I38" s="547">
        <v>2</v>
      </c>
      <c r="J38" s="545">
        <v>2</v>
      </c>
      <c r="K38" s="545">
        <f>+K34+K36</f>
        <v>2</v>
      </c>
      <c r="L38" s="562"/>
      <c r="M38" s="545"/>
      <c r="N38" s="545"/>
      <c r="O38" s="545"/>
      <c r="P38" s="545"/>
      <c r="Q38" s="545"/>
      <c r="R38" s="545"/>
      <c r="S38" s="545"/>
      <c r="T38" s="569">
        <v>0.2</v>
      </c>
      <c r="U38" s="547">
        <v>0.5</v>
      </c>
      <c r="V38" s="547">
        <v>1</v>
      </c>
      <c r="W38" s="547">
        <v>1.5</v>
      </c>
      <c r="X38" s="547">
        <f>+X34+X36</f>
        <v>2</v>
      </c>
      <c r="Y38" s="569"/>
      <c r="Z38" s="569"/>
      <c r="AA38" s="569"/>
      <c r="AB38" s="569"/>
      <c r="AC38" s="569"/>
      <c r="AD38" s="569"/>
      <c r="AE38" s="569"/>
      <c r="AF38" s="605"/>
      <c r="AG38" s="605"/>
      <c r="AH38" s="605"/>
      <c r="AI38" s="605"/>
      <c r="AJ38" s="605"/>
      <c r="AK38" s="605"/>
      <c r="AL38" s="605"/>
      <c r="AM38" s="605"/>
      <c r="AN38" s="605"/>
      <c r="AO38" s="605"/>
      <c r="AP38" s="605"/>
      <c r="AQ38" s="605"/>
      <c r="AR38" s="605"/>
      <c r="AS38" s="605"/>
      <c r="AT38" s="605"/>
      <c r="AU38" s="605"/>
      <c r="AV38" s="605"/>
      <c r="AW38" s="605"/>
      <c r="AX38" s="605"/>
      <c r="AY38" s="605"/>
      <c r="BA38" s="528">
        <f t="shared" si="0"/>
        <v>0</v>
      </c>
      <c r="BB38" s="529">
        <f t="shared" si="1"/>
        <v>-0.5</v>
      </c>
      <c r="BC38" s="529">
        <f t="shared" si="2"/>
        <v>-1</v>
      </c>
      <c r="BD38" s="529">
        <f>+X38-[1]INVERSIÓN!EO43</f>
        <v>0</v>
      </c>
      <c r="BE38" s="529">
        <f>+K38-[1]INVERSIÓN!EP43</f>
        <v>0</v>
      </c>
    </row>
    <row r="39" spans="1:57" ht="28.5" customHeight="1" thickBot="1" x14ac:dyDescent="0.3">
      <c r="A39" s="740"/>
      <c r="B39" s="605"/>
      <c r="C39" s="605"/>
      <c r="D39" s="532" t="s">
        <v>328</v>
      </c>
      <c r="E39" s="548">
        <f>+E35+E37</f>
        <v>360755667</v>
      </c>
      <c r="F39" s="548">
        <v>360735667</v>
      </c>
      <c r="G39" s="548">
        <v>360755667</v>
      </c>
      <c r="H39" s="548">
        <v>360755667</v>
      </c>
      <c r="I39" s="548">
        <v>360755667</v>
      </c>
      <c r="J39" s="548">
        <v>360755667</v>
      </c>
      <c r="K39" s="548">
        <f>+K35+K37</f>
        <v>360755667</v>
      </c>
      <c r="L39" s="562"/>
      <c r="M39" s="548"/>
      <c r="N39" s="548"/>
      <c r="O39" s="548"/>
      <c r="P39" s="548"/>
      <c r="Q39" s="548"/>
      <c r="R39" s="548"/>
      <c r="S39" s="548"/>
      <c r="T39" s="568">
        <v>53257000</v>
      </c>
      <c r="U39" s="568">
        <v>125758667</v>
      </c>
      <c r="V39" s="548">
        <v>125758667</v>
      </c>
      <c r="W39" s="548">
        <v>162110667</v>
      </c>
      <c r="X39" s="548">
        <f>+X35+X37</f>
        <v>254414667</v>
      </c>
      <c r="Y39" s="568"/>
      <c r="Z39" s="568"/>
      <c r="AA39" s="568"/>
      <c r="AB39" s="568"/>
      <c r="AC39" s="568"/>
      <c r="AD39" s="568"/>
      <c r="AE39" s="568"/>
      <c r="AF39" s="734"/>
      <c r="AG39" s="734"/>
      <c r="AH39" s="734"/>
      <c r="AI39" s="734"/>
      <c r="AJ39" s="734"/>
      <c r="AK39" s="734"/>
      <c r="AL39" s="734"/>
      <c r="AM39" s="734"/>
      <c r="AN39" s="734"/>
      <c r="AO39" s="734"/>
      <c r="AP39" s="734"/>
      <c r="AQ39" s="734"/>
      <c r="AR39" s="734"/>
      <c r="AS39" s="734"/>
      <c r="AT39" s="734"/>
      <c r="AU39" s="734"/>
      <c r="AV39" s="734"/>
      <c r="AW39" s="734"/>
      <c r="AX39" s="734"/>
      <c r="AY39" s="734"/>
      <c r="BA39" s="528">
        <f t="shared" si="0"/>
        <v>-106341000</v>
      </c>
      <c r="BB39" s="529">
        <f t="shared" si="1"/>
        <v>-92304000</v>
      </c>
      <c r="BC39" s="529">
        <f t="shared" si="2"/>
        <v>-128656000</v>
      </c>
      <c r="BD39" s="529">
        <f>+X39-[1]INVERSIÓN!EO44</f>
        <v>0</v>
      </c>
      <c r="BE39" s="529">
        <f>+K39-[1]INVERSIÓN!EP44</f>
        <v>0</v>
      </c>
    </row>
    <row r="40" spans="1:57" ht="42" customHeight="1" thickBot="1" x14ac:dyDescent="0.3">
      <c r="A40" s="721" t="s">
        <v>412</v>
      </c>
      <c r="B40" s="722"/>
      <c r="C40" s="723"/>
      <c r="D40" s="96" t="s">
        <v>413</v>
      </c>
      <c r="E40" s="533">
        <f>+E11+E17+E23+E29+E35</f>
        <v>7561000000</v>
      </c>
      <c r="F40" s="533">
        <v>7561000000</v>
      </c>
      <c r="G40" s="533">
        <v>7561000000</v>
      </c>
      <c r="H40" s="533">
        <v>7561000000</v>
      </c>
      <c r="I40" s="533">
        <v>7561000000</v>
      </c>
      <c r="J40" s="533">
        <v>7561000000</v>
      </c>
      <c r="K40" s="533">
        <f>+K11+K17+K23+K29+K35</f>
        <v>7561000000</v>
      </c>
      <c r="L40" s="533"/>
      <c r="M40" s="533"/>
      <c r="N40" s="533"/>
      <c r="O40" s="533"/>
      <c r="P40" s="533"/>
      <c r="Q40" s="533"/>
      <c r="R40" s="572"/>
      <c r="S40" s="533"/>
      <c r="T40" s="533">
        <v>358863000</v>
      </c>
      <c r="U40" s="534">
        <v>610624714</v>
      </c>
      <c r="V40" s="533">
        <v>649900712</v>
      </c>
      <c r="W40" s="533">
        <v>1248135116</v>
      </c>
      <c r="X40" s="533">
        <f>+X11+X17+X23+X29+X35</f>
        <v>2618476849</v>
      </c>
      <c r="Y40" s="533"/>
      <c r="Z40" s="97"/>
      <c r="AA40" s="97"/>
      <c r="AB40" s="97"/>
      <c r="AC40" s="97"/>
      <c r="AD40" s="97"/>
      <c r="AE40" s="97">
        <f>+AE11+AE17+AE23+AE29+AE35</f>
        <v>0</v>
      </c>
      <c r="AF40" s="728"/>
      <c r="AG40" s="98"/>
      <c r="AH40" s="535"/>
      <c r="AI40" s="535"/>
      <c r="AJ40" s="535"/>
      <c r="AK40" s="535"/>
      <c r="AL40" s="535"/>
      <c r="AM40" s="535"/>
      <c r="AN40" s="535"/>
      <c r="AO40" s="535"/>
      <c r="AP40" s="535"/>
      <c r="AQ40" s="535"/>
      <c r="AR40" s="535"/>
      <c r="AS40" s="535"/>
      <c r="AT40" s="535"/>
      <c r="AU40" s="535"/>
      <c r="AV40" s="535"/>
      <c r="AW40" s="535"/>
      <c r="AX40" s="535"/>
      <c r="AY40" s="536"/>
      <c r="BA40" s="528">
        <f t="shared" si="0"/>
        <v>-4942523151</v>
      </c>
      <c r="BB40" s="529">
        <f t="shared" si="1"/>
        <v>-1370341733</v>
      </c>
      <c r="BC40" s="529">
        <f t="shared" si="2"/>
        <v>-1968576137</v>
      </c>
      <c r="BD40" s="529">
        <f>+X40-[1]INVERSIÓN!EO45</f>
        <v>0</v>
      </c>
      <c r="BE40" s="529">
        <f>+K40-[1]INVERSIÓN!EP45</f>
        <v>0</v>
      </c>
    </row>
    <row r="41" spans="1:57" ht="27" customHeight="1" x14ac:dyDescent="0.25">
      <c r="A41" s="724"/>
      <c r="B41" s="655"/>
      <c r="C41" s="725"/>
      <c r="D41" s="99" t="s">
        <v>414</v>
      </c>
      <c r="E41" s="100">
        <f>+E13+E19+E25+E31+E37</f>
        <v>758072863</v>
      </c>
      <c r="F41" s="100">
        <v>758052863</v>
      </c>
      <c r="G41" s="100">
        <v>758072863</v>
      </c>
      <c r="H41" s="100">
        <v>758072863</v>
      </c>
      <c r="I41" s="100">
        <v>758072863</v>
      </c>
      <c r="J41" s="100">
        <v>758072863</v>
      </c>
      <c r="K41" s="100">
        <f>+K13+K19+K25+K31+K37</f>
        <v>758072863</v>
      </c>
      <c r="L41" s="100"/>
      <c r="M41" s="100"/>
      <c r="N41" s="100"/>
      <c r="O41" s="100"/>
      <c r="P41" s="100"/>
      <c r="Q41" s="100"/>
      <c r="R41" s="573"/>
      <c r="S41" s="100"/>
      <c r="T41" s="100">
        <v>133078098</v>
      </c>
      <c r="U41" s="272">
        <v>524764192</v>
      </c>
      <c r="V41" s="100">
        <v>588004819</v>
      </c>
      <c r="W41" s="100">
        <v>663892838</v>
      </c>
      <c r="X41" s="100">
        <f>+X13+X19+X25+X31+X37</f>
        <v>674736338</v>
      </c>
      <c r="Y41" s="100"/>
      <c r="Z41" s="101"/>
      <c r="AA41" s="101"/>
      <c r="AB41" s="101"/>
      <c r="AC41" s="101"/>
      <c r="AD41" s="101"/>
      <c r="AE41" s="101">
        <f>+AE13+AE19+AE25+AE31+AE37</f>
        <v>0</v>
      </c>
      <c r="AF41" s="729"/>
      <c r="AG41" s="98"/>
      <c r="AH41" s="535"/>
      <c r="AI41" s="535"/>
      <c r="AJ41" s="535"/>
      <c r="AK41" s="535"/>
      <c r="AL41" s="535"/>
      <c r="AM41" s="535"/>
      <c r="AN41" s="535"/>
      <c r="AO41" s="535"/>
      <c r="AP41" s="535"/>
      <c r="AQ41" s="535"/>
      <c r="AR41" s="535"/>
      <c r="AS41" s="535"/>
      <c r="AT41" s="535"/>
      <c r="AU41" s="535"/>
      <c r="AV41" s="535"/>
      <c r="AW41" s="535"/>
      <c r="AX41" s="535"/>
      <c r="AY41" s="536"/>
      <c r="BA41" s="528">
        <f t="shared" si="0"/>
        <v>-83336525</v>
      </c>
      <c r="BB41" s="529">
        <f t="shared" si="1"/>
        <v>-10843500</v>
      </c>
      <c r="BC41" s="529">
        <f t="shared" si="2"/>
        <v>-86731519</v>
      </c>
      <c r="BD41" s="529">
        <f>+X41-[1]INVERSIÓN!EO46</f>
        <v>0</v>
      </c>
      <c r="BE41" s="529">
        <f>+K41-[1]INVERSIÓN!EP46</f>
        <v>0</v>
      </c>
    </row>
    <row r="42" spans="1:57" ht="21" customHeight="1" thickBot="1" x14ac:dyDescent="0.3">
      <c r="A42" s="726"/>
      <c r="B42" s="656"/>
      <c r="C42" s="727"/>
      <c r="D42" s="537" t="s">
        <v>415</v>
      </c>
      <c r="E42" s="102">
        <f>+E40+E41</f>
        <v>8319072863</v>
      </c>
      <c r="F42" s="102">
        <v>8319052863</v>
      </c>
      <c r="G42" s="102">
        <v>8319072863</v>
      </c>
      <c r="H42" s="102">
        <v>8319072863</v>
      </c>
      <c r="I42" s="102">
        <v>8319072863</v>
      </c>
      <c r="J42" s="102">
        <v>8319072863</v>
      </c>
      <c r="K42" s="102">
        <f>+K40+K41</f>
        <v>8319072863</v>
      </c>
      <c r="L42" s="102"/>
      <c r="M42" s="102"/>
      <c r="N42" s="102"/>
      <c r="O42" s="102"/>
      <c r="P42" s="102"/>
      <c r="Q42" s="102"/>
      <c r="R42" s="574"/>
      <c r="S42" s="102"/>
      <c r="T42" s="102">
        <v>491941098</v>
      </c>
      <c r="U42" s="102">
        <v>1135388906</v>
      </c>
      <c r="V42" s="102">
        <v>1237905531</v>
      </c>
      <c r="W42" s="102">
        <v>1912027954</v>
      </c>
      <c r="X42" s="102">
        <f>+X40+X41</f>
        <v>3293213187</v>
      </c>
      <c r="Y42" s="102"/>
      <c r="Z42" s="103"/>
      <c r="AA42" s="103"/>
      <c r="AB42" s="103"/>
      <c r="AC42" s="103"/>
      <c r="AD42" s="103"/>
      <c r="AE42" s="103">
        <f>+AE40+AE41</f>
        <v>0</v>
      </c>
      <c r="AF42" s="730"/>
      <c r="AG42" s="104"/>
      <c r="AH42" s="105"/>
      <c r="AI42" s="105"/>
      <c r="AJ42" s="105"/>
      <c r="AK42" s="105"/>
      <c r="AL42" s="105"/>
      <c r="AM42" s="105"/>
      <c r="AN42" s="105"/>
      <c r="AO42" s="105"/>
      <c r="AP42" s="105"/>
      <c r="AQ42" s="105"/>
      <c r="AR42" s="105"/>
      <c r="AS42" s="105"/>
      <c r="AT42" s="105"/>
      <c r="AU42" s="105"/>
      <c r="AV42" s="105"/>
      <c r="AW42" s="105"/>
      <c r="AX42" s="105"/>
      <c r="AY42" s="106"/>
      <c r="BA42" s="528">
        <f t="shared" si="0"/>
        <v>-5025859676</v>
      </c>
      <c r="BB42" s="529">
        <f t="shared" si="1"/>
        <v>-1381185233</v>
      </c>
      <c r="BC42" s="529">
        <f t="shared" si="2"/>
        <v>-2055307656</v>
      </c>
      <c r="BD42" s="529">
        <f>+X42-[1]INVERSIÓN!EO47</f>
        <v>0</v>
      </c>
      <c r="BE42" s="529">
        <f>+K42-[1]INVERSIÓN!EP47</f>
        <v>0</v>
      </c>
    </row>
    <row r="43" spans="1:57" ht="15.75" customHeight="1" x14ac:dyDescent="0.25">
      <c r="A43" s="538"/>
      <c r="B43" s="538"/>
      <c r="C43" s="538"/>
      <c r="D43" s="538"/>
      <c r="E43" s="539"/>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8"/>
      <c r="AE43" s="538"/>
      <c r="AF43" s="538"/>
      <c r="AG43" s="538"/>
      <c r="AH43" s="538"/>
      <c r="AI43" s="538"/>
      <c r="AJ43" s="538"/>
      <c r="AK43" s="538"/>
      <c r="AL43" s="538"/>
      <c r="AM43" s="538"/>
      <c r="AN43" s="538"/>
      <c r="AO43" s="538"/>
      <c r="AP43" s="538"/>
      <c r="AQ43" s="538"/>
      <c r="AR43" s="538"/>
      <c r="AS43" s="538"/>
      <c r="AT43" s="538"/>
      <c r="AU43" s="538"/>
      <c r="AV43" s="538"/>
      <c r="AW43" s="538"/>
      <c r="AX43" s="538"/>
      <c r="AY43" s="73"/>
      <c r="BB43" s="334"/>
    </row>
    <row r="44" spans="1:57" ht="15.75" customHeight="1" x14ac:dyDescent="0.25">
      <c r="A44" s="540" t="s">
        <v>180</v>
      </c>
      <c r="B44" s="538"/>
      <c r="C44" s="538"/>
      <c r="D44" s="538"/>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8"/>
      <c r="AE44" s="538"/>
      <c r="AF44" s="538"/>
      <c r="AG44" s="538"/>
      <c r="AH44" s="538"/>
      <c r="AI44" s="538"/>
      <c r="AJ44" s="541"/>
      <c r="AK44" s="541"/>
      <c r="AL44" s="541"/>
      <c r="AM44" s="541"/>
      <c r="AN44" s="541"/>
      <c r="AO44" s="541"/>
      <c r="AP44" s="541"/>
      <c r="AQ44" s="541"/>
      <c r="AR44" s="542"/>
      <c r="AS44" s="542"/>
      <c r="AT44" s="542"/>
      <c r="AU44" s="542"/>
      <c r="AV44" s="542"/>
      <c r="AW44" s="542"/>
      <c r="AX44" s="542"/>
      <c r="AY44" s="73"/>
      <c r="BB44" s="334"/>
    </row>
    <row r="45" spans="1:57" ht="15.75" customHeight="1" x14ac:dyDescent="0.25">
      <c r="A45" s="28" t="s">
        <v>181</v>
      </c>
      <c r="B45" s="731" t="s">
        <v>182</v>
      </c>
      <c r="C45" s="718"/>
      <c r="D45" s="718"/>
      <c r="E45" s="718"/>
      <c r="F45" s="718"/>
      <c r="G45" s="718"/>
      <c r="H45" s="719"/>
      <c r="I45" s="732" t="s">
        <v>183</v>
      </c>
      <c r="J45" s="718"/>
      <c r="K45" s="718"/>
      <c r="L45" s="718"/>
      <c r="M45" s="718"/>
      <c r="N45" s="718"/>
      <c r="O45" s="719"/>
      <c r="P45" s="110"/>
      <c r="Q45" s="110"/>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row>
    <row r="46" spans="1:57" ht="15.75" customHeight="1" x14ac:dyDescent="0.25">
      <c r="A46" s="30">
        <v>13</v>
      </c>
      <c r="B46" s="717" t="s">
        <v>184</v>
      </c>
      <c r="C46" s="718"/>
      <c r="D46" s="718"/>
      <c r="E46" s="718"/>
      <c r="F46" s="718"/>
      <c r="G46" s="718"/>
      <c r="H46" s="719"/>
      <c r="I46" s="717" t="s">
        <v>185</v>
      </c>
      <c r="J46" s="718"/>
      <c r="K46" s="718"/>
      <c r="L46" s="718"/>
      <c r="M46" s="718"/>
      <c r="N46" s="718"/>
      <c r="O46" s="719"/>
      <c r="P46" s="73"/>
      <c r="Q46" s="73"/>
      <c r="R46" s="73"/>
      <c r="S46" s="73"/>
      <c r="T46" s="73"/>
      <c r="U46" s="73"/>
      <c r="V46" s="73"/>
      <c r="W46" s="73"/>
      <c r="X46" s="73"/>
      <c r="Y46" s="73"/>
      <c r="Z46" s="73"/>
      <c r="AA46" s="73"/>
      <c r="AB46" s="73"/>
      <c r="AC46" s="73"/>
      <c r="AD46" s="111"/>
      <c r="AE46" s="73"/>
      <c r="AF46" s="73"/>
      <c r="AG46" s="73"/>
      <c r="AH46" s="73"/>
      <c r="AI46" s="73"/>
      <c r="AJ46" s="73"/>
      <c r="AK46" s="73"/>
      <c r="AL46" s="73"/>
      <c r="AM46" s="73"/>
      <c r="AN46" s="73"/>
      <c r="AO46" s="73"/>
      <c r="AP46" s="73"/>
      <c r="AQ46" s="73"/>
      <c r="AR46" s="73"/>
      <c r="AS46" s="73"/>
      <c r="AT46" s="73"/>
      <c r="AU46" s="73"/>
      <c r="AV46" s="73"/>
      <c r="AW46" s="73"/>
      <c r="AX46" s="73"/>
      <c r="AY46" s="73"/>
    </row>
    <row r="47" spans="1:57" ht="15.75" customHeight="1" x14ac:dyDescent="0.25">
      <c r="A47" s="30">
        <v>14</v>
      </c>
      <c r="B47" s="717" t="s">
        <v>377</v>
      </c>
      <c r="C47" s="718"/>
      <c r="D47" s="718"/>
      <c r="E47" s="718"/>
      <c r="F47" s="718"/>
      <c r="G47" s="718"/>
      <c r="H47" s="719"/>
      <c r="I47" s="720" t="s">
        <v>187</v>
      </c>
      <c r="J47" s="718"/>
      <c r="K47" s="718"/>
      <c r="L47" s="718"/>
      <c r="M47" s="718"/>
      <c r="N47" s="718"/>
      <c r="O47" s="719"/>
      <c r="P47" s="112"/>
      <c r="Q47" s="112"/>
      <c r="R47" s="112"/>
      <c r="S47" s="112"/>
      <c r="T47" s="112"/>
      <c r="U47" s="112"/>
      <c r="V47" s="112"/>
      <c r="W47" s="112"/>
      <c r="X47" s="112"/>
      <c r="Y47" s="112"/>
      <c r="Z47" s="112"/>
      <c r="AA47" s="112"/>
      <c r="AB47" s="112"/>
      <c r="AC47" s="112"/>
      <c r="AD47" s="73"/>
      <c r="AE47" s="73"/>
      <c r="AF47" s="73"/>
      <c r="AG47" s="73"/>
      <c r="AH47" s="73"/>
      <c r="AI47" s="73"/>
      <c r="AJ47" s="73"/>
      <c r="AK47" s="73"/>
      <c r="AL47" s="73"/>
      <c r="AM47" s="73"/>
      <c r="AN47" s="73"/>
      <c r="AO47" s="73"/>
      <c r="AP47" s="73"/>
      <c r="AQ47" s="73"/>
      <c r="AR47" s="73"/>
      <c r="AS47" s="73"/>
      <c r="AT47" s="73"/>
      <c r="AU47" s="73"/>
      <c r="AV47" s="73"/>
      <c r="AW47" s="73"/>
      <c r="AX47" s="73"/>
      <c r="AY47" s="73"/>
    </row>
    <row r="48" spans="1:57" ht="15.75" customHeight="1" x14ac:dyDescent="0.2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row>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141">
    <mergeCell ref="A1:D3"/>
    <mergeCell ref="E1:AY1"/>
    <mergeCell ref="E2:AY2"/>
    <mergeCell ref="E3:AD3"/>
    <mergeCell ref="AE3:AY3"/>
    <mergeCell ref="A4:D4"/>
    <mergeCell ref="E4:AY4"/>
    <mergeCell ref="A5:D5"/>
    <mergeCell ref="E5:AY5"/>
    <mergeCell ref="A6:D6"/>
    <mergeCell ref="E6:AY6"/>
    <mergeCell ref="A8:F8"/>
    <mergeCell ref="G8:S8"/>
    <mergeCell ref="T8:AF8"/>
    <mergeCell ref="AG8:AK8"/>
    <mergeCell ref="AL8:AM8"/>
    <mergeCell ref="AO8:AX8"/>
    <mergeCell ref="AY8:AY9"/>
    <mergeCell ref="A10:A15"/>
    <mergeCell ref="B10:B15"/>
    <mergeCell ref="C10:C15"/>
    <mergeCell ref="AF10:AF15"/>
    <mergeCell ref="AG10:AG15"/>
    <mergeCell ref="AH10:AH15"/>
    <mergeCell ref="AI10:AI15"/>
    <mergeCell ref="AJ10:AJ15"/>
    <mergeCell ref="AK10:AK15"/>
    <mergeCell ref="AX10:AX15"/>
    <mergeCell ref="AY10:AY15"/>
    <mergeCell ref="A16:A21"/>
    <mergeCell ref="B16:B21"/>
    <mergeCell ref="C16:C21"/>
    <mergeCell ref="AF16:AF21"/>
    <mergeCell ref="AG16:AG21"/>
    <mergeCell ref="AH16:AH21"/>
    <mergeCell ref="AI16:AI21"/>
    <mergeCell ref="AJ16:AJ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W16:AW21"/>
    <mergeCell ref="AX16:AX21"/>
    <mergeCell ref="AY16:AY21"/>
    <mergeCell ref="A22:A27"/>
    <mergeCell ref="B22:B27"/>
    <mergeCell ref="C22:C27"/>
    <mergeCell ref="AF22:AF27"/>
    <mergeCell ref="AG22:AG27"/>
    <mergeCell ref="AH22:AH27"/>
    <mergeCell ref="AI22:AI27"/>
    <mergeCell ref="AQ16:AQ21"/>
    <mergeCell ref="AR16:AR21"/>
    <mergeCell ref="AS16:AS21"/>
    <mergeCell ref="AT16:AT21"/>
    <mergeCell ref="AU16:AU21"/>
    <mergeCell ref="AV16:AV21"/>
    <mergeCell ref="AK16:AK21"/>
    <mergeCell ref="AL16:AL21"/>
    <mergeCell ref="AM16:AM21"/>
    <mergeCell ref="AN16:AN21"/>
    <mergeCell ref="AO16:AO21"/>
    <mergeCell ref="AP16:AP21"/>
    <mergeCell ref="AV22:AV27"/>
    <mergeCell ref="AW22:AW27"/>
    <mergeCell ref="AX22:AX27"/>
    <mergeCell ref="AY22:AY27"/>
    <mergeCell ref="A28:A33"/>
    <mergeCell ref="B28:B33"/>
    <mergeCell ref="C28:C33"/>
    <mergeCell ref="AF28:AF33"/>
    <mergeCell ref="AG28:AG33"/>
    <mergeCell ref="AH28:AH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U28:AU33"/>
    <mergeCell ref="AV28:AV33"/>
    <mergeCell ref="AW28:AW33"/>
    <mergeCell ref="AX28:AX33"/>
    <mergeCell ref="AY28:AY33"/>
    <mergeCell ref="A34:A39"/>
    <mergeCell ref="B34:B39"/>
    <mergeCell ref="C34:C39"/>
    <mergeCell ref="AF34:AF39"/>
    <mergeCell ref="AG34:AG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U34:AU39"/>
    <mergeCell ref="AV34:AV39"/>
    <mergeCell ref="AW34:AW39"/>
    <mergeCell ref="AX34:AX39"/>
    <mergeCell ref="AY34:AY39"/>
    <mergeCell ref="AN34:AN39"/>
    <mergeCell ref="AO34:AO39"/>
    <mergeCell ref="AP34:AP39"/>
    <mergeCell ref="AQ34:AQ39"/>
    <mergeCell ref="AR34:AR39"/>
    <mergeCell ref="AS34:AS39"/>
    <mergeCell ref="B47:H47"/>
    <mergeCell ref="I47:O47"/>
    <mergeCell ref="A40:C42"/>
    <mergeCell ref="AF40:AF42"/>
    <mergeCell ref="B45:H45"/>
    <mergeCell ref="I45:O45"/>
    <mergeCell ref="B46:H46"/>
    <mergeCell ref="I46:O46"/>
    <mergeCell ref="AT34:AT39"/>
    <mergeCell ref="AH34:AH39"/>
    <mergeCell ref="AI34:AI39"/>
    <mergeCell ref="AJ34:AJ39"/>
    <mergeCell ref="AK34:AK39"/>
    <mergeCell ref="AL34:AL39"/>
    <mergeCell ref="AM34:AM39"/>
  </mergeCells>
  <conditionalFormatting sqref="BA11:BC42">
    <cfRule type="cellIs" dxfId="14" priority="14" operator="equal">
      <formula>0</formula>
    </cfRule>
    <cfRule type="cellIs" dxfId="13" priority="15" operator="lessThan">
      <formula>0</formula>
    </cfRule>
  </conditionalFormatting>
  <conditionalFormatting sqref="BA11:BE42">
    <cfRule type="cellIs" dxfId="12" priority="13" operator="greaterThan">
      <formula>0</formula>
    </cfRule>
  </conditionalFormatting>
  <conditionalFormatting sqref="BD11:BE42">
    <cfRule type="cellIs" dxfId="11" priority="11" operator="equal">
      <formula>0</formula>
    </cfRule>
    <cfRule type="cellIs" dxfId="10" priority="12" operator="lessThan">
      <formula>0</formula>
    </cfRule>
  </conditionalFormatting>
  <conditionalFormatting sqref="BA10:BA42">
    <cfRule type="cellIs" dxfId="9" priority="6" operator="equal">
      <formula>0</formula>
    </cfRule>
    <cfRule type="cellIs" dxfId="8" priority="7" operator="lessThan">
      <formula>0</formula>
    </cfRule>
    <cfRule type="cellIs" dxfId="7" priority="8" operator="greaterThan">
      <formula>0</formula>
    </cfRule>
  </conditionalFormatting>
  <conditionalFormatting sqref="BB10:BC42">
    <cfRule type="cellIs" dxfId="6" priority="5" operator="greaterThan">
      <formula>0</formula>
    </cfRule>
  </conditionalFormatting>
  <conditionalFormatting sqref="BB10:BE42">
    <cfRule type="cellIs" dxfId="5" priority="4" operator="equal">
      <formula>0</formula>
    </cfRule>
    <cfRule type="cellIs" dxfId="4" priority="9" operator="lessThan">
      <formula>0</formula>
    </cfRule>
  </conditionalFormatting>
  <conditionalFormatting sqref="BD10:BE42">
    <cfRule type="cellIs" dxfId="3" priority="10" operator="greaterThan">
      <formula>0</formula>
    </cfRule>
  </conditionalFormatting>
  <conditionalFormatting sqref="BA10:BC42">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108"/>
  <sheetViews>
    <sheetView showGridLines="0" zoomScale="50" zoomScaleNormal="50" workbookViewId="0">
      <selection activeCell="H17" sqref="H17"/>
    </sheetView>
  </sheetViews>
  <sheetFormatPr baseColWidth="10" defaultColWidth="14.42578125" defaultRowHeight="15" customHeight="1" x14ac:dyDescent="0.25"/>
  <cols>
    <col min="1" max="1" width="16.7109375" customWidth="1"/>
    <col min="2" max="2" width="31.85546875" customWidth="1"/>
    <col min="3" max="3" width="22" customWidth="1"/>
    <col min="4" max="4" width="28.7109375" customWidth="1"/>
    <col min="5" max="5" width="26.140625" customWidth="1"/>
    <col min="6" max="6" width="26.85546875" customWidth="1"/>
    <col min="7" max="7" width="32" customWidth="1"/>
    <col min="8" max="8" width="47.7109375" customWidth="1"/>
    <col min="9" max="9" width="15.28515625" customWidth="1"/>
    <col min="10" max="10" width="15.140625" customWidth="1"/>
    <col min="11" max="11" width="10.7109375" customWidth="1"/>
    <col min="12" max="12" width="10.5703125" customWidth="1"/>
    <col min="13" max="13" width="13.5703125" customWidth="1"/>
    <col min="14" max="14" width="71.7109375" customWidth="1"/>
    <col min="15" max="28" width="10.7109375" customWidth="1"/>
  </cols>
  <sheetData>
    <row r="1" spans="1:28" ht="29.25" customHeight="1" x14ac:dyDescent="0.25">
      <c r="A1" s="659"/>
      <c r="B1" s="644"/>
      <c r="C1" s="774" t="s">
        <v>0</v>
      </c>
      <c r="D1" s="592"/>
      <c r="E1" s="592"/>
      <c r="F1" s="592"/>
      <c r="G1" s="592"/>
      <c r="H1" s="592"/>
      <c r="I1" s="592"/>
      <c r="J1" s="592"/>
      <c r="K1" s="592"/>
      <c r="L1" s="592"/>
      <c r="M1" s="592"/>
      <c r="N1" s="689"/>
      <c r="O1" s="113"/>
      <c r="P1" s="113"/>
      <c r="Q1" s="113"/>
      <c r="R1" s="113"/>
      <c r="S1" s="113"/>
      <c r="T1" s="113"/>
      <c r="U1" s="113"/>
      <c r="V1" s="113"/>
      <c r="W1" s="113"/>
      <c r="X1" s="113"/>
      <c r="Y1" s="113"/>
      <c r="Z1" s="113"/>
      <c r="AA1" s="113"/>
      <c r="AB1" s="113"/>
    </row>
    <row r="2" spans="1:28" ht="33.75" customHeight="1" x14ac:dyDescent="0.25">
      <c r="A2" s="578"/>
      <c r="B2" s="773"/>
      <c r="C2" s="775" t="s">
        <v>416</v>
      </c>
      <c r="D2" s="776"/>
      <c r="E2" s="776"/>
      <c r="F2" s="776"/>
      <c r="G2" s="776"/>
      <c r="H2" s="776"/>
      <c r="I2" s="776"/>
      <c r="J2" s="776"/>
      <c r="K2" s="776"/>
      <c r="L2" s="776"/>
      <c r="M2" s="776"/>
      <c r="N2" s="777"/>
      <c r="O2" s="113"/>
      <c r="P2" s="113"/>
      <c r="Q2" s="113"/>
      <c r="R2" s="113"/>
      <c r="S2" s="113"/>
      <c r="T2" s="113"/>
      <c r="U2" s="113"/>
      <c r="V2" s="113"/>
      <c r="W2" s="113"/>
      <c r="X2" s="113"/>
      <c r="Y2" s="113"/>
      <c r="Z2" s="113"/>
      <c r="AA2" s="113"/>
      <c r="AB2" s="113"/>
    </row>
    <row r="3" spans="1:28" ht="26.25" x14ac:dyDescent="0.4">
      <c r="A3" s="580"/>
      <c r="B3" s="601"/>
      <c r="C3" s="778" t="s">
        <v>343</v>
      </c>
      <c r="D3" s="693"/>
      <c r="E3" s="693"/>
      <c r="F3" s="693"/>
      <c r="G3" s="693"/>
      <c r="H3" s="779" t="s">
        <v>3</v>
      </c>
      <c r="I3" s="583"/>
      <c r="J3" s="583"/>
      <c r="K3" s="583"/>
      <c r="L3" s="583"/>
      <c r="M3" s="583"/>
      <c r="N3" s="586"/>
      <c r="O3" s="113"/>
      <c r="P3" s="113"/>
      <c r="Q3" s="113"/>
      <c r="R3" s="113"/>
      <c r="S3" s="113"/>
      <c r="T3" s="113"/>
      <c r="U3" s="113"/>
      <c r="V3" s="113"/>
      <c r="W3" s="113"/>
      <c r="X3" s="113"/>
      <c r="Y3" s="113"/>
      <c r="Z3" s="113"/>
      <c r="AA3" s="113"/>
      <c r="AB3" s="113"/>
    </row>
    <row r="4" spans="1:28" ht="26.25" customHeight="1" x14ac:dyDescent="0.25">
      <c r="A4" s="780" t="s">
        <v>4</v>
      </c>
      <c r="B4" s="697"/>
      <c r="C4" s="781" t="s">
        <v>5</v>
      </c>
      <c r="D4" s="583"/>
      <c r="E4" s="583"/>
      <c r="F4" s="583"/>
      <c r="G4" s="583"/>
      <c r="H4" s="583"/>
      <c r="I4" s="583"/>
      <c r="J4" s="583"/>
      <c r="K4" s="583"/>
      <c r="L4" s="583"/>
      <c r="M4" s="583"/>
      <c r="N4" s="586"/>
      <c r="O4" s="113"/>
      <c r="P4" s="113"/>
      <c r="Q4" s="113"/>
      <c r="R4" s="113"/>
      <c r="S4" s="113"/>
      <c r="T4" s="113"/>
      <c r="U4" s="113"/>
      <c r="V4" s="113"/>
      <c r="W4" s="113"/>
      <c r="X4" s="113"/>
      <c r="Y4" s="113"/>
      <c r="Z4" s="113"/>
      <c r="AA4" s="113"/>
      <c r="AB4" s="113"/>
    </row>
    <row r="5" spans="1:28" ht="29.25" customHeight="1" x14ac:dyDescent="0.25">
      <c r="A5" s="782" t="s">
        <v>6</v>
      </c>
      <c r="B5" s="586"/>
      <c r="C5" s="783" t="s">
        <v>189</v>
      </c>
      <c r="D5" s="581"/>
      <c r="E5" s="581"/>
      <c r="F5" s="581"/>
      <c r="G5" s="581"/>
      <c r="H5" s="581"/>
      <c r="I5" s="581"/>
      <c r="J5" s="581"/>
      <c r="K5" s="581"/>
      <c r="L5" s="581"/>
      <c r="M5" s="581"/>
      <c r="N5" s="601"/>
      <c r="O5" s="113"/>
      <c r="P5" s="113"/>
      <c r="Q5" s="113"/>
      <c r="R5" s="113"/>
      <c r="S5" s="113"/>
      <c r="T5" s="113"/>
      <c r="U5" s="113"/>
      <c r="V5" s="113"/>
      <c r="W5" s="113"/>
      <c r="X5" s="113"/>
      <c r="Y5" s="113"/>
      <c r="Z5" s="113"/>
      <c r="AA5" s="113"/>
      <c r="AB5" s="113"/>
    </row>
    <row r="6" spans="1:28" x14ac:dyDescent="0.2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row>
    <row r="7" spans="1:28" ht="28.5" customHeight="1" x14ac:dyDescent="0.25">
      <c r="A7" s="770" t="s">
        <v>417</v>
      </c>
      <c r="B7" s="592"/>
      <c r="C7" s="592"/>
      <c r="D7" s="592"/>
      <c r="E7" s="592"/>
      <c r="F7" s="592"/>
      <c r="G7" s="592"/>
      <c r="H7" s="689"/>
      <c r="I7" s="113"/>
      <c r="J7" s="113"/>
      <c r="K7" s="113"/>
      <c r="L7" s="113"/>
      <c r="M7" s="113"/>
      <c r="N7" s="113"/>
      <c r="O7" s="113"/>
      <c r="P7" s="113"/>
      <c r="Q7" s="113"/>
      <c r="R7" s="113"/>
      <c r="S7" s="113"/>
      <c r="T7" s="113"/>
      <c r="U7" s="113"/>
      <c r="V7" s="113"/>
      <c r="W7" s="113"/>
      <c r="X7" s="113"/>
      <c r="Y7" s="113"/>
      <c r="Z7" s="113"/>
      <c r="AA7" s="113"/>
      <c r="AB7" s="113"/>
    </row>
    <row r="8" spans="1:28" ht="33.75" customHeight="1" x14ac:dyDescent="0.25">
      <c r="A8" s="114" t="s">
        <v>25</v>
      </c>
      <c r="B8" s="115" t="s">
        <v>418</v>
      </c>
      <c r="C8" s="115" t="s">
        <v>419</v>
      </c>
      <c r="D8" s="115" t="s">
        <v>420</v>
      </c>
      <c r="E8" s="115" t="s">
        <v>421</v>
      </c>
      <c r="F8" s="115" t="s">
        <v>422</v>
      </c>
      <c r="G8" s="115" t="s">
        <v>423</v>
      </c>
      <c r="H8" s="116" t="s">
        <v>424</v>
      </c>
      <c r="I8" s="113"/>
      <c r="J8" s="113"/>
      <c r="K8" s="113"/>
      <c r="L8" s="113"/>
      <c r="M8" s="113"/>
      <c r="N8" s="113"/>
      <c r="O8" s="113"/>
      <c r="P8" s="113"/>
      <c r="Q8" s="113"/>
      <c r="R8" s="113"/>
      <c r="S8" s="113"/>
      <c r="T8" s="113"/>
      <c r="U8" s="113"/>
      <c r="V8" s="113"/>
      <c r="W8" s="113"/>
      <c r="X8" s="113"/>
      <c r="Y8" s="113"/>
      <c r="Z8" s="113"/>
      <c r="AA8" s="113"/>
      <c r="AB8" s="113"/>
    </row>
    <row r="9" spans="1:28" ht="16.5" customHeight="1" x14ac:dyDescent="0.25">
      <c r="A9" s="117" t="s">
        <v>425</v>
      </c>
      <c r="B9" s="118"/>
      <c r="C9" s="119">
        <v>3531650000</v>
      </c>
      <c r="D9" s="119">
        <v>3531650000</v>
      </c>
      <c r="E9" s="119">
        <v>127032000</v>
      </c>
      <c r="F9" s="120">
        <v>0</v>
      </c>
      <c r="G9" s="120">
        <v>0</v>
      </c>
      <c r="H9" s="121">
        <f t="shared" ref="H9:H14" si="0">G9/E9</f>
        <v>0</v>
      </c>
      <c r="I9" s="113"/>
      <c r="J9" s="113"/>
      <c r="K9" s="113"/>
      <c r="L9" s="113"/>
      <c r="M9" s="113"/>
      <c r="N9" s="113"/>
      <c r="O9" s="113"/>
      <c r="P9" s="113"/>
      <c r="Q9" s="113"/>
      <c r="R9" s="113"/>
      <c r="S9" s="113"/>
      <c r="T9" s="113"/>
      <c r="U9" s="113"/>
      <c r="V9" s="113"/>
      <c r="W9" s="113"/>
      <c r="X9" s="113"/>
      <c r="Y9" s="113"/>
      <c r="Z9" s="113"/>
      <c r="AA9" s="113"/>
      <c r="AB9" s="113"/>
    </row>
    <row r="10" spans="1:28" ht="16.5" customHeight="1" x14ac:dyDescent="0.25">
      <c r="A10" s="117" t="s">
        <v>426</v>
      </c>
      <c r="B10" s="118"/>
      <c r="C10" s="119">
        <v>3531650000</v>
      </c>
      <c r="D10" s="119">
        <v>3531650000</v>
      </c>
      <c r="E10" s="119">
        <v>552744000</v>
      </c>
      <c r="F10" s="120">
        <v>288200</v>
      </c>
      <c r="G10" s="120">
        <v>288200</v>
      </c>
      <c r="H10" s="121">
        <f t="shared" si="0"/>
        <v>5.2139869451319236E-4</v>
      </c>
      <c r="I10" s="113"/>
      <c r="J10" s="113"/>
      <c r="K10" s="113"/>
      <c r="L10" s="113"/>
      <c r="M10" s="113"/>
      <c r="N10" s="113"/>
      <c r="O10" s="113"/>
      <c r="P10" s="113"/>
      <c r="Q10" s="113"/>
      <c r="R10" s="113"/>
      <c r="S10" s="113"/>
      <c r="T10" s="113"/>
      <c r="U10" s="113"/>
      <c r="V10" s="113"/>
      <c r="W10" s="113"/>
      <c r="X10" s="113"/>
      <c r="Y10" s="113"/>
      <c r="Z10" s="113"/>
      <c r="AA10" s="113"/>
      <c r="AB10" s="113"/>
    </row>
    <row r="11" spans="1:28" ht="16.5" customHeight="1" x14ac:dyDescent="0.25">
      <c r="A11" s="117" t="s">
        <v>427</v>
      </c>
      <c r="B11" s="118"/>
      <c r="C11" s="119">
        <v>3531650000</v>
      </c>
      <c r="D11" s="119">
        <v>3531650000</v>
      </c>
      <c r="E11" s="119">
        <v>552744000</v>
      </c>
      <c r="F11" s="120">
        <v>60971598</v>
      </c>
      <c r="G11" s="120">
        <v>60971598</v>
      </c>
      <c r="H11" s="121">
        <f t="shared" si="0"/>
        <v>0.11030711866614563</v>
      </c>
      <c r="I11" s="113"/>
      <c r="J11" s="113"/>
      <c r="K11" s="113"/>
      <c r="L11" s="113"/>
      <c r="M11" s="113"/>
      <c r="N11" s="113"/>
      <c r="O11" s="113"/>
      <c r="P11" s="113"/>
      <c r="Q11" s="113"/>
      <c r="R11" s="113"/>
      <c r="S11" s="113"/>
      <c r="T11" s="113"/>
      <c r="U11" s="113"/>
      <c r="V11" s="113"/>
      <c r="W11" s="113"/>
      <c r="X11" s="113"/>
      <c r="Y11" s="113"/>
      <c r="Z11" s="113"/>
      <c r="AA11" s="113"/>
      <c r="AB11" s="113"/>
    </row>
    <row r="12" spans="1:28" ht="16.5" customHeight="1" x14ac:dyDescent="0.25">
      <c r="A12" s="117" t="s">
        <v>428</v>
      </c>
      <c r="B12" s="118"/>
      <c r="C12" s="119">
        <v>3531650000</v>
      </c>
      <c r="D12" s="119">
        <v>3531650000</v>
      </c>
      <c r="E12" s="119">
        <v>571244160</v>
      </c>
      <c r="F12" s="120">
        <v>201515299</v>
      </c>
      <c r="G12" s="120">
        <v>201515299</v>
      </c>
      <c r="H12" s="121">
        <f t="shared" si="0"/>
        <v>0.35276561777016679</v>
      </c>
      <c r="I12" s="113"/>
      <c r="J12" s="113"/>
      <c r="K12" s="113"/>
      <c r="L12" s="113"/>
      <c r="M12" s="113"/>
      <c r="N12" s="113"/>
      <c r="O12" s="113"/>
      <c r="P12" s="113"/>
      <c r="Q12" s="113"/>
      <c r="R12" s="113"/>
      <c r="S12" s="113"/>
      <c r="T12" s="113"/>
      <c r="U12" s="113"/>
      <c r="V12" s="113"/>
      <c r="W12" s="113"/>
      <c r="X12" s="113"/>
      <c r="Y12" s="113"/>
      <c r="Z12" s="113"/>
      <c r="AA12" s="113"/>
      <c r="AB12" s="113"/>
    </row>
    <row r="13" spans="1:28" ht="16.5" customHeight="1" x14ac:dyDescent="0.25">
      <c r="A13" s="117" t="s">
        <v>429</v>
      </c>
      <c r="B13" s="118"/>
      <c r="C13" s="119">
        <v>3531650000</v>
      </c>
      <c r="D13" s="119">
        <v>3531650000</v>
      </c>
      <c r="E13" s="119">
        <v>643151350</v>
      </c>
      <c r="F13" s="120">
        <v>336468799</v>
      </c>
      <c r="G13" s="120">
        <v>336468799</v>
      </c>
      <c r="H13" s="121">
        <f t="shared" si="0"/>
        <v>0.52315648408418947</v>
      </c>
      <c r="I13" s="113"/>
      <c r="J13" s="113"/>
      <c r="K13" s="113"/>
      <c r="L13" s="113"/>
      <c r="M13" s="113"/>
      <c r="N13" s="113"/>
      <c r="O13" s="113"/>
      <c r="P13" s="113"/>
      <c r="Q13" s="113"/>
      <c r="R13" s="113"/>
      <c r="S13" s="113"/>
      <c r="T13" s="113"/>
      <c r="U13" s="113"/>
      <c r="V13" s="113"/>
      <c r="W13" s="113"/>
      <c r="X13" s="113"/>
      <c r="Y13" s="113"/>
      <c r="Z13" s="113"/>
      <c r="AA13" s="113"/>
      <c r="AB13" s="113"/>
    </row>
    <row r="14" spans="1:28" ht="16.5" customHeight="1" x14ac:dyDescent="0.25">
      <c r="A14" s="122" t="s">
        <v>430</v>
      </c>
      <c r="B14" s="123"/>
      <c r="C14" s="119">
        <v>3531650000</v>
      </c>
      <c r="D14" s="119">
        <v>3531650000</v>
      </c>
      <c r="E14" s="124">
        <v>3356203598</v>
      </c>
      <c r="F14" s="125">
        <v>562931572</v>
      </c>
      <c r="G14" s="125">
        <v>562931572</v>
      </c>
      <c r="H14" s="121">
        <f t="shared" si="0"/>
        <v>0.16772867186467988</v>
      </c>
      <c r="I14" s="113"/>
      <c r="J14" s="113"/>
      <c r="K14" s="113"/>
      <c r="L14" s="113"/>
      <c r="M14" s="113"/>
      <c r="N14" s="113"/>
      <c r="O14" s="113"/>
      <c r="P14" s="113"/>
      <c r="Q14" s="113"/>
      <c r="R14" s="113"/>
      <c r="S14" s="113"/>
      <c r="T14" s="113"/>
      <c r="U14" s="113"/>
      <c r="V14" s="113"/>
      <c r="W14" s="113"/>
      <c r="X14" s="113"/>
      <c r="Y14" s="113"/>
      <c r="Z14" s="113"/>
      <c r="AA14" s="113"/>
      <c r="AB14" s="113"/>
    </row>
    <row r="15" spans="1:28" ht="16.5" customHeight="1" x14ac:dyDescent="0.25">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row>
    <row r="16" spans="1:28" ht="26.25" customHeight="1" x14ac:dyDescent="0.25">
      <c r="A16" s="770" t="s">
        <v>431</v>
      </c>
      <c r="B16" s="592"/>
      <c r="C16" s="592"/>
      <c r="D16" s="592"/>
      <c r="E16" s="592"/>
      <c r="F16" s="592"/>
      <c r="G16" s="592"/>
      <c r="H16" s="689"/>
      <c r="I16" s="113"/>
      <c r="J16" s="113"/>
      <c r="K16" s="113"/>
      <c r="L16" s="113"/>
      <c r="M16" s="113"/>
      <c r="N16" s="113"/>
      <c r="O16" s="113"/>
      <c r="P16" s="113"/>
      <c r="Q16" s="113"/>
      <c r="R16" s="113"/>
      <c r="S16" s="113"/>
      <c r="T16" s="113"/>
      <c r="U16" s="113"/>
      <c r="V16" s="113"/>
      <c r="W16" s="113"/>
      <c r="X16" s="113"/>
      <c r="Y16" s="113"/>
      <c r="Z16" s="113"/>
      <c r="AA16" s="113"/>
      <c r="AB16" s="113"/>
    </row>
    <row r="17" spans="1:28" ht="25.5" customHeight="1" x14ac:dyDescent="0.25">
      <c r="A17" s="114" t="s">
        <v>26</v>
      </c>
      <c r="B17" s="115" t="s">
        <v>418</v>
      </c>
      <c r="C17" s="115" t="s">
        <v>419</v>
      </c>
      <c r="D17" s="115" t="s">
        <v>420</v>
      </c>
      <c r="E17" s="115" t="s">
        <v>421</v>
      </c>
      <c r="F17" s="115" t="s">
        <v>422</v>
      </c>
      <c r="G17" s="115" t="s">
        <v>423</v>
      </c>
      <c r="H17" s="116" t="s">
        <v>424</v>
      </c>
      <c r="I17" s="113"/>
      <c r="J17" s="113"/>
      <c r="K17" s="113"/>
      <c r="L17" s="113"/>
      <c r="M17" s="113"/>
      <c r="N17" s="113"/>
      <c r="O17" s="113"/>
      <c r="P17" s="113"/>
      <c r="Q17" s="113"/>
      <c r="R17" s="113"/>
      <c r="S17" s="113"/>
      <c r="T17" s="113"/>
      <c r="U17" s="113"/>
      <c r="V17" s="113"/>
      <c r="W17" s="113"/>
      <c r="X17" s="113"/>
      <c r="Y17" s="113"/>
      <c r="Z17" s="113"/>
      <c r="AA17" s="113"/>
      <c r="AB17" s="113"/>
    </row>
    <row r="18" spans="1:28" ht="16.5" customHeight="1" x14ac:dyDescent="0.25">
      <c r="A18" s="126" t="s">
        <v>432</v>
      </c>
      <c r="B18" s="118" t="s">
        <v>433</v>
      </c>
      <c r="C18" s="119">
        <v>4671772000</v>
      </c>
      <c r="D18" s="119">
        <v>4671772000</v>
      </c>
      <c r="E18" s="119">
        <v>0</v>
      </c>
      <c r="F18" s="118">
        <v>0</v>
      </c>
      <c r="G18" s="118">
        <v>0</v>
      </c>
      <c r="H18" s="127">
        <v>0</v>
      </c>
      <c r="I18" s="113"/>
      <c r="J18" s="113"/>
      <c r="K18" s="113"/>
      <c r="L18" s="113"/>
      <c r="M18" s="113"/>
      <c r="N18" s="113"/>
      <c r="O18" s="113"/>
      <c r="P18" s="113"/>
      <c r="Q18" s="113"/>
      <c r="R18" s="113"/>
      <c r="S18" s="113"/>
      <c r="T18" s="113"/>
      <c r="U18" s="113"/>
      <c r="V18" s="113"/>
      <c r="W18" s="113"/>
      <c r="X18" s="113"/>
      <c r="Y18" s="113"/>
      <c r="Z18" s="113"/>
      <c r="AA18" s="113"/>
      <c r="AB18" s="113"/>
    </row>
    <row r="19" spans="1:28" ht="16.5" customHeight="1" x14ac:dyDescent="0.25">
      <c r="A19" s="126" t="s">
        <v>434</v>
      </c>
      <c r="B19" s="118" t="s">
        <v>433</v>
      </c>
      <c r="C19" s="119">
        <v>4671772000</v>
      </c>
      <c r="D19" s="119">
        <v>4671772000</v>
      </c>
      <c r="E19" s="119">
        <v>684862300</v>
      </c>
      <c r="F19" s="120">
        <v>5846000</v>
      </c>
      <c r="G19" s="120">
        <v>5846000</v>
      </c>
      <c r="H19" s="128">
        <f t="shared" ref="H19:H29" si="1">G19/E19</f>
        <v>8.5360224967851207E-3</v>
      </c>
      <c r="I19" s="113"/>
      <c r="J19" s="113"/>
      <c r="K19" s="113"/>
      <c r="L19" s="113"/>
      <c r="M19" s="113"/>
      <c r="N19" s="113"/>
      <c r="O19" s="113"/>
      <c r="P19" s="113"/>
      <c r="Q19" s="113"/>
      <c r="R19" s="113"/>
      <c r="S19" s="113"/>
      <c r="T19" s="113"/>
      <c r="U19" s="113"/>
      <c r="V19" s="113"/>
      <c r="W19" s="113"/>
      <c r="X19" s="113"/>
      <c r="Y19" s="113"/>
      <c r="Z19" s="113"/>
      <c r="AA19" s="113"/>
      <c r="AB19" s="113"/>
    </row>
    <row r="20" spans="1:28" ht="16.5" customHeight="1" x14ac:dyDescent="0.25">
      <c r="A20" s="126" t="s">
        <v>435</v>
      </c>
      <c r="B20" s="118" t="s">
        <v>433</v>
      </c>
      <c r="C20" s="119">
        <v>4671772000</v>
      </c>
      <c r="D20" s="119">
        <v>4671772000</v>
      </c>
      <c r="E20" s="119">
        <v>1622643175</v>
      </c>
      <c r="F20" s="120">
        <v>31402017</v>
      </c>
      <c r="G20" s="120">
        <v>31402017</v>
      </c>
      <c r="H20" s="128">
        <f t="shared" si="1"/>
        <v>1.9352385961257317E-2</v>
      </c>
      <c r="I20" s="113"/>
      <c r="J20" s="113"/>
      <c r="K20" s="113"/>
      <c r="L20" s="113"/>
      <c r="M20" s="113"/>
      <c r="N20" s="113"/>
      <c r="O20" s="113"/>
      <c r="P20" s="113"/>
      <c r="Q20" s="113"/>
      <c r="R20" s="113"/>
      <c r="S20" s="113"/>
      <c r="T20" s="113"/>
      <c r="U20" s="113"/>
      <c r="V20" s="113"/>
      <c r="W20" s="113"/>
      <c r="X20" s="113"/>
      <c r="Y20" s="113"/>
      <c r="Z20" s="113"/>
      <c r="AA20" s="113"/>
      <c r="AB20" s="113"/>
    </row>
    <row r="21" spans="1:28" ht="16.5" customHeight="1" x14ac:dyDescent="0.25">
      <c r="A21" s="126" t="s">
        <v>436</v>
      </c>
      <c r="B21" s="118" t="s">
        <v>433</v>
      </c>
      <c r="C21" s="119">
        <v>4671772000</v>
      </c>
      <c r="D21" s="119">
        <v>3396203383</v>
      </c>
      <c r="E21" s="119">
        <v>1642686325</v>
      </c>
      <c r="F21" s="120">
        <v>168056457</v>
      </c>
      <c r="G21" s="120">
        <v>168056457</v>
      </c>
      <c r="H21" s="128">
        <f t="shared" si="1"/>
        <v>0.10230587205990163</v>
      </c>
      <c r="I21" s="113"/>
      <c r="J21" s="113"/>
      <c r="K21" s="113"/>
      <c r="L21" s="113"/>
      <c r="M21" s="113"/>
      <c r="N21" s="113"/>
      <c r="O21" s="113"/>
      <c r="P21" s="113"/>
      <c r="Q21" s="113"/>
      <c r="R21" s="113"/>
      <c r="S21" s="113"/>
      <c r="T21" s="113"/>
      <c r="U21" s="113"/>
      <c r="V21" s="113"/>
      <c r="W21" s="113"/>
      <c r="X21" s="113"/>
      <c r="Y21" s="113"/>
      <c r="Z21" s="113"/>
      <c r="AA21" s="113"/>
      <c r="AB21" s="113"/>
    </row>
    <row r="22" spans="1:28" ht="16.5" customHeight="1" x14ac:dyDescent="0.25">
      <c r="A22" s="126" t="s">
        <v>437</v>
      </c>
      <c r="B22" s="118" t="s">
        <v>433</v>
      </c>
      <c r="C22" s="119">
        <v>4671772000</v>
      </c>
      <c r="D22" s="119">
        <v>3396203383</v>
      </c>
      <c r="E22" s="119">
        <v>1855543475</v>
      </c>
      <c r="F22" s="120">
        <v>295758074</v>
      </c>
      <c r="G22" s="120">
        <v>295758074</v>
      </c>
      <c r="H22" s="128">
        <f t="shared" si="1"/>
        <v>0.15939161651817402</v>
      </c>
      <c r="I22" s="113"/>
      <c r="J22" s="113"/>
      <c r="K22" s="113"/>
      <c r="L22" s="113"/>
      <c r="M22" s="113"/>
      <c r="N22" s="113"/>
      <c r="O22" s="113"/>
      <c r="P22" s="113"/>
      <c r="Q22" s="113"/>
      <c r="R22" s="113"/>
      <c r="S22" s="113"/>
      <c r="T22" s="113"/>
      <c r="U22" s="113"/>
      <c r="V22" s="113"/>
      <c r="W22" s="113"/>
      <c r="X22" s="113"/>
      <c r="Y22" s="113"/>
      <c r="Z22" s="113"/>
      <c r="AA22" s="113"/>
      <c r="AB22" s="113"/>
    </row>
    <row r="23" spans="1:28" ht="16.5" customHeight="1" x14ac:dyDescent="0.25">
      <c r="A23" s="126" t="s">
        <v>438</v>
      </c>
      <c r="B23" s="118" t="s">
        <v>433</v>
      </c>
      <c r="C23" s="119">
        <v>4671772000</v>
      </c>
      <c r="D23" s="119">
        <v>3396203383</v>
      </c>
      <c r="E23" s="119">
        <v>2878947146</v>
      </c>
      <c r="F23" s="120">
        <v>510780202</v>
      </c>
      <c r="G23" s="120">
        <v>510780202</v>
      </c>
      <c r="H23" s="128">
        <f t="shared" si="1"/>
        <v>0.17741909666861247</v>
      </c>
      <c r="I23" s="113"/>
      <c r="J23" s="113"/>
      <c r="K23" s="113"/>
      <c r="L23" s="113"/>
      <c r="M23" s="113"/>
      <c r="N23" s="113"/>
      <c r="O23" s="113"/>
      <c r="P23" s="113"/>
      <c r="Q23" s="113"/>
      <c r="R23" s="113"/>
      <c r="S23" s="113"/>
      <c r="T23" s="113"/>
      <c r="U23" s="113"/>
      <c r="V23" s="113"/>
      <c r="W23" s="113"/>
      <c r="X23" s="113"/>
      <c r="Y23" s="113"/>
      <c r="Z23" s="113"/>
      <c r="AA23" s="113"/>
      <c r="AB23" s="113"/>
    </row>
    <row r="24" spans="1:28" ht="16.5" customHeight="1" x14ac:dyDescent="0.25">
      <c r="A24" s="126" t="s">
        <v>425</v>
      </c>
      <c r="B24" s="118" t="s">
        <v>433</v>
      </c>
      <c r="C24" s="119">
        <v>4671772000</v>
      </c>
      <c r="D24" s="119">
        <v>3396203383</v>
      </c>
      <c r="E24" s="119">
        <v>2909850296</v>
      </c>
      <c r="F24" s="120">
        <v>1108493381</v>
      </c>
      <c r="G24" s="120">
        <v>1108493381</v>
      </c>
      <c r="H24" s="128">
        <f t="shared" si="1"/>
        <v>0.38094515808039359</v>
      </c>
      <c r="I24" s="113"/>
      <c r="J24" s="113"/>
      <c r="K24" s="113"/>
      <c r="L24" s="113"/>
      <c r="M24" s="113"/>
      <c r="N24" s="113"/>
      <c r="O24" s="113"/>
      <c r="P24" s="113"/>
      <c r="Q24" s="113"/>
      <c r="R24" s="113"/>
      <c r="S24" s="113"/>
      <c r="T24" s="113"/>
      <c r="U24" s="113"/>
      <c r="V24" s="113"/>
      <c r="W24" s="113"/>
      <c r="X24" s="113"/>
      <c r="Y24" s="113"/>
      <c r="Z24" s="113"/>
      <c r="AA24" s="113"/>
      <c r="AB24" s="113"/>
    </row>
    <row r="25" spans="1:28" ht="16.5" customHeight="1" x14ac:dyDescent="0.25">
      <c r="A25" s="126" t="s">
        <v>426</v>
      </c>
      <c r="B25" s="118" t="s">
        <v>433</v>
      </c>
      <c r="C25" s="119">
        <v>4671772000</v>
      </c>
      <c r="D25" s="119">
        <v>4671772000</v>
      </c>
      <c r="E25" s="119">
        <v>2938693446</v>
      </c>
      <c r="F25" s="120">
        <v>1894994439</v>
      </c>
      <c r="G25" s="120">
        <v>1894994439</v>
      </c>
      <c r="H25" s="128">
        <f t="shared" si="1"/>
        <v>0.64484250358926343</v>
      </c>
      <c r="I25" s="113"/>
      <c r="J25" s="113"/>
      <c r="K25" s="113"/>
      <c r="L25" s="113"/>
      <c r="M25" s="113"/>
      <c r="N25" s="113"/>
      <c r="O25" s="113"/>
      <c r="P25" s="113"/>
      <c r="Q25" s="113"/>
      <c r="R25" s="113"/>
      <c r="S25" s="113"/>
      <c r="T25" s="113"/>
      <c r="U25" s="113"/>
      <c r="V25" s="113"/>
      <c r="W25" s="113"/>
      <c r="X25" s="113"/>
      <c r="Y25" s="113"/>
      <c r="Z25" s="113"/>
      <c r="AA25" s="113"/>
      <c r="AB25" s="113"/>
    </row>
    <row r="26" spans="1:28" ht="16.5" customHeight="1" x14ac:dyDescent="0.25">
      <c r="A26" s="126" t="s">
        <v>427</v>
      </c>
      <c r="B26" s="118" t="s">
        <v>433</v>
      </c>
      <c r="C26" s="119">
        <v>4671772000</v>
      </c>
      <c r="D26" s="119">
        <v>4095535000</v>
      </c>
      <c r="E26" s="119">
        <v>2997313443</v>
      </c>
      <c r="F26" s="120">
        <v>2086038245</v>
      </c>
      <c r="G26" s="120">
        <v>2086038245</v>
      </c>
      <c r="H26" s="128">
        <f t="shared" si="1"/>
        <v>0.69596933542996153</v>
      </c>
      <c r="I26" s="113"/>
      <c r="J26" s="113"/>
      <c r="K26" s="113"/>
      <c r="L26" s="113"/>
      <c r="M26" s="113"/>
      <c r="N26" s="113"/>
      <c r="O26" s="113"/>
      <c r="P26" s="113"/>
      <c r="Q26" s="113"/>
      <c r="R26" s="113"/>
      <c r="S26" s="113"/>
      <c r="T26" s="113"/>
      <c r="U26" s="113"/>
      <c r="V26" s="113"/>
      <c r="W26" s="113"/>
      <c r="X26" s="113"/>
      <c r="Y26" s="113"/>
      <c r="Z26" s="113"/>
      <c r="AA26" s="113"/>
      <c r="AB26" s="113"/>
    </row>
    <row r="27" spans="1:28" ht="16.5" customHeight="1" x14ac:dyDescent="0.25">
      <c r="A27" s="126" t="s">
        <v>428</v>
      </c>
      <c r="B27" s="118" t="s">
        <v>433</v>
      </c>
      <c r="C27" s="119">
        <v>4671772000</v>
      </c>
      <c r="D27" s="119">
        <v>4095535000</v>
      </c>
      <c r="E27" s="119">
        <v>2997313443</v>
      </c>
      <c r="F27" s="120">
        <v>2408060324</v>
      </c>
      <c r="G27" s="120">
        <v>2408060324</v>
      </c>
      <c r="H27" s="128">
        <f t="shared" si="1"/>
        <v>0.8034062402195018</v>
      </c>
      <c r="I27" s="113"/>
      <c r="J27" s="113"/>
      <c r="K27" s="113"/>
      <c r="L27" s="113"/>
      <c r="M27" s="113"/>
      <c r="N27" s="113"/>
      <c r="O27" s="113"/>
      <c r="P27" s="113"/>
      <c r="Q27" s="113"/>
      <c r="R27" s="113"/>
      <c r="S27" s="113"/>
      <c r="T27" s="113"/>
      <c r="U27" s="113"/>
      <c r="V27" s="113"/>
      <c r="W27" s="113"/>
      <c r="X27" s="113"/>
      <c r="Y27" s="113"/>
      <c r="Z27" s="113"/>
      <c r="AA27" s="113"/>
      <c r="AB27" s="113"/>
    </row>
    <row r="28" spans="1:28" ht="16.5" customHeight="1" x14ac:dyDescent="0.25">
      <c r="A28" s="126" t="s">
        <v>429</v>
      </c>
      <c r="B28" s="118" t="s">
        <v>433</v>
      </c>
      <c r="C28" s="119">
        <v>4671772000</v>
      </c>
      <c r="D28" s="119">
        <v>4095535000</v>
      </c>
      <c r="E28" s="119">
        <v>3430155321</v>
      </c>
      <c r="F28" s="120">
        <v>2614481754</v>
      </c>
      <c r="G28" s="120">
        <v>2614481754</v>
      </c>
      <c r="H28" s="128">
        <f t="shared" si="1"/>
        <v>0.76220506342488159</v>
      </c>
      <c r="I28" s="113"/>
      <c r="J28" s="113"/>
      <c r="K28" s="113"/>
      <c r="L28" s="113"/>
      <c r="M28" s="113"/>
      <c r="N28" s="113"/>
      <c r="O28" s="113"/>
      <c r="P28" s="113"/>
      <c r="Q28" s="113"/>
      <c r="R28" s="113"/>
      <c r="S28" s="113"/>
      <c r="T28" s="113"/>
      <c r="U28" s="113"/>
      <c r="V28" s="113"/>
      <c r="W28" s="113"/>
      <c r="X28" s="113"/>
      <c r="Y28" s="113"/>
      <c r="Z28" s="113"/>
      <c r="AA28" s="113"/>
      <c r="AB28" s="113"/>
    </row>
    <row r="29" spans="1:28" ht="16.5" customHeight="1" x14ac:dyDescent="0.25">
      <c r="A29" s="129" t="s">
        <v>430</v>
      </c>
      <c r="B29" s="118" t="s">
        <v>433</v>
      </c>
      <c r="C29" s="119">
        <v>4671772000</v>
      </c>
      <c r="D29" s="119">
        <v>4095535000</v>
      </c>
      <c r="E29" s="119">
        <v>3927091847</v>
      </c>
      <c r="F29" s="120">
        <v>2869965862</v>
      </c>
      <c r="G29" s="120">
        <v>2869965862</v>
      </c>
      <c r="H29" s="128">
        <f t="shared" si="1"/>
        <v>0.73081200384769096</v>
      </c>
      <c r="I29" s="113"/>
      <c r="J29" s="113"/>
      <c r="K29" s="113"/>
      <c r="L29" s="113"/>
      <c r="M29" s="113"/>
      <c r="N29" s="113"/>
      <c r="O29" s="113"/>
      <c r="P29" s="113"/>
      <c r="Q29" s="113"/>
      <c r="R29" s="113"/>
      <c r="S29" s="113"/>
      <c r="T29" s="113"/>
      <c r="U29" s="113"/>
      <c r="V29" s="113"/>
      <c r="W29" s="113"/>
      <c r="X29" s="113"/>
      <c r="Y29" s="113"/>
      <c r="Z29" s="113"/>
      <c r="AA29" s="113"/>
      <c r="AB29" s="113"/>
    </row>
    <row r="30" spans="1:28" ht="16.5" customHeight="1" x14ac:dyDescent="0.25">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row>
    <row r="31" spans="1:28" ht="24.75" customHeight="1" x14ac:dyDescent="0.25">
      <c r="A31" s="770" t="s">
        <v>439</v>
      </c>
      <c r="B31" s="592"/>
      <c r="C31" s="592"/>
      <c r="D31" s="592"/>
      <c r="E31" s="592"/>
      <c r="F31" s="592"/>
      <c r="G31" s="592"/>
      <c r="H31" s="689"/>
      <c r="I31" s="113"/>
      <c r="J31" s="113"/>
      <c r="K31" s="113"/>
      <c r="L31" s="113"/>
      <c r="M31" s="113"/>
      <c r="N31" s="113"/>
      <c r="O31" s="113"/>
      <c r="P31" s="113"/>
      <c r="Q31" s="113"/>
      <c r="R31" s="113"/>
      <c r="S31" s="113"/>
      <c r="T31" s="113"/>
      <c r="U31" s="113"/>
      <c r="V31" s="113"/>
      <c r="W31" s="113"/>
      <c r="X31" s="113"/>
      <c r="Y31" s="113"/>
      <c r="Z31" s="113"/>
      <c r="AA31" s="113"/>
      <c r="AB31" s="113"/>
    </row>
    <row r="32" spans="1:28" ht="25.5" customHeight="1" x14ac:dyDescent="0.25">
      <c r="A32" s="114" t="s">
        <v>27</v>
      </c>
      <c r="B32" s="115" t="s">
        <v>418</v>
      </c>
      <c r="C32" s="115" t="s">
        <v>419</v>
      </c>
      <c r="D32" s="115" t="s">
        <v>420</v>
      </c>
      <c r="E32" s="115" t="s">
        <v>421</v>
      </c>
      <c r="F32" s="115" t="s">
        <v>422</v>
      </c>
      <c r="G32" s="115" t="s">
        <v>423</v>
      </c>
      <c r="H32" s="116" t="s">
        <v>424</v>
      </c>
      <c r="I32" s="113"/>
      <c r="J32" s="113"/>
      <c r="K32" s="113"/>
      <c r="L32" s="113"/>
      <c r="M32" s="113"/>
      <c r="N32" s="113"/>
      <c r="O32" s="113"/>
      <c r="P32" s="113"/>
      <c r="Q32" s="113"/>
      <c r="R32" s="113"/>
      <c r="S32" s="113"/>
      <c r="T32" s="113"/>
      <c r="U32" s="113"/>
      <c r="V32" s="113"/>
      <c r="W32" s="113"/>
      <c r="X32" s="113"/>
      <c r="Y32" s="113"/>
      <c r="Z32" s="113"/>
      <c r="AA32" s="113"/>
      <c r="AB32" s="113"/>
    </row>
    <row r="33" spans="1:28" ht="16.5" customHeight="1" x14ac:dyDescent="0.25">
      <c r="A33" s="126" t="s">
        <v>432</v>
      </c>
      <c r="B33" s="118" t="s">
        <v>433</v>
      </c>
      <c r="C33" s="119">
        <v>5479879000</v>
      </c>
      <c r="D33" s="119">
        <v>5479879000</v>
      </c>
      <c r="E33" s="118">
        <v>0</v>
      </c>
      <c r="F33" s="118">
        <v>0</v>
      </c>
      <c r="G33" s="118">
        <v>0</v>
      </c>
      <c r="H33" s="130" t="e">
        <f t="shared" ref="H33:H44" si="2">G33/E33</f>
        <v>#DIV/0!</v>
      </c>
      <c r="I33" s="113"/>
      <c r="J33" s="113"/>
      <c r="K33" s="113"/>
      <c r="L33" s="113"/>
      <c r="M33" s="113"/>
      <c r="N33" s="113"/>
      <c r="O33" s="113"/>
      <c r="P33" s="113"/>
      <c r="Q33" s="113"/>
      <c r="R33" s="113"/>
      <c r="S33" s="113"/>
      <c r="T33" s="113"/>
      <c r="U33" s="113"/>
      <c r="V33" s="113"/>
      <c r="W33" s="113"/>
      <c r="X33" s="113"/>
      <c r="Y33" s="113"/>
      <c r="Z33" s="113"/>
      <c r="AA33" s="113"/>
      <c r="AB33" s="113"/>
    </row>
    <row r="34" spans="1:28" ht="16.5" customHeight="1" x14ac:dyDescent="0.25">
      <c r="A34" s="126" t="s">
        <v>434</v>
      </c>
      <c r="B34" s="118" t="s">
        <v>433</v>
      </c>
      <c r="C34" s="119">
        <v>5479879000</v>
      </c>
      <c r="D34" s="119">
        <v>5479879000</v>
      </c>
      <c r="E34" s="119">
        <v>2571849108</v>
      </c>
      <c r="F34" s="119">
        <v>8026501</v>
      </c>
      <c r="G34" s="119">
        <v>8026501</v>
      </c>
      <c r="H34" s="131">
        <f t="shared" si="2"/>
        <v>3.1209066562391807E-3</v>
      </c>
      <c r="I34" s="113"/>
      <c r="J34" s="113"/>
      <c r="K34" s="113"/>
      <c r="L34" s="113"/>
      <c r="M34" s="113"/>
      <c r="N34" s="113"/>
      <c r="O34" s="113"/>
      <c r="P34" s="113"/>
      <c r="Q34" s="113"/>
      <c r="R34" s="113"/>
      <c r="S34" s="113"/>
      <c r="T34" s="113"/>
      <c r="U34" s="113"/>
      <c r="V34" s="113"/>
      <c r="W34" s="113"/>
      <c r="X34" s="113"/>
      <c r="Y34" s="113"/>
      <c r="Z34" s="113"/>
      <c r="AA34" s="113"/>
      <c r="AB34" s="113"/>
    </row>
    <row r="35" spans="1:28" ht="16.5" customHeight="1" x14ac:dyDescent="0.25">
      <c r="A35" s="126" t="s">
        <v>435</v>
      </c>
      <c r="B35" s="118" t="s">
        <v>433</v>
      </c>
      <c r="C35" s="119">
        <v>5479879000</v>
      </c>
      <c r="D35" s="119">
        <v>5479879000</v>
      </c>
      <c r="E35" s="119">
        <v>2571849108</v>
      </c>
      <c r="F35" s="119">
        <v>202064355</v>
      </c>
      <c r="G35" s="119">
        <v>202064355</v>
      </c>
      <c r="H35" s="131">
        <f t="shared" si="2"/>
        <v>7.8567733375748267E-2</v>
      </c>
      <c r="I35" s="113"/>
      <c r="J35" s="113"/>
      <c r="K35" s="113"/>
      <c r="L35" s="113"/>
      <c r="M35" s="113"/>
      <c r="N35" s="113"/>
      <c r="O35" s="113"/>
      <c r="P35" s="113"/>
      <c r="Q35" s="113"/>
      <c r="R35" s="113"/>
      <c r="S35" s="113"/>
      <c r="T35" s="113"/>
      <c r="U35" s="113"/>
      <c r="V35" s="113"/>
      <c r="W35" s="113"/>
      <c r="X35" s="113"/>
      <c r="Y35" s="113"/>
      <c r="Z35" s="113"/>
      <c r="AA35" s="113"/>
      <c r="AB35" s="113"/>
    </row>
    <row r="36" spans="1:28" ht="16.5" customHeight="1" x14ac:dyDescent="0.25">
      <c r="A36" s="126" t="s">
        <v>436</v>
      </c>
      <c r="B36" s="118" t="s">
        <v>433</v>
      </c>
      <c r="C36" s="119">
        <v>5479879000</v>
      </c>
      <c r="D36" s="119">
        <v>5479879000</v>
      </c>
      <c r="E36" s="119">
        <v>2581762585</v>
      </c>
      <c r="F36" s="119">
        <v>983344330</v>
      </c>
      <c r="G36" s="119">
        <v>983344330</v>
      </c>
      <c r="H36" s="128">
        <f t="shared" si="2"/>
        <v>0.38088100575677064</v>
      </c>
      <c r="I36" s="113"/>
      <c r="J36" s="113"/>
      <c r="K36" s="113"/>
      <c r="L36" s="113"/>
      <c r="M36" s="113"/>
      <c r="N36" s="113"/>
      <c r="O36" s="113"/>
      <c r="P36" s="113"/>
      <c r="Q36" s="113"/>
      <c r="R36" s="113"/>
      <c r="S36" s="113"/>
      <c r="T36" s="113"/>
      <c r="U36" s="113"/>
      <c r="V36" s="113"/>
      <c r="W36" s="113"/>
      <c r="X36" s="113"/>
      <c r="Y36" s="113"/>
      <c r="Z36" s="113"/>
      <c r="AA36" s="113"/>
      <c r="AB36" s="113"/>
    </row>
    <row r="37" spans="1:28" ht="16.5" customHeight="1" x14ac:dyDescent="0.25">
      <c r="A37" s="126" t="s">
        <v>437</v>
      </c>
      <c r="B37" s="118" t="s">
        <v>433</v>
      </c>
      <c r="C37" s="119">
        <v>5479879000</v>
      </c>
      <c r="D37" s="119">
        <v>5479879000</v>
      </c>
      <c r="E37" s="119">
        <v>2581762585</v>
      </c>
      <c r="F37" s="119">
        <v>1177166996</v>
      </c>
      <c r="G37" s="119">
        <v>1177166996</v>
      </c>
      <c r="H37" s="128">
        <f t="shared" si="2"/>
        <v>0.4559547817600742</v>
      </c>
      <c r="I37" s="113"/>
      <c r="J37" s="113"/>
      <c r="K37" s="113"/>
      <c r="L37" s="113"/>
      <c r="M37" s="113"/>
      <c r="N37" s="113"/>
      <c r="O37" s="113"/>
      <c r="P37" s="113"/>
      <c r="Q37" s="113"/>
      <c r="R37" s="113"/>
      <c r="S37" s="113"/>
      <c r="T37" s="113"/>
      <c r="U37" s="113"/>
      <c r="V37" s="113"/>
      <c r="W37" s="113"/>
      <c r="X37" s="113"/>
      <c r="Y37" s="113"/>
      <c r="Z37" s="113"/>
      <c r="AA37" s="113"/>
      <c r="AB37" s="113"/>
    </row>
    <row r="38" spans="1:28" ht="16.5" customHeight="1" x14ac:dyDescent="0.25">
      <c r="A38" s="126" t="s">
        <v>438</v>
      </c>
      <c r="B38" s="118" t="s">
        <v>433</v>
      </c>
      <c r="C38" s="119">
        <v>5479879000</v>
      </c>
      <c r="D38" s="119">
        <v>5479879000</v>
      </c>
      <c r="E38" s="119">
        <v>2966811325</v>
      </c>
      <c r="F38" s="119">
        <v>1375640588</v>
      </c>
      <c r="G38" s="119">
        <v>1375640588</v>
      </c>
      <c r="H38" s="131">
        <f t="shared" si="2"/>
        <v>0.46367646516921662</v>
      </c>
      <c r="I38" s="113"/>
      <c r="J38" s="113"/>
      <c r="K38" s="113"/>
      <c r="L38" s="113"/>
      <c r="M38" s="113"/>
      <c r="N38" s="113"/>
      <c r="O38" s="113"/>
      <c r="P38" s="113"/>
      <c r="Q38" s="113"/>
      <c r="R38" s="113"/>
      <c r="S38" s="113"/>
      <c r="T38" s="113"/>
      <c r="U38" s="113"/>
      <c r="V38" s="113"/>
      <c r="W38" s="113"/>
      <c r="X38" s="113"/>
      <c r="Y38" s="113"/>
      <c r="Z38" s="113"/>
      <c r="AA38" s="113"/>
      <c r="AB38" s="113"/>
    </row>
    <row r="39" spans="1:28" ht="16.5" customHeight="1" x14ac:dyDescent="0.25">
      <c r="A39" s="126" t="s">
        <v>425</v>
      </c>
      <c r="B39" s="118" t="s">
        <v>433</v>
      </c>
      <c r="C39" s="119">
        <v>5479879000</v>
      </c>
      <c r="D39" s="119">
        <v>5479879000</v>
      </c>
      <c r="E39" s="119">
        <v>3178367498</v>
      </c>
      <c r="F39" s="119">
        <v>1583073280</v>
      </c>
      <c r="G39" s="119">
        <v>1583073280</v>
      </c>
      <c r="H39" s="131">
        <f t="shared" si="2"/>
        <v>0.49807748191364121</v>
      </c>
      <c r="I39" s="113"/>
      <c r="J39" s="113"/>
      <c r="K39" s="113"/>
      <c r="L39" s="113"/>
      <c r="M39" s="113"/>
      <c r="N39" s="113"/>
      <c r="O39" s="113"/>
      <c r="P39" s="113"/>
      <c r="Q39" s="113"/>
      <c r="R39" s="113"/>
      <c r="S39" s="113"/>
      <c r="T39" s="113"/>
      <c r="U39" s="113"/>
      <c r="V39" s="113"/>
      <c r="W39" s="113"/>
      <c r="X39" s="113"/>
      <c r="Y39" s="113"/>
      <c r="Z39" s="113"/>
      <c r="AA39" s="113"/>
      <c r="AB39" s="113"/>
    </row>
    <row r="40" spans="1:28" ht="16.5" customHeight="1" x14ac:dyDescent="0.25">
      <c r="A40" s="126" t="s">
        <v>426</v>
      </c>
      <c r="B40" s="118" t="s">
        <v>433</v>
      </c>
      <c r="C40" s="119">
        <v>5479879000</v>
      </c>
      <c r="D40" s="119">
        <v>5479879000</v>
      </c>
      <c r="E40" s="119">
        <v>3799719976</v>
      </c>
      <c r="F40" s="119">
        <v>2187486205</v>
      </c>
      <c r="G40" s="119">
        <v>2187486205</v>
      </c>
      <c r="H40" s="131">
        <f t="shared" si="2"/>
        <v>0.57569668786561123</v>
      </c>
      <c r="I40" s="113"/>
      <c r="J40" s="113"/>
      <c r="K40" s="113"/>
      <c r="L40" s="113"/>
      <c r="M40" s="113"/>
      <c r="N40" s="113"/>
      <c r="O40" s="113"/>
      <c r="P40" s="113"/>
      <c r="Q40" s="113"/>
      <c r="R40" s="113"/>
      <c r="S40" s="113"/>
      <c r="T40" s="113"/>
      <c r="U40" s="113"/>
      <c r="V40" s="113"/>
      <c r="W40" s="113"/>
      <c r="X40" s="113"/>
      <c r="Y40" s="113"/>
      <c r="Z40" s="113"/>
      <c r="AA40" s="113"/>
      <c r="AB40" s="113"/>
    </row>
    <row r="41" spans="1:28" ht="16.5" customHeight="1" x14ac:dyDescent="0.25">
      <c r="A41" s="126" t="s">
        <v>427</v>
      </c>
      <c r="B41" s="118" t="s">
        <v>433</v>
      </c>
      <c r="C41" s="119">
        <v>5479879000</v>
      </c>
      <c r="D41" s="119">
        <v>5479879000</v>
      </c>
      <c r="E41" s="119">
        <v>3972917876</v>
      </c>
      <c r="F41" s="119">
        <v>2475191574</v>
      </c>
      <c r="G41" s="119">
        <v>2475191574</v>
      </c>
      <c r="H41" s="131">
        <f t="shared" si="2"/>
        <v>0.62301604293216961</v>
      </c>
      <c r="I41" s="113"/>
      <c r="J41" s="113"/>
      <c r="K41" s="113"/>
      <c r="L41" s="113"/>
      <c r="M41" s="113"/>
      <c r="N41" s="113"/>
      <c r="O41" s="113"/>
      <c r="P41" s="113"/>
      <c r="Q41" s="113"/>
      <c r="R41" s="113"/>
      <c r="S41" s="113"/>
      <c r="T41" s="113"/>
      <c r="U41" s="113"/>
      <c r="V41" s="113"/>
      <c r="W41" s="113"/>
      <c r="X41" s="113"/>
      <c r="Y41" s="113"/>
      <c r="Z41" s="113"/>
      <c r="AA41" s="113"/>
      <c r="AB41" s="113"/>
    </row>
    <row r="42" spans="1:28" ht="16.5" customHeight="1" x14ac:dyDescent="0.25">
      <c r="A42" s="126" t="s">
        <v>428</v>
      </c>
      <c r="B42" s="118" t="s">
        <v>433</v>
      </c>
      <c r="C42" s="119">
        <v>5479879000</v>
      </c>
      <c r="D42" s="119">
        <v>5479879000</v>
      </c>
      <c r="E42" s="119">
        <v>4101267106</v>
      </c>
      <c r="F42" s="119">
        <v>3344172096</v>
      </c>
      <c r="G42" s="119">
        <v>3344172096</v>
      </c>
      <c r="H42" s="131">
        <f t="shared" si="2"/>
        <v>0.81539973124588783</v>
      </c>
      <c r="I42" s="113"/>
      <c r="J42" s="113"/>
      <c r="K42" s="113"/>
      <c r="L42" s="113"/>
      <c r="M42" s="113"/>
      <c r="N42" s="113"/>
      <c r="O42" s="113"/>
      <c r="P42" s="113"/>
      <c r="Q42" s="113"/>
      <c r="R42" s="113"/>
      <c r="S42" s="113"/>
      <c r="T42" s="113"/>
      <c r="U42" s="113"/>
      <c r="V42" s="113"/>
      <c r="W42" s="113"/>
      <c r="X42" s="113"/>
      <c r="Y42" s="113"/>
      <c r="Z42" s="113"/>
      <c r="AA42" s="113"/>
      <c r="AB42" s="113"/>
    </row>
    <row r="43" spans="1:28" ht="16.5" customHeight="1" x14ac:dyDescent="0.25">
      <c r="A43" s="126" t="s">
        <v>429</v>
      </c>
      <c r="B43" s="118" t="s">
        <v>433</v>
      </c>
      <c r="C43" s="119">
        <v>5479879000</v>
      </c>
      <c r="D43" s="119">
        <v>5479879000</v>
      </c>
      <c r="E43" s="119">
        <f>INVERSIÓN!CG45</f>
        <v>5412161657.333333</v>
      </c>
      <c r="F43" s="119">
        <v>3673672618</v>
      </c>
      <c r="G43" s="119">
        <v>3673672618</v>
      </c>
      <c r="H43" s="128">
        <f t="shared" si="2"/>
        <v>0.67878102144681374</v>
      </c>
      <c r="I43" s="113"/>
      <c r="J43" s="113"/>
      <c r="K43" s="113"/>
      <c r="L43" s="113"/>
      <c r="M43" s="113"/>
      <c r="N43" s="113"/>
      <c r="O43" s="113"/>
      <c r="P43" s="113"/>
      <c r="Q43" s="113"/>
      <c r="R43" s="113"/>
      <c r="S43" s="113"/>
      <c r="T43" s="113"/>
      <c r="U43" s="113"/>
      <c r="V43" s="113"/>
      <c r="W43" s="113"/>
      <c r="X43" s="113"/>
      <c r="Y43" s="113"/>
      <c r="Z43" s="113"/>
      <c r="AA43" s="113"/>
      <c r="AB43" s="113"/>
    </row>
    <row r="44" spans="1:28" ht="16.5" customHeight="1" x14ac:dyDescent="0.25">
      <c r="A44" s="129" t="s">
        <v>430</v>
      </c>
      <c r="B44" s="118" t="s">
        <v>433</v>
      </c>
      <c r="C44" s="119">
        <v>5479879000</v>
      </c>
      <c r="D44" s="119">
        <v>5479879000</v>
      </c>
      <c r="E44" s="124">
        <f>INVERSIÓN!CG45</f>
        <v>5412161657.333333</v>
      </c>
      <c r="F44" s="119">
        <v>4063853539</v>
      </c>
      <c r="G44" s="119">
        <v>4063853539</v>
      </c>
      <c r="H44" s="131">
        <f t="shared" si="2"/>
        <v>0.75087438186433109</v>
      </c>
      <c r="I44" s="113"/>
      <c r="J44" s="113"/>
      <c r="K44" s="113"/>
      <c r="L44" s="113"/>
      <c r="M44" s="113"/>
      <c r="N44" s="113"/>
      <c r="O44" s="113"/>
      <c r="P44" s="113"/>
      <c r="Q44" s="113"/>
      <c r="R44" s="113"/>
      <c r="S44" s="113"/>
      <c r="T44" s="113"/>
      <c r="U44" s="113"/>
      <c r="V44" s="113"/>
      <c r="W44" s="113"/>
      <c r="X44" s="113"/>
      <c r="Y44" s="113"/>
      <c r="Z44" s="113"/>
      <c r="AA44" s="113"/>
      <c r="AB44" s="113"/>
    </row>
    <row r="45" spans="1:28" ht="16.5" customHeight="1" x14ac:dyDescent="0.25">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row>
    <row r="46" spans="1:28" ht="27.75" customHeight="1" x14ac:dyDescent="0.25">
      <c r="A46" s="770" t="s">
        <v>440</v>
      </c>
      <c r="B46" s="592"/>
      <c r="C46" s="592"/>
      <c r="D46" s="592"/>
      <c r="E46" s="592"/>
      <c r="F46" s="592"/>
      <c r="G46" s="592"/>
      <c r="H46" s="689"/>
      <c r="I46" s="113"/>
      <c r="J46" s="113"/>
      <c r="K46" s="113"/>
      <c r="L46" s="113"/>
      <c r="M46" s="113"/>
      <c r="N46" s="113"/>
      <c r="O46" s="113"/>
      <c r="P46" s="113"/>
      <c r="Q46" s="113"/>
      <c r="R46" s="113"/>
      <c r="S46" s="113"/>
      <c r="T46" s="113"/>
      <c r="U46" s="113"/>
      <c r="V46" s="113"/>
      <c r="W46" s="113"/>
      <c r="X46" s="113"/>
      <c r="Y46" s="113"/>
      <c r="Z46" s="113"/>
      <c r="AA46" s="113"/>
      <c r="AB46" s="113"/>
    </row>
    <row r="47" spans="1:28" ht="25.5" customHeight="1" x14ac:dyDescent="0.25">
      <c r="A47" s="114" t="s">
        <v>28</v>
      </c>
      <c r="B47" s="115" t="s">
        <v>418</v>
      </c>
      <c r="C47" s="115" t="s">
        <v>419</v>
      </c>
      <c r="D47" s="115" t="s">
        <v>420</v>
      </c>
      <c r="E47" s="115" t="s">
        <v>421</v>
      </c>
      <c r="F47" s="115" t="s">
        <v>422</v>
      </c>
      <c r="G47" s="115" t="s">
        <v>423</v>
      </c>
      <c r="H47" s="116" t="s">
        <v>424</v>
      </c>
      <c r="I47" s="113"/>
      <c r="J47" s="113"/>
      <c r="K47" s="113"/>
      <c r="L47" s="113"/>
      <c r="M47" s="113"/>
      <c r="N47" s="113"/>
      <c r="O47" s="113"/>
      <c r="P47" s="113"/>
      <c r="Q47" s="113"/>
      <c r="R47" s="113"/>
      <c r="S47" s="113"/>
      <c r="T47" s="113"/>
      <c r="U47" s="113"/>
      <c r="V47" s="113"/>
      <c r="W47" s="113"/>
      <c r="X47" s="113"/>
      <c r="Y47" s="113"/>
      <c r="Z47" s="113"/>
      <c r="AA47" s="113"/>
      <c r="AB47" s="113"/>
    </row>
    <row r="48" spans="1:28" ht="16.5" customHeight="1" x14ac:dyDescent="0.25">
      <c r="A48" s="126" t="s">
        <v>432</v>
      </c>
      <c r="B48" s="118" t="s">
        <v>433</v>
      </c>
      <c r="C48" s="118">
        <v>6000000000</v>
      </c>
      <c r="D48" s="132">
        <v>6000000000</v>
      </c>
      <c r="E48" s="132">
        <v>0</v>
      </c>
      <c r="F48" s="132">
        <v>0</v>
      </c>
      <c r="G48" s="132">
        <v>0</v>
      </c>
      <c r="H48" s="127" t="e">
        <f t="shared" ref="H48:H59" si="3">G48/E48</f>
        <v>#DIV/0!</v>
      </c>
      <c r="I48" s="113"/>
      <c r="J48" s="113"/>
      <c r="K48" s="113"/>
      <c r="L48" s="113"/>
      <c r="M48" s="113"/>
      <c r="N48" s="113"/>
      <c r="O48" s="113"/>
      <c r="P48" s="113"/>
      <c r="Q48" s="113"/>
      <c r="R48" s="113"/>
      <c r="S48" s="113"/>
      <c r="T48" s="113"/>
      <c r="U48" s="113"/>
      <c r="V48" s="113"/>
      <c r="W48" s="113"/>
      <c r="X48" s="113"/>
      <c r="Y48" s="113"/>
      <c r="Z48" s="113"/>
      <c r="AA48" s="113"/>
      <c r="AB48" s="113"/>
    </row>
    <row r="49" spans="1:28" ht="16.5" customHeight="1" x14ac:dyDescent="0.25">
      <c r="A49" s="126" t="s">
        <v>434</v>
      </c>
      <c r="B49" s="118" t="s">
        <v>433</v>
      </c>
      <c r="C49" s="118">
        <v>6000000000</v>
      </c>
      <c r="D49" s="132">
        <v>6000000000</v>
      </c>
      <c r="E49" s="132">
        <v>1629995444</v>
      </c>
      <c r="F49" s="132">
        <v>7663460</v>
      </c>
      <c r="G49" s="132">
        <v>7663460</v>
      </c>
      <c r="H49" s="128">
        <f t="shared" si="3"/>
        <v>4.701522343641594E-3</v>
      </c>
      <c r="I49" s="113"/>
      <c r="J49" s="113"/>
      <c r="K49" s="113"/>
      <c r="L49" s="113"/>
      <c r="M49" s="113"/>
      <c r="N49" s="113"/>
      <c r="O49" s="113"/>
      <c r="P49" s="113"/>
      <c r="Q49" s="113"/>
      <c r="R49" s="113"/>
      <c r="S49" s="113"/>
      <c r="T49" s="113"/>
      <c r="U49" s="113"/>
      <c r="V49" s="113"/>
      <c r="W49" s="113"/>
      <c r="X49" s="113"/>
      <c r="Y49" s="113"/>
      <c r="Z49" s="113"/>
      <c r="AA49" s="113"/>
      <c r="AB49" s="113"/>
    </row>
    <row r="50" spans="1:28" ht="16.5" customHeight="1" x14ac:dyDescent="0.25">
      <c r="A50" s="126" t="s">
        <v>435</v>
      </c>
      <c r="B50" s="118" t="s">
        <v>433</v>
      </c>
      <c r="C50" s="118">
        <v>6000000000</v>
      </c>
      <c r="D50" s="132">
        <v>6000000000</v>
      </c>
      <c r="E50" s="132">
        <v>2022471145</v>
      </c>
      <c r="F50" s="132">
        <v>61557627</v>
      </c>
      <c r="G50" s="132">
        <v>61557627</v>
      </c>
      <c r="H50" s="128">
        <f t="shared" si="3"/>
        <v>3.0436838197758317E-2</v>
      </c>
      <c r="I50" s="113"/>
      <c r="J50" s="113"/>
      <c r="K50" s="113"/>
      <c r="L50" s="113"/>
      <c r="M50" s="113"/>
      <c r="N50" s="113"/>
      <c r="O50" s="113"/>
      <c r="P50" s="113"/>
      <c r="Q50" s="113"/>
      <c r="R50" s="113"/>
      <c r="S50" s="113"/>
      <c r="T50" s="113"/>
      <c r="U50" s="113"/>
      <c r="V50" s="113"/>
      <c r="W50" s="113"/>
      <c r="X50" s="113"/>
      <c r="Y50" s="113"/>
      <c r="Z50" s="113"/>
      <c r="AA50" s="113"/>
      <c r="AB50" s="113"/>
    </row>
    <row r="51" spans="1:28" ht="16.5" customHeight="1" x14ac:dyDescent="0.25">
      <c r="A51" s="126" t="s">
        <v>436</v>
      </c>
      <c r="B51" s="118" t="s">
        <v>433</v>
      </c>
      <c r="C51" s="118">
        <v>6000000000</v>
      </c>
      <c r="D51" s="132">
        <v>6000000000</v>
      </c>
      <c r="E51" s="132">
        <v>2639144040</v>
      </c>
      <c r="F51" s="132">
        <v>279525187</v>
      </c>
      <c r="G51" s="132">
        <v>279525187</v>
      </c>
      <c r="H51" s="128">
        <f t="shared" si="3"/>
        <v>0.10591509321332837</v>
      </c>
      <c r="I51" s="113"/>
      <c r="J51" s="113"/>
      <c r="K51" s="113"/>
      <c r="L51" s="113"/>
      <c r="M51" s="113"/>
      <c r="N51" s="113"/>
      <c r="O51" s="113"/>
      <c r="P51" s="113"/>
      <c r="Q51" s="113"/>
      <c r="R51" s="113"/>
      <c r="S51" s="113"/>
      <c r="T51" s="113"/>
      <c r="U51" s="113"/>
      <c r="V51" s="113"/>
      <c r="W51" s="113"/>
      <c r="X51" s="113"/>
      <c r="Y51" s="113"/>
      <c r="Z51" s="113"/>
      <c r="AA51" s="113"/>
      <c r="AB51" s="113"/>
    </row>
    <row r="52" spans="1:28" ht="16.5" customHeight="1" x14ac:dyDescent="0.25">
      <c r="A52" s="126" t="s">
        <v>437</v>
      </c>
      <c r="B52" s="118" t="s">
        <v>433</v>
      </c>
      <c r="C52" s="118">
        <v>6000000000</v>
      </c>
      <c r="D52" s="132">
        <v>6000000000</v>
      </c>
      <c r="E52" s="132">
        <v>2639144040</v>
      </c>
      <c r="F52" s="132">
        <v>479129415</v>
      </c>
      <c r="G52" s="132">
        <v>479129415</v>
      </c>
      <c r="H52" s="128">
        <f t="shared" si="3"/>
        <v>0.18154727735133397</v>
      </c>
      <c r="I52" s="113"/>
      <c r="J52" s="113"/>
      <c r="K52" s="113"/>
      <c r="L52" s="113"/>
      <c r="M52" s="113"/>
      <c r="N52" s="113"/>
      <c r="O52" s="113"/>
      <c r="P52" s="113"/>
      <c r="Q52" s="113"/>
      <c r="R52" s="113"/>
      <c r="S52" s="113"/>
      <c r="T52" s="113"/>
      <c r="U52" s="113"/>
      <c r="V52" s="113"/>
      <c r="W52" s="113"/>
      <c r="X52" s="113"/>
      <c r="Y52" s="113"/>
      <c r="Z52" s="113"/>
      <c r="AA52" s="113"/>
      <c r="AB52" s="113"/>
    </row>
    <row r="53" spans="1:28" ht="16.5" customHeight="1" x14ac:dyDescent="0.25">
      <c r="A53" s="126" t="s">
        <v>438</v>
      </c>
      <c r="B53" s="118" t="s">
        <v>433</v>
      </c>
      <c r="C53" s="118">
        <v>6000000000</v>
      </c>
      <c r="D53" s="132">
        <v>6000000000</v>
      </c>
      <c r="E53" s="132">
        <v>3354560468</v>
      </c>
      <c r="F53" s="132">
        <v>689616530</v>
      </c>
      <c r="G53" s="132">
        <v>689616530</v>
      </c>
      <c r="H53" s="128">
        <f t="shared" si="3"/>
        <v>0.20557582329441557</v>
      </c>
      <c r="I53" s="113"/>
      <c r="J53" s="113"/>
      <c r="K53" s="113"/>
      <c r="L53" s="113"/>
      <c r="M53" s="113"/>
      <c r="N53" s="113"/>
      <c r="O53" s="113"/>
      <c r="P53" s="113"/>
      <c r="Q53" s="113"/>
      <c r="R53" s="113"/>
      <c r="S53" s="113"/>
      <c r="T53" s="113"/>
      <c r="U53" s="113"/>
      <c r="V53" s="113"/>
      <c r="W53" s="113"/>
      <c r="X53" s="113"/>
      <c r="Y53" s="113"/>
      <c r="Z53" s="113"/>
      <c r="AA53" s="113"/>
      <c r="AB53" s="113"/>
    </row>
    <row r="54" spans="1:28" ht="16.5" customHeight="1" x14ac:dyDescent="0.25">
      <c r="A54" s="126" t="s">
        <v>425</v>
      </c>
      <c r="B54" s="118" t="s">
        <v>433</v>
      </c>
      <c r="C54" s="118">
        <v>6000000000</v>
      </c>
      <c r="D54" s="132">
        <v>6000000000</v>
      </c>
      <c r="E54" s="132">
        <v>3554100178</v>
      </c>
      <c r="F54" s="132">
        <v>1903832276</v>
      </c>
      <c r="G54" s="132">
        <v>1903832276</v>
      </c>
      <c r="H54" s="128">
        <f t="shared" si="3"/>
        <v>0.53567209157040252</v>
      </c>
      <c r="I54" s="113"/>
      <c r="J54" s="113"/>
      <c r="K54" s="113"/>
      <c r="L54" s="113"/>
      <c r="M54" s="113"/>
      <c r="N54" s="113"/>
      <c r="O54" s="113"/>
      <c r="P54" s="113"/>
      <c r="Q54" s="113"/>
      <c r="R54" s="113"/>
      <c r="S54" s="113"/>
      <c r="T54" s="113"/>
      <c r="U54" s="113"/>
      <c r="V54" s="113"/>
      <c r="W54" s="113"/>
      <c r="X54" s="113"/>
      <c r="Y54" s="113"/>
      <c r="Z54" s="113"/>
      <c r="AA54" s="113"/>
      <c r="AB54" s="113"/>
    </row>
    <row r="55" spans="1:28" ht="16.5" customHeight="1" x14ac:dyDescent="0.25">
      <c r="A55" s="126" t="s">
        <v>426</v>
      </c>
      <c r="B55" s="118" t="s">
        <v>433</v>
      </c>
      <c r="C55" s="118">
        <v>6000000000</v>
      </c>
      <c r="D55" s="132">
        <v>6000000000</v>
      </c>
      <c r="E55" s="132">
        <v>3758926224</v>
      </c>
      <c r="F55" s="132">
        <v>2219546850</v>
      </c>
      <c r="G55" s="132">
        <v>2219546850</v>
      </c>
      <c r="H55" s="128">
        <f t="shared" si="3"/>
        <v>0.59047364000618918</v>
      </c>
      <c r="I55" s="113"/>
      <c r="J55" s="113"/>
      <c r="K55" s="113"/>
      <c r="L55" s="113"/>
      <c r="M55" s="113"/>
      <c r="N55" s="113"/>
      <c r="O55" s="113"/>
      <c r="P55" s="113"/>
      <c r="Q55" s="113"/>
      <c r="R55" s="113"/>
      <c r="S55" s="113"/>
      <c r="T55" s="113"/>
      <c r="U55" s="113"/>
      <c r="V55" s="113"/>
      <c r="W55" s="113"/>
      <c r="X55" s="113"/>
      <c r="Y55" s="113"/>
      <c r="Z55" s="113"/>
      <c r="AA55" s="113"/>
      <c r="AB55" s="113"/>
    </row>
    <row r="56" spans="1:28" ht="16.5" customHeight="1" x14ac:dyDescent="0.25">
      <c r="A56" s="126" t="s">
        <v>427</v>
      </c>
      <c r="B56" s="118" t="s">
        <v>433</v>
      </c>
      <c r="C56" s="118">
        <v>6000000000</v>
      </c>
      <c r="D56" s="132">
        <v>6000000000</v>
      </c>
      <c r="E56" s="132">
        <v>4038843084</v>
      </c>
      <c r="F56" s="132">
        <v>2506429758</v>
      </c>
      <c r="G56" s="132">
        <v>2506429758</v>
      </c>
      <c r="H56" s="128">
        <f t="shared" si="3"/>
        <v>0.62058111837256014</v>
      </c>
      <c r="I56" s="113"/>
      <c r="J56" s="113"/>
      <c r="K56" s="113"/>
      <c r="L56" s="113"/>
      <c r="M56" s="113"/>
      <c r="N56" s="113"/>
      <c r="O56" s="113"/>
      <c r="P56" s="113"/>
      <c r="Q56" s="113"/>
      <c r="R56" s="113"/>
      <c r="S56" s="113"/>
      <c r="T56" s="113"/>
      <c r="U56" s="113"/>
      <c r="V56" s="113"/>
      <c r="W56" s="113"/>
      <c r="X56" s="113"/>
      <c r="Y56" s="113"/>
      <c r="Z56" s="113"/>
      <c r="AA56" s="113"/>
      <c r="AB56" s="113"/>
    </row>
    <row r="57" spans="1:28" ht="16.5" customHeight="1" x14ac:dyDescent="0.25">
      <c r="A57" s="126" t="s">
        <v>428</v>
      </c>
      <c r="B57" s="118" t="s">
        <v>433</v>
      </c>
      <c r="C57" s="118">
        <v>6000000000</v>
      </c>
      <c r="D57" s="132">
        <v>5940529600</v>
      </c>
      <c r="E57" s="132">
        <v>4255678168</v>
      </c>
      <c r="F57" s="132">
        <v>2943481628</v>
      </c>
      <c r="G57" s="132">
        <v>2943481628</v>
      </c>
      <c r="H57" s="128">
        <f t="shared" si="3"/>
        <v>0.69165982760000855</v>
      </c>
      <c r="I57" s="113"/>
      <c r="J57" s="113"/>
      <c r="K57" s="113"/>
      <c r="L57" s="113"/>
      <c r="M57" s="113"/>
      <c r="N57" s="113"/>
      <c r="O57" s="113"/>
      <c r="P57" s="113"/>
      <c r="Q57" s="113"/>
      <c r="R57" s="113"/>
      <c r="S57" s="113"/>
      <c r="T57" s="113"/>
      <c r="U57" s="113"/>
      <c r="V57" s="113"/>
      <c r="W57" s="113"/>
      <c r="X57" s="113"/>
      <c r="Y57" s="113"/>
      <c r="Z57" s="113"/>
      <c r="AA57" s="113"/>
      <c r="AB57" s="113"/>
    </row>
    <row r="58" spans="1:28" ht="16.5" customHeight="1" x14ac:dyDescent="0.25">
      <c r="A58" s="126" t="s">
        <v>429</v>
      </c>
      <c r="B58" s="118" t="s">
        <v>433</v>
      </c>
      <c r="C58" s="118">
        <v>6000000000</v>
      </c>
      <c r="D58" s="132">
        <v>5869629600</v>
      </c>
      <c r="E58" s="132">
        <v>4698589048</v>
      </c>
      <c r="F58" s="132">
        <v>3458995932</v>
      </c>
      <c r="G58" s="132">
        <v>3458995932</v>
      </c>
      <c r="H58" s="128">
        <f t="shared" si="3"/>
        <v>0.73617758366681485</v>
      </c>
      <c r="I58" s="113"/>
      <c r="J58" s="113"/>
      <c r="K58" s="113"/>
      <c r="L58" s="113"/>
      <c r="M58" s="113"/>
      <c r="N58" s="113"/>
      <c r="O58" s="113"/>
      <c r="P58" s="113"/>
      <c r="Q58" s="113"/>
      <c r="R58" s="113"/>
      <c r="S58" s="113"/>
      <c r="T58" s="113"/>
      <c r="U58" s="113"/>
      <c r="V58" s="113"/>
      <c r="W58" s="113"/>
      <c r="X58" s="113"/>
      <c r="Y58" s="113"/>
      <c r="Z58" s="113"/>
      <c r="AA58" s="113"/>
      <c r="AB58" s="113"/>
    </row>
    <row r="59" spans="1:28" ht="16.5" customHeight="1" thickBot="1" x14ac:dyDescent="0.3">
      <c r="A59" s="129" t="s">
        <v>430</v>
      </c>
      <c r="B59" s="118" t="s">
        <v>433</v>
      </c>
      <c r="C59" s="118">
        <v>6000000000</v>
      </c>
      <c r="D59" s="132">
        <v>5869629600</v>
      </c>
      <c r="E59" s="132">
        <f>+INVERSIÓN!$DM$45</f>
        <v>4698589048</v>
      </c>
      <c r="F59" s="132">
        <v>3940516185</v>
      </c>
      <c r="G59" s="132">
        <v>3940516185</v>
      </c>
      <c r="H59" s="128">
        <f t="shared" si="3"/>
        <v>0.83865946664931657</v>
      </c>
      <c r="I59" s="113"/>
      <c r="J59" s="113"/>
      <c r="K59" s="113"/>
      <c r="L59" s="113"/>
      <c r="M59" s="113"/>
      <c r="N59" s="113"/>
      <c r="O59" s="113"/>
      <c r="P59" s="113"/>
      <c r="Q59" s="113"/>
      <c r="R59" s="113"/>
      <c r="S59" s="113"/>
      <c r="T59" s="113"/>
      <c r="U59" s="113"/>
      <c r="V59" s="113"/>
      <c r="W59" s="113"/>
      <c r="X59" s="113"/>
      <c r="Y59" s="113"/>
      <c r="Z59" s="113"/>
      <c r="AA59" s="113"/>
      <c r="AB59" s="113"/>
    </row>
    <row r="60" spans="1:28" ht="16.5" customHeight="1" thickBot="1" x14ac:dyDescent="0.3">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row>
    <row r="61" spans="1:28" ht="15.75" customHeight="1" x14ac:dyDescent="0.25">
      <c r="A61" s="770" t="s">
        <v>441</v>
      </c>
      <c r="B61" s="592"/>
      <c r="C61" s="592"/>
      <c r="D61" s="592"/>
      <c r="E61" s="592"/>
      <c r="F61" s="592"/>
      <c r="G61" s="592"/>
      <c r="H61" s="689"/>
      <c r="I61" s="113"/>
      <c r="J61" s="113"/>
      <c r="K61" s="113"/>
      <c r="L61" s="113"/>
      <c r="M61" s="113"/>
      <c r="N61" s="113"/>
      <c r="O61" s="113"/>
      <c r="P61" s="113"/>
      <c r="Q61" s="113"/>
      <c r="R61" s="113"/>
      <c r="S61" s="113"/>
      <c r="T61" s="113"/>
      <c r="U61" s="113"/>
      <c r="V61" s="113"/>
      <c r="W61" s="113"/>
      <c r="X61" s="113"/>
      <c r="Y61" s="113"/>
      <c r="Z61" s="113"/>
      <c r="AA61" s="113"/>
      <c r="AB61" s="113"/>
    </row>
    <row r="62" spans="1:28" ht="15.75" customHeight="1" x14ac:dyDescent="0.25">
      <c r="A62" s="114" t="s">
        <v>29</v>
      </c>
      <c r="B62" s="115" t="s">
        <v>418</v>
      </c>
      <c r="C62" s="115" t="s">
        <v>419</v>
      </c>
      <c r="D62" s="115" t="s">
        <v>420</v>
      </c>
      <c r="E62" s="115" t="s">
        <v>421</v>
      </c>
      <c r="F62" s="115" t="s">
        <v>422</v>
      </c>
      <c r="G62" s="115" t="s">
        <v>423</v>
      </c>
      <c r="H62" s="116" t="s">
        <v>424</v>
      </c>
      <c r="I62" s="113"/>
      <c r="J62" s="113"/>
      <c r="K62" s="113"/>
      <c r="L62" s="113"/>
      <c r="M62" s="113"/>
      <c r="N62" s="113"/>
      <c r="O62" s="113"/>
      <c r="P62" s="113"/>
      <c r="Q62" s="113"/>
      <c r="R62" s="113"/>
      <c r="S62" s="113"/>
      <c r="T62" s="113"/>
      <c r="U62" s="113"/>
      <c r="V62" s="113"/>
      <c r="W62" s="113"/>
      <c r="X62" s="113"/>
      <c r="Y62" s="113"/>
      <c r="Z62" s="113"/>
      <c r="AA62" s="113"/>
      <c r="AB62" s="113"/>
    </row>
    <row r="63" spans="1:28" ht="15.75" customHeight="1" x14ac:dyDescent="0.25">
      <c r="A63" s="126" t="s">
        <v>432</v>
      </c>
      <c r="B63" s="118" t="s">
        <v>433</v>
      </c>
      <c r="C63" s="271">
        <v>7561000000</v>
      </c>
      <c r="D63" s="271">
        <v>7561000000</v>
      </c>
      <c r="E63" s="132">
        <v>358863000</v>
      </c>
      <c r="F63" s="132">
        <v>0</v>
      </c>
      <c r="G63" s="132">
        <v>0</v>
      </c>
      <c r="H63" s="273">
        <f>G63/E63</f>
        <v>0</v>
      </c>
      <c r="I63" s="113"/>
      <c r="J63" s="113"/>
      <c r="K63" s="113"/>
      <c r="L63" s="113"/>
      <c r="M63" s="113"/>
      <c r="N63" s="113"/>
      <c r="O63" s="113"/>
      <c r="P63" s="113"/>
      <c r="Q63" s="113"/>
      <c r="R63" s="113"/>
      <c r="S63" s="113"/>
      <c r="T63" s="113"/>
      <c r="U63" s="113"/>
      <c r="V63" s="113"/>
      <c r="W63" s="113"/>
      <c r="X63" s="113"/>
      <c r="Y63" s="113"/>
      <c r="Z63" s="113"/>
      <c r="AA63" s="113"/>
      <c r="AB63" s="113"/>
    </row>
    <row r="64" spans="1:28" ht="15.75" customHeight="1" x14ac:dyDescent="0.25">
      <c r="A64" s="126" t="s">
        <v>434</v>
      </c>
      <c r="B64" s="118" t="s">
        <v>433</v>
      </c>
      <c r="C64" s="277">
        <v>7561000000</v>
      </c>
      <c r="D64" s="278">
        <v>7561000000</v>
      </c>
      <c r="E64" s="132">
        <f>+INVERSIÓN!$EQ$45</f>
        <v>2618476849</v>
      </c>
      <c r="F64" s="132">
        <v>42533714</v>
      </c>
      <c r="G64" s="132">
        <v>42533714</v>
      </c>
      <c r="H64" s="279">
        <f>G64/E64</f>
        <v>1.6243685338002391E-2</v>
      </c>
      <c r="I64" s="113"/>
      <c r="J64" s="113"/>
      <c r="K64" s="113"/>
      <c r="L64" s="113"/>
      <c r="M64" s="113"/>
      <c r="N64" s="113"/>
      <c r="O64" s="113"/>
      <c r="P64" s="113"/>
      <c r="Q64" s="113"/>
      <c r="R64" s="113"/>
      <c r="S64" s="113"/>
      <c r="T64" s="113"/>
      <c r="U64" s="113"/>
      <c r="V64" s="113"/>
      <c r="W64" s="113"/>
      <c r="X64" s="113"/>
      <c r="Y64" s="113"/>
      <c r="Z64" s="113"/>
      <c r="AA64" s="113"/>
      <c r="AB64" s="113"/>
    </row>
    <row r="65" spans="1:28" ht="15.75" customHeight="1" x14ac:dyDescent="0.25">
      <c r="A65" s="329" t="s">
        <v>435</v>
      </c>
      <c r="B65" s="330" t="s">
        <v>433</v>
      </c>
      <c r="C65" s="331">
        <v>7561000000</v>
      </c>
      <c r="D65" s="331">
        <v>7561000000</v>
      </c>
      <c r="E65" s="331">
        <v>649900712</v>
      </c>
      <c r="F65" s="331">
        <v>217464946</v>
      </c>
      <c r="G65" s="331">
        <v>217464946</v>
      </c>
      <c r="H65" s="332">
        <f t="shared" ref="H65:H74" si="4">G65/E65</f>
        <v>0.33461256771172765</v>
      </c>
      <c r="I65" s="113"/>
      <c r="J65" s="113"/>
      <c r="K65" s="113"/>
      <c r="L65" s="113"/>
      <c r="M65" s="113"/>
      <c r="N65" s="113"/>
      <c r="O65" s="113"/>
      <c r="P65" s="113"/>
      <c r="Q65" s="113"/>
      <c r="R65" s="113"/>
      <c r="S65" s="113"/>
      <c r="T65" s="113"/>
      <c r="U65" s="113"/>
      <c r="V65" s="113"/>
      <c r="W65" s="113"/>
      <c r="X65" s="113"/>
      <c r="Y65" s="113"/>
      <c r="Z65" s="113"/>
      <c r="AA65" s="113"/>
      <c r="AB65" s="113"/>
    </row>
    <row r="66" spans="1:28" ht="15.75" customHeight="1" x14ac:dyDescent="0.25">
      <c r="A66" s="126" t="s">
        <v>436</v>
      </c>
      <c r="B66" s="118" t="s">
        <v>433</v>
      </c>
      <c r="C66" s="132">
        <v>7561000000</v>
      </c>
      <c r="D66" s="132">
        <v>7561000000</v>
      </c>
      <c r="E66" s="132">
        <v>1248135116</v>
      </c>
      <c r="F66" s="132">
        <v>392329750</v>
      </c>
      <c r="G66" s="132">
        <v>392329750</v>
      </c>
      <c r="H66" s="335">
        <f t="shared" si="4"/>
        <v>0.31433275530082916</v>
      </c>
      <c r="I66" s="113"/>
      <c r="J66" s="113"/>
      <c r="K66" s="113"/>
      <c r="L66" s="113"/>
      <c r="M66" s="113"/>
      <c r="N66" s="113"/>
      <c r="O66" s="113"/>
      <c r="P66" s="113"/>
      <c r="Q66" s="113"/>
      <c r="R66" s="113"/>
      <c r="S66" s="113"/>
      <c r="T66" s="113"/>
      <c r="U66" s="113"/>
      <c r="V66" s="113"/>
      <c r="W66" s="113"/>
      <c r="X66" s="113"/>
      <c r="Y66" s="113"/>
      <c r="Z66" s="113"/>
      <c r="AA66" s="113"/>
      <c r="AB66" s="113"/>
    </row>
    <row r="67" spans="1:28" ht="15.75" customHeight="1" x14ac:dyDescent="0.25">
      <c r="A67" s="126" t="s">
        <v>437</v>
      </c>
      <c r="B67" s="118" t="s">
        <v>433</v>
      </c>
      <c r="C67" s="132">
        <f>+INVERSIÓN!$DN$45</f>
        <v>7561000000</v>
      </c>
      <c r="D67" s="132">
        <f>+INVERSIÓN!$EM$45</f>
        <v>7561000000</v>
      </c>
      <c r="E67" s="132">
        <f>+INVERSIÓN!$EQ$45</f>
        <v>2618476849</v>
      </c>
      <c r="F67" s="132">
        <v>543841767</v>
      </c>
      <c r="G67" s="132">
        <v>543841767</v>
      </c>
      <c r="H67" s="335">
        <f t="shared" si="4"/>
        <v>0.20769393749182619</v>
      </c>
      <c r="I67" s="113"/>
      <c r="J67" s="113"/>
      <c r="K67" s="113"/>
      <c r="L67" s="113"/>
      <c r="M67" s="113"/>
      <c r="N67" s="113"/>
      <c r="O67" s="113"/>
      <c r="P67" s="113"/>
      <c r="Q67" s="113"/>
      <c r="R67" s="113"/>
      <c r="S67" s="113"/>
      <c r="T67" s="113"/>
      <c r="U67" s="113"/>
      <c r="V67" s="113"/>
      <c r="W67" s="113"/>
      <c r="X67" s="113"/>
      <c r="Y67" s="113"/>
      <c r="Z67" s="113"/>
      <c r="AA67" s="113"/>
      <c r="AB67" s="113"/>
    </row>
    <row r="68" spans="1:28" ht="15.75" customHeight="1" x14ac:dyDescent="0.25">
      <c r="A68" s="126" t="s">
        <v>438</v>
      </c>
      <c r="B68" s="118"/>
      <c r="C68" s="132"/>
      <c r="D68" s="132"/>
      <c r="E68" s="132"/>
      <c r="F68" s="132"/>
      <c r="G68" s="132"/>
      <c r="H68" s="274" t="e">
        <f t="shared" si="4"/>
        <v>#DIV/0!</v>
      </c>
      <c r="I68" s="113"/>
      <c r="J68" s="113"/>
      <c r="K68" s="113"/>
      <c r="L68" s="113"/>
      <c r="M68" s="113"/>
      <c r="N68" s="113"/>
      <c r="O68" s="113"/>
      <c r="P68" s="113"/>
      <c r="Q68" s="113"/>
      <c r="R68" s="113"/>
      <c r="S68" s="113"/>
      <c r="T68" s="113"/>
      <c r="U68" s="113"/>
      <c r="V68" s="113"/>
      <c r="W68" s="113"/>
      <c r="X68" s="113"/>
      <c r="Y68" s="113"/>
      <c r="Z68" s="113"/>
      <c r="AA68" s="113"/>
      <c r="AB68" s="113"/>
    </row>
    <row r="69" spans="1:28" ht="15.75" customHeight="1" x14ac:dyDescent="0.25">
      <c r="A69" s="126" t="s">
        <v>425</v>
      </c>
      <c r="B69" s="118"/>
      <c r="C69" s="132"/>
      <c r="D69" s="132"/>
      <c r="E69" s="132"/>
      <c r="F69" s="132"/>
      <c r="G69" s="132"/>
      <c r="H69" s="274" t="e">
        <f t="shared" si="4"/>
        <v>#DIV/0!</v>
      </c>
      <c r="I69" s="113"/>
      <c r="J69" s="113"/>
      <c r="K69" s="113"/>
      <c r="L69" s="113"/>
      <c r="M69" s="113"/>
      <c r="N69" s="113"/>
      <c r="O69" s="113"/>
      <c r="P69" s="113"/>
      <c r="Q69" s="113"/>
      <c r="R69" s="113"/>
      <c r="S69" s="113"/>
      <c r="T69" s="113"/>
      <c r="U69" s="113"/>
      <c r="V69" s="113"/>
      <c r="W69" s="113"/>
      <c r="X69" s="113"/>
      <c r="Y69" s="113"/>
      <c r="Z69" s="113"/>
      <c r="AA69" s="113"/>
      <c r="AB69" s="113"/>
    </row>
    <row r="70" spans="1:28" ht="15.75" customHeight="1" x14ac:dyDescent="0.25">
      <c r="A70" s="126" t="s">
        <v>426</v>
      </c>
      <c r="B70" s="118"/>
      <c r="C70" s="132"/>
      <c r="D70" s="132"/>
      <c r="E70" s="132"/>
      <c r="F70" s="132"/>
      <c r="G70" s="132"/>
      <c r="H70" s="274" t="e">
        <f t="shared" si="4"/>
        <v>#DIV/0!</v>
      </c>
      <c r="I70" s="113"/>
      <c r="J70" s="113"/>
      <c r="K70" s="113"/>
      <c r="L70" s="113"/>
      <c r="M70" s="113"/>
      <c r="N70" s="113"/>
      <c r="O70" s="113"/>
      <c r="P70" s="113"/>
      <c r="Q70" s="113"/>
      <c r="R70" s="113"/>
      <c r="S70" s="113"/>
      <c r="T70" s="113"/>
      <c r="U70" s="113"/>
      <c r="V70" s="113"/>
      <c r="W70" s="113"/>
      <c r="X70" s="113"/>
      <c r="Y70" s="113"/>
      <c r="Z70" s="113"/>
      <c r="AA70" s="113"/>
      <c r="AB70" s="113"/>
    </row>
    <row r="71" spans="1:28" ht="15.75" customHeight="1" x14ac:dyDescent="0.25">
      <c r="A71" s="126" t="s">
        <v>427</v>
      </c>
      <c r="B71" s="118"/>
      <c r="C71" s="132"/>
      <c r="D71" s="132"/>
      <c r="E71" s="132"/>
      <c r="F71" s="132"/>
      <c r="G71" s="132"/>
      <c r="H71" s="274" t="e">
        <f t="shared" si="4"/>
        <v>#DIV/0!</v>
      </c>
      <c r="I71" s="113"/>
      <c r="J71" s="113"/>
      <c r="K71" s="113"/>
      <c r="L71" s="113"/>
      <c r="M71" s="113"/>
      <c r="N71" s="113"/>
      <c r="O71" s="113"/>
      <c r="P71" s="113"/>
      <c r="Q71" s="113"/>
      <c r="R71" s="113"/>
      <c r="S71" s="113"/>
      <c r="T71" s="113"/>
      <c r="U71" s="113"/>
      <c r="V71" s="113"/>
      <c r="W71" s="113"/>
      <c r="X71" s="113"/>
      <c r="Y71" s="113"/>
      <c r="Z71" s="113"/>
      <c r="AA71" s="113"/>
      <c r="AB71" s="113"/>
    </row>
    <row r="72" spans="1:28" ht="15.75" customHeight="1" x14ac:dyDescent="0.25">
      <c r="A72" s="126" t="s">
        <v>428</v>
      </c>
      <c r="B72" s="118"/>
      <c r="C72" s="132"/>
      <c r="D72" s="132"/>
      <c r="E72" s="132"/>
      <c r="F72" s="132"/>
      <c r="G72" s="132"/>
      <c r="H72" s="274" t="e">
        <f t="shared" si="4"/>
        <v>#DIV/0!</v>
      </c>
      <c r="I72" s="113"/>
      <c r="J72" s="113"/>
      <c r="K72" s="113"/>
      <c r="L72" s="113"/>
      <c r="M72" s="113"/>
      <c r="N72" s="113"/>
      <c r="O72" s="113"/>
      <c r="P72" s="113"/>
      <c r="Q72" s="113"/>
      <c r="R72" s="113"/>
      <c r="S72" s="113"/>
      <c r="T72" s="113"/>
      <c r="U72" s="113"/>
      <c r="V72" s="113"/>
      <c r="W72" s="113"/>
      <c r="X72" s="113"/>
      <c r="Y72" s="113"/>
      <c r="Z72" s="113"/>
      <c r="AA72" s="113"/>
      <c r="AB72" s="113"/>
    </row>
    <row r="73" spans="1:28" ht="15.75" customHeight="1" x14ac:dyDescent="0.25">
      <c r="A73" s="126" t="s">
        <v>429</v>
      </c>
      <c r="B73" s="118"/>
      <c r="C73" s="132"/>
      <c r="D73" s="132"/>
      <c r="E73" s="132"/>
      <c r="F73" s="132"/>
      <c r="G73" s="132"/>
      <c r="H73" s="274" t="e">
        <f t="shared" si="4"/>
        <v>#DIV/0!</v>
      </c>
      <c r="I73" s="113"/>
      <c r="J73" s="113"/>
      <c r="K73" s="113"/>
      <c r="L73" s="113"/>
      <c r="M73" s="113"/>
      <c r="N73" s="113"/>
      <c r="O73" s="113"/>
      <c r="P73" s="113"/>
      <c r="Q73" s="113"/>
      <c r="R73" s="113"/>
      <c r="S73" s="113"/>
      <c r="T73" s="113"/>
      <c r="U73" s="113"/>
      <c r="V73" s="113"/>
      <c r="W73" s="113"/>
      <c r="X73" s="113"/>
      <c r="Y73" s="113"/>
      <c r="Z73" s="113"/>
      <c r="AA73" s="113"/>
      <c r="AB73" s="113"/>
    </row>
    <row r="74" spans="1:28" ht="15.75" customHeight="1" thickBot="1" x14ac:dyDescent="0.3">
      <c r="A74" s="129" t="s">
        <v>430</v>
      </c>
      <c r="B74" s="123"/>
      <c r="C74" s="132"/>
      <c r="D74" s="132"/>
      <c r="E74" s="132"/>
      <c r="F74" s="132"/>
      <c r="G74" s="132"/>
      <c r="H74" s="274" t="e">
        <f t="shared" si="4"/>
        <v>#DIV/0!</v>
      </c>
      <c r="I74" s="113"/>
      <c r="J74" s="113"/>
      <c r="K74" s="113"/>
      <c r="L74" s="113"/>
      <c r="M74" s="113"/>
      <c r="N74" s="113"/>
      <c r="O74" s="113"/>
      <c r="P74" s="113"/>
      <c r="Q74" s="113"/>
      <c r="R74" s="113"/>
      <c r="S74" s="113"/>
      <c r="T74" s="113"/>
      <c r="U74" s="113"/>
      <c r="V74" s="113"/>
      <c r="W74" s="113"/>
      <c r="X74" s="113"/>
      <c r="Y74" s="113"/>
      <c r="Z74" s="113"/>
      <c r="AA74" s="113"/>
      <c r="AB74" s="113"/>
    </row>
    <row r="75" spans="1:28" ht="16.5" customHeight="1" thickBot="1" x14ac:dyDescent="0.3">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row>
    <row r="76" spans="1:28" ht="23.25" customHeight="1" x14ac:dyDescent="0.25">
      <c r="A76" s="770" t="s">
        <v>442</v>
      </c>
      <c r="B76" s="592"/>
      <c r="C76" s="592"/>
      <c r="D76" s="592"/>
      <c r="E76" s="592"/>
      <c r="F76" s="592"/>
      <c r="G76" s="592"/>
      <c r="H76" s="592"/>
      <c r="I76" s="592"/>
      <c r="J76" s="592"/>
      <c r="K76" s="592"/>
      <c r="L76" s="592"/>
      <c r="M76" s="592"/>
      <c r="N76" s="689"/>
      <c r="O76" s="113"/>
      <c r="P76" s="113"/>
      <c r="Q76" s="113"/>
      <c r="R76" s="113"/>
      <c r="S76" s="113"/>
      <c r="T76" s="113"/>
      <c r="U76" s="113"/>
      <c r="V76" s="113"/>
      <c r="W76" s="113"/>
      <c r="X76" s="113"/>
      <c r="Y76" s="113"/>
      <c r="Z76" s="113"/>
      <c r="AA76" s="113"/>
      <c r="AB76" s="113"/>
    </row>
    <row r="77" spans="1:28" ht="44.25" customHeight="1" x14ac:dyDescent="0.25">
      <c r="A77" s="134" t="s">
        <v>25</v>
      </c>
      <c r="B77" s="91" t="s">
        <v>443</v>
      </c>
      <c r="C77" s="91" t="s">
        <v>444</v>
      </c>
      <c r="D77" s="91" t="s">
        <v>445</v>
      </c>
      <c r="E77" s="91" t="s">
        <v>446</v>
      </c>
      <c r="F77" s="91" t="s">
        <v>447</v>
      </c>
      <c r="G77" s="91" t="s">
        <v>448</v>
      </c>
      <c r="H77" s="91" t="s">
        <v>449</v>
      </c>
      <c r="I77" s="91" t="s">
        <v>450</v>
      </c>
      <c r="J77" s="92" t="s">
        <v>451</v>
      </c>
      <c r="K77" s="91" t="s">
        <v>452</v>
      </c>
      <c r="L77" s="91" t="s">
        <v>453</v>
      </c>
      <c r="M77" s="91" t="s">
        <v>454</v>
      </c>
      <c r="N77" s="135" t="s">
        <v>455</v>
      </c>
      <c r="O77" s="113"/>
      <c r="P77" s="113"/>
      <c r="Q77" s="113"/>
      <c r="R77" s="113"/>
      <c r="S77" s="113"/>
      <c r="T77" s="113"/>
      <c r="U77" s="113"/>
      <c r="V77" s="113"/>
      <c r="W77" s="113"/>
      <c r="X77" s="113"/>
      <c r="Y77" s="113"/>
      <c r="Z77" s="113"/>
      <c r="AA77" s="113"/>
      <c r="AB77" s="113"/>
    </row>
    <row r="78" spans="1:28" ht="55.5" customHeight="1" x14ac:dyDescent="0.25">
      <c r="A78" s="771" t="s">
        <v>425</v>
      </c>
      <c r="B78" s="136" t="s">
        <v>456</v>
      </c>
      <c r="C78" s="137" t="s">
        <v>457</v>
      </c>
      <c r="D78" s="136" t="s">
        <v>458</v>
      </c>
      <c r="E78" s="136" t="s">
        <v>459</v>
      </c>
      <c r="F78" s="138">
        <v>20</v>
      </c>
      <c r="G78" s="138">
        <v>24</v>
      </c>
      <c r="H78" s="138">
        <v>4</v>
      </c>
      <c r="I78" s="139">
        <v>0.1</v>
      </c>
      <c r="J78" s="140">
        <f t="shared" ref="J78:J107" si="5">I78/H78</f>
        <v>2.5000000000000001E-2</v>
      </c>
      <c r="K78" s="141">
        <v>0</v>
      </c>
      <c r="L78" s="141">
        <v>0</v>
      </c>
      <c r="M78" s="141">
        <v>0</v>
      </c>
      <c r="N78" s="142" t="s">
        <v>460</v>
      </c>
      <c r="O78" s="113"/>
      <c r="P78" s="113"/>
      <c r="Q78" s="113"/>
      <c r="R78" s="113"/>
      <c r="S78" s="113"/>
      <c r="T78" s="113"/>
      <c r="U78" s="113"/>
      <c r="V78" s="113"/>
      <c r="W78" s="113"/>
      <c r="X78" s="113"/>
      <c r="Y78" s="113"/>
      <c r="Z78" s="113"/>
      <c r="AA78" s="113"/>
      <c r="AB78" s="113"/>
    </row>
    <row r="79" spans="1:28" ht="55.5" customHeight="1" x14ac:dyDescent="0.25">
      <c r="A79" s="740"/>
      <c r="B79" s="143" t="s">
        <v>461</v>
      </c>
      <c r="C79" s="144" t="s">
        <v>462</v>
      </c>
      <c r="D79" s="143" t="s">
        <v>463</v>
      </c>
      <c r="E79" s="143" t="s">
        <v>459</v>
      </c>
      <c r="F79" s="145">
        <v>20</v>
      </c>
      <c r="G79" s="145">
        <v>15</v>
      </c>
      <c r="H79" s="145">
        <v>2</v>
      </c>
      <c r="I79" s="146">
        <v>0.1</v>
      </c>
      <c r="J79" s="147">
        <f t="shared" si="5"/>
        <v>0.05</v>
      </c>
      <c r="K79" s="30">
        <v>0</v>
      </c>
      <c r="L79" s="30">
        <v>0</v>
      </c>
      <c r="M79" s="30">
        <v>0</v>
      </c>
      <c r="N79" s="148" t="s">
        <v>464</v>
      </c>
      <c r="O79" s="113"/>
      <c r="P79" s="113"/>
      <c r="Q79" s="113"/>
      <c r="R79" s="113"/>
      <c r="S79" s="113"/>
      <c r="T79" s="113"/>
      <c r="U79" s="113"/>
      <c r="V79" s="113"/>
      <c r="W79" s="113"/>
      <c r="X79" s="113"/>
      <c r="Y79" s="113"/>
      <c r="Z79" s="113"/>
      <c r="AA79" s="113"/>
      <c r="AB79" s="113"/>
    </row>
    <row r="80" spans="1:28" ht="55.5" customHeight="1" x14ac:dyDescent="0.25">
      <c r="A80" s="740"/>
      <c r="B80" s="143" t="s">
        <v>465</v>
      </c>
      <c r="C80" s="144" t="s">
        <v>466</v>
      </c>
      <c r="D80" s="143" t="s">
        <v>467</v>
      </c>
      <c r="E80" s="143" t="s">
        <v>468</v>
      </c>
      <c r="F80" s="145">
        <v>20</v>
      </c>
      <c r="G80" s="145">
        <v>15</v>
      </c>
      <c r="H80" s="145">
        <v>3</v>
      </c>
      <c r="I80" s="145">
        <v>0.12</v>
      </c>
      <c r="J80" s="147">
        <f t="shared" si="5"/>
        <v>0.04</v>
      </c>
      <c r="K80" s="30">
        <v>0</v>
      </c>
      <c r="L80" s="30">
        <v>0</v>
      </c>
      <c r="M80" s="30">
        <v>0</v>
      </c>
      <c r="N80" s="148" t="s">
        <v>469</v>
      </c>
      <c r="O80" s="113"/>
      <c r="P80" s="113"/>
      <c r="Q80" s="113"/>
      <c r="R80" s="113"/>
      <c r="S80" s="113"/>
      <c r="T80" s="113"/>
      <c r="U80" s="113"/>
      <c r="V80" s="113"/>
      <c r="W80" s="113"/>
      <c r="X80" s="113"/>
      <c r="Y80" s="113"/>
      <c r="Z80" s="113"/>
      <c r="AA80" s="113"/>
      <c r="AB80" s="113"/>
    </row>
    <row r="81" spans="1:28" ht="55.5" customHeight="1" x14ac:dyDescent="0.25">
      <c r="A81" s="740"/>
      <c r="B81" s="143" t="s">
        <v>470</v>
      </c>
      <c r="C81" s="144" t="s">
        <v>471</v>
      </c>
      <c r="D81" s="143" t="s">
        <v>472</v>
      </c>
      <c r="E81" s="143" t="s">
        <v>473</v>
      </c>
      <c r="F81" s="145">
        <v>20</v>
      </c>
      <c r="G81" s="149">
        <v>0.38</v>
      </c>
      <c r="H81" s="149">
        <v>0.05</v>
      </c>
      <c r="I81" s="150">
        <v>1.8E-3</v>
      </c>
      <c r="J81" s="147">
        <f t="shared" si="5"/>
        <v>3.5999999999999997E-2</v>
      </c>
      <c r="K81" s="30">
        <v>0</v>
      </c>
      <c r="L81" s="30">
        <v>0</v>
      </c>
      <c r="M81" s="30">
        <v>0</v>
      </c>
      <c r="N81" s="148" t="s">
        <v>474</v>
      </c>
      <c r="O81" s="113"/>
      <c r="P81" s="113"/>
      <c r="Q81" s="113"/>
      <c r="R81" s="113"/>
      <c r="S81" s="113"/>
      <c r="T81" s="113"/>
      <c r="U81" s="113"/>
      <c r="V81" s="113"/>
      <c r="W81" s="113"/>
      <c r="X81" s="113"/>
      <c r="Y81" s="113"/>
      <c r="Z81" s="113"/>
      <c r="AA81" s="113"/>
      <c r="AB81" s="113"/>
    </row>
    <row r="82" spans="1:28" ht="55.5" customHeight="1" x14ac:dyDescent="0.25">
      <c r="A82" s="744"/>
      <c r="B82" s="151" t="s">
        <v>475</v>
      </c>
      <c r="C82" s="152" t="s">
        <v>476</v>
      </c>
      <c r="D82" s="151" t="s">
        <v>477</v>
      </c>
      <c r="E82" s="151" t="s">
        <v>468</v>
      </c>
      <c r="F82" s="153">
        <v>20</v>
      </c>
      <c r="G82" s="153">
        <v>13</v>
      </c>
      <c r="H82" s="153">
        <v>2</v>
      </c>
      <c r="I82" s="153">
        <v>0.5</v>
      </c>
      <c r="J82" s="154">
        <f t="shared" si="5"/>
        <v>0.25</v>
      </c>
      <c r="K82" s="155">
        <v>0</v>
      </c>
      <c r="L82" s="155">
        <v>0</v>
      </c>
      <c r="M82" s="155">
        <v>0</v>
      </c>
      <c r="N82" s="156" t="s">
        <v>478</v>
      </c>
      <c r="O82" s="113"/>
      <c r="P82" s="113"/>
      <c r="Q82" s="113"/>
      <c r="R82" s="113"/>
      <c r="S82" s="113"/>
      <c r="T82" s="113"/>
      <c r="U82" s="113"/>
      <c r="V82" s="113"/>
      <c r="W82" s="113"/>
      <c r="X82" s="113"/>
      <c r="Y82" s="113"/>
      <c r="Z82" s="113"/>
      <c r="AA82" s="113"/>
      <c r="AB82" s="113"/>
    </row>
    <row r="83" spans="1:28" ht="55.5" customHeight="1" x14ac:dyDescent="0.25">
      <c r="A83" s="772" t="s">
        <v>426</v>
      </c>
      <c r="B83" s="136" t="s">
        <v>456</v>
      </c>
      <c r="C83" s="137" t="s">
        <v>457</v>
      </c>
      <c r="D83" s="136" t="s">
        <v>458</v>
      </c>
      <c r="E83" s="136" t="s">
        <v>459</v>
      </c>
      <c r="F83" s="138">
        <v>20</v>
      </c>
      <c r="G83" s="138">
        <v>24</v>
      </c>
      <c r="H83" s="138">
        <v>4</v>
      </c>
      <c r="I83" s="139">
        <v>0.9</v>
      </c>
      <c r="J83" s="140">
        <f t="shared" si="5"/>
        <v>0.22500000000000001</v>
      </c>
      <c r="K83" s="141">
        <v>0</v>
      </c>
      <c r="L83" s="141">
        <v>0</v>
      </c>
      <c r="M83" s="141">
        <v>0</v>
      </c>
      <c r="N83" s="142" t="s">
        <v>479</v>
      </c>
      <c r="O83" s="113"/>
      <c r="P83" s="113"/>
      <c r="Q83" s="113"/>
      <c r="R83" s="113"/>
      <c r="S83" s="113"/>
      <c r="T83" s="113"/>
      <c r="U83" s="113"/>
      <c r="V83" s="113"/>
      <c r="W83" s="113"/>
      <c r="X83" s="113"/>
      <c r="Y83" s="113"/>
      <c r="Z83" s="113"/>
      <c r="AA83" s="113"/>
      <c r="AB83" s="113"/>
    </row>
    <row r="84" spans="1:28" ht="55.5" customHeight="1" x14ac:dyDescent="0.25">
      <c r="A84" s="740"/>
      <c r="B84" s="143" t="s">
        <v>461</v>
      </c>
      <c r="C84" s="144" t="s">
        <v>462</v>
      </c>
      <c r="D84" s="143" t="s">
        <v>463</v>
      </c>
      <c r="E84" s="143" t="s">
        <v>459</v>
      </c>
      <c r="F84" s="145">
        <v>20</v>
      </c>
      <c r="G84" s="145">
        <v>15</v>
      </c>
      <c r="H84" s="145">
        <v>2</v>
      </c>
      <c r="I84" s="146">
        <v>0.5</v>
      </c>
      <c r="J84" s="147">
        <f t="shared" si="5"/>
        <v>0.25</v>
      </c>
      <c r="K84" s="30">
        <v>0</v>
      </c>
      <c r="L84" s="30">
        <v>0</v>
      </c>
      <c r="M84" s="30">
        <v>0</v>
      </c>
      <c r="N84" s="148" t="s">
        <v>480</v>
      </c>
      <c r="O84" s="113"/>
      <c r="P84" s="113"/>
      <c r="Q84" s="113"/>
      <c r="R84" s="113"/>
      <c r="S84" s="113"/>
      <c r="T84" s="113"/>
      <c r="U84" s="113"/>
      <c r="V84" s="113"/>
      <c r="W84" s="113"/>
      <c r="X84" s="113"/>
      <c r="Y84" s="113"/>
      <c r="Z84" s="113"/>
      <c r="AA84" s="113"/>
      <c r="AB84" s="113"/>
    </row>
    <row r="85" spans="1:28" ht="75" customHeight="1" x14ac:dyDescent="0.25">
      <c r="A85" s="740"/>
      <c r="B85" s="143" t="s">
        <v>465</v>
      </c>
      <c r="C85" s="144" t="s">
        <v>466</v>
      </c>
      <c r="D85" s="143" t="s">
        <v>467</v>
      </c>
      <c r="E85" s="143" t="s">
        <v>468</v>
      </c>
      <c r="F85" s="145">
        <v>20</v>
      </c>
      <c r="G85" s="145">
        <v>15</v>
      </c>
      <c r="H85" s="145">
        <v>3</v>
      </c>
      <c r="I85" s="145">
        <v>0.43</v>
      </c>
      <c r="J85" s="147">
        <f t="shared" si="5"/>
        <v>0.14333333333333334</v>
      </c>
      <c r="K85" s="30">
        <v>0</v>
      </c>
      <c r="L85" s="30">
        <v>0</v>
      </c>
      <c r="M85" s="30">
        <v>0</v>
      </c>
      <c r="N85" s="148" t="s">
        <v>481</v>
      </c>
      <c r="O85" s="113"/>
      <c r="P85" s="113"/>
      <c r="Q85" s="113"/>
      <c r="R85" s="113"/>
      <c r="S85" s="113"/>
      <c r="T85" s="113"/>
      <c r="U85" s="113"/>
      <c r="V85" s="113"/>
      <c r="W85" s="113"/>
      <c r="X85" s="113"/>
      <c r="Y85" s="113"/>
      <c r="Z85" s="113"/>
      <c r="AA85" s="113"/>
      <c r="AB85" s="113"/>
    </row>
    <row r="86" spans="1:28" ht="63.75" customHeight="1" x14ac:dyDescent="0.25">
      <c r="A86" s="740"/>
      <c r="B86" s="143" t="s">
        <v>470</v>
      </c>
      <c r="C86" s="144" t="s">
        <v>471</v>
      </c>
      <c r="D86" s="143" t="s">
        <v>472</v>
      </c>
      <c r="E86" s="143" t="s">
        <v>473</v>
      </c>
      <c r="F86" s="145">
        <v>20</v>
      </c>
      <c r="G86" s="149">
        <v>0.38</v>
      </c>
      <c r="H86" s="149">
        <v>0.05</v>
      </c>
      <c r="I86" s="150">
        <v>8.9999999999999993E-3</v>
      </c>
      <c r="J86" s="147">
        <f t="shared" si="5"/>
        <v>0.17999999999999997</v>
      </c>
      <c r="K86" s="30">
        <v>0</v>
      </c>
      <c r="L86" s="30">
        <v>0</v>
      </c>
      <c r="M86" s="30">
        <v>0</v>
      </c>
      <c r="N86" s="148" t="s">
        <v>482</v>
      </c>
      <c r="O86" s="113"/>
      <c r="P86" s="113"/>
      <c r="Q86" s="113"/>
      <c r="R86" s="113"/>
      <c r="S86" s="113"/>
      <c r="T86" s="113"/>
      <c r="U86" s="113"/>
      <c r="V86" s="113"/>
      <c r="W86" s="113"/>
      <c r="X86" s="113"/>
      <c r="Y86" s="113"/>
      <c r="Z86" s="113"/>
      <c r="AA86" s="113"/>
      <c r="AB86" s="113"/>
    </row>
    <row r="87" spans="1:28" ht="81.75" customHeight="1" x14ac:dyDescent="0.25">
      <c r="A87" s="744"/>
      <c r="B87" s="151" t="s">
        <v>475</v>
      </c>
      <c r="C87" s="152" t="s">
        <v>476</v>
      </c>
      <c r="D87" s="151" t="s">
        <v>477</v>
      </c>
      <c r="E87" s="151" t="s">
        <v>468</v>
      </c>
      <c r="F87" s="153">
        <v>20</v>
      </c>
      <c r="G87" s="153">
        <v>13</v>
      </c>
      <c r="H87" s="153">
        <v>2</v>
      </c>
      <c r="I87" s="153">
        <v>0.5</v>
      </c>
      <c r="J87" s="154">
        <f t="shared" si="5"/>
        <v>0.25</v>
      </c>
      <c r="K87" s="155">
        <v>0</v>
      </c>
      <c r="L87" s="155">
        <v>0</v>
      </c>
      <c r="M87" s="155">
        <v>0</v>
      </c>
      <c r="N87" s="156" t="s">
        <v>483</v>
      </c>
      <c r="O87" s="113"/>
      <c r="P87" s="113"/>
      <c r="Q87" s="113"/>
      <c r="R87" s="113"/>
      <c r="S87" s="113"/>
      <c r="T87" s="113"/>
      <c r="U87" s="113"/>
      <c r="V87" s="113"/>
      <c r="W87" s="113"/>
      <c r="X87" s="113"/>
      <c r="Y87" s="113"/>
      <c r="Z87" s="113"/>
      <c r="AA87" s="113"/>
      <c r="AB87" s="113"/>
    </row>
    <row r="88" spans="1:28" ht="75" customHeight="1" x14ac:dyDescent="0.25">
      <c r="A88" s="771" t="s">
        <v>427</v>
      </c>
      <c r="B88" s="136" t="s">
        <v>456</v>
      </c>
      <c r="C88" s="137" t="s">
        <v>457</v>
      </c>
      <c r="D88" s="136" t="s">
        <v>458</v>
      </c>
      <c r="E88" s="136" t="s">
        <v>459</v>
      </c>
      <c r="F88" s="138">
        <v>20</v>
      </c>
      <c r="G88" s="138">
        <v>24</v>
      </c>
      <c r="H88" s="138">
        <v>4</v>
      </c>
      <c r="I88" s="139">
        <v>1.9</v>
      </c>
      <c r="J88" s="140">
        <f t="shared" si="5"/>
        <v>0.47499999999999998</v>
      </c>
      <c r="K88" s="141">
        <v>0</v>
      </c>
      <c r="L88" s="141">
        <v>0</v>
      </c>
      <c r="M88" s="141">
        <v>0</v>
      </c>
      <c r="N88" s="142" t="s">
        <v>484</v>
      </c>
      <c r="O88" s="113"/>
      <c r="P88" s="113"/>
      <c r="Q88" s="113"/>
      <c r="R88" s="113"/>
      <c r="S88" s="113"/>
      <c r="T88" s="113"/>
      <c r="U88" s="113"/>
      <c r="V88" s="113"/>
      <c r="W88" s="113"/>
      <c r="X88" s="113"/>
      <c r="Y88" s="113"/>
      <c r="Z88" s="113"/>
      <c r="AA88" s="113"/>
      <c r="AB88" s="113"/>
    </row>
    <row r="89" spans="1:28" ht="70.5" customHeight="1" x14ac:dyDescent="0.25">
      <c r="A89" s="740"/>
      <c r="B89" s="143" t="s">
        <v>461</v>
      </c>
      <c r="C89" s="144" t="s">
        <v>462</v>
      </c>
      <c r="D89" s="143" t="s">
        <v>463</v>
      </c>
      <c r="E89" s="143" t="s">
        <v>459</v>
      </c>
      <c r="F89" s="145">
        <v>20</v>
      </c>
      <c r="G89" s="145">
        <v>15</v>
      </c>
      <c r="H89" s="145">
        <v>2</v>
      </c>
      <c r="I89" s="146">
        <v>1</v>
      </c>
      <c r="J89" s="147">
        <f t="shared" si="5"/>
        <v>0.5</v>
      </c>
      <c r="K89" s="30">
        <v>0</v>
      </c>
      <c r="L89" s="30">
        <v>0</v>
      </c>
      <c r="M89" s="30">
        <v>0</v>
      </c>
      <c r="N89" s="352" t="s">
        <v>485</v>
      </c>
      <c r="O89" s="113"/>
      <c r="P89" s="113"/>
      <c r="Q89" s="113"/>
      <c r="R89" s="113"/>
      <c r="S89" s="113"/>
      <c r="T89" s="113"/>
      <c r="U89" s="113"/>
      <c r="V89" s="113"/>
      <c r="W89" s="113"/>
      <c r="X89" s="113"/>
      <c r="Y89" s="113"/>
      <c r="Z89" s="113"/>
      <c r="AA89" s="113"/>
      <c r="AB89" s="113"/>
    </row>
    <row r="90" spans="1:28" ht="55.5" customHeight="1" x14ac:dyDescent="0.25">
      <c r="A90" s="740"/>
      <c r="B90" s="143" t="s">
        <v>465</v>
      </c>
      <c r="C90" s="144" t="s">
        <v>466</v>
      </c>
      <c r="D90" s="143" t="s">
        <v>467</v>
      </c>
      <c r="E90" s="143" t="s">
        <v>468</v>
      </c>
      <c r="F90" s="145">
        <v>20</v>
      </c>
      <c r="G90" s="145">
        <v>15</v>
      </c>
      <c r="H90" s="145">
        <v>3</v>
      </c>
      <c r="I90" s="145">
        <v>1.03</v>
      </c>
      <c r="J90" s="147">
        <f t="shared" si="5"/>
        <v>0.34333333333333332</v>
      </c>
      <c r="K90" s="30">
        <v>0</v>
      </c>
      <c r="L90" s="30">
        <v>0</v>
      </c>
      <c r="M90" s="255">
        <v>0</v>
      </c>
      <c r="N90" s="353" t="s">
        <v>486</v>
      </c>
      <c r="O90" s="113"/>
      <c r="P90" s="113"/>
      <c r="Q90" s="113"/>
      <c r="R90" s="113"/>
      <c r="S90" s="113"/>
      <c r="T90" s="113"/>
      <c r="U90" s="113"/>
      <c r="V90" s="113"/>
      <c r="W90" s="113"/>
      <c r="X90" s="113"/>
      <c r="Y90" s="113"/>
      <c r="Z90" s="113"/>
      <c r="AA90" s="113"/>
      <c r="AB90" s="113"/>
    </row>
    <row r="91" spans="1:28" ht="78" customHeight="1" x14ac:dyDescent="0.25">
      <c r="A91" s="740"/>
      <c r="B91" s="143" t="s">
        <v>470</v>
      </c>
      <c r="C91" s="144" t="s">
        <v>471</v>
      </c>
      <c r="D91" s="143" t="s">
        <v>472</v>
      </c>
      <c r="E91" s="143" t="s">
        <v>473</v>
      </c>
      <c r="F91" s="145">
        <v>20</v>
      </c>
      <c r="G91" s="149">
        <v>0.38</v>
      </c>
      <c r="H91" s="149">
        <v>0.05</v>
      </c>
      <c r="I91" s="150">
        <v>1.04E-2</v>
      </c>
      <c r="J91" s="147">
        <f t="shared" si="5"/>
        <v>0.20799999999999999</v>
      </c>
      <c r="K91" s="30">
        <v>0</v>
      </c>
      <c r="L91" s="30">
        <v>0</v>
      </c>
      <c r="M91" s="255">
        <v>0</v>
      </c>
      <c r="N91" s="353" t="s">
        <v>487</v>
      </c>
      <c r="O91" s="113"/>
      <c r="P91" s="113"/>
      <c r="Q91" s="113"/>
      <c r="R91" s="113"/>
      <c r="S91" s="113"/>
      <c r="T91" s="113"/>
      <c r="U91" s="113"/>
      <c r="V91" s="113"/>
      <c r="W91" s="113"/>
      <c r="X91" s="113"/>
      <c r="Y91" s="113"/>
      <c r="Z91" s="113"/>
      <c r="AA91" s="113"/>
      <c r="AB91" s="113"/>
    </row>
    <row r="92" spans="1:28" ht="78" customHeight="1" thickBot="1" x14ac:dyDescent="0.3">
      <c r="A92" s="744"/>
      <c r="B92" s="151" t="s">
        <v>475</v>
      </c>
      <c r="C92" s="152" t="s">
        <v>476</v>
      </c>
      <c r="D92" s="151" t="s">
        <v>477</v>
      </c>
      <c r="E92" s="151" t="s">
        <v>468</v>
      </c>
      <c r="F92" s="153">
        <v>20</v>
      </c>
      <c r="G92" s="153">
        <v>13</v>
      </c>
      <c r="H92" s="153">
        <v>2</v>
      </c>
      <c r="I92" s="153">
        <v>0.5</v>
      </c>
      <c r="J92" s="154">
        <f t="shared" si="5"/>
        <v>0.25</v>
      </c>
      <c r="K92" s="155">
        <v>0</v>
      </c>
      <c r="L92" s="155">
        <v>0</v>
      </c>
      <c r="M92" s="350">
        <v>0</v>
      </c>
      <c r="N92" s="354" t="s">
        <v>488</v>
      </c>
      <c r="O92" s="113"/>
      <c r="P92" s="113"/>
      <c r="Q92" s="113"/>
      <c r="R92" s="113"/>
      <c r="S92" s="113"/>
      <c r="T92" s="113"/>
      <c r="U92" s="113"/>
      <c r="V92" s="113"/>
      <c r="W92" s="113"/>
      <c r="X92" s="113"/>
      <c r="Y92" s="113"/>
      <c r="Z92" s="113"/>
      <c r="AA92" s="113"/>
      <c r="AB92" s="113"/>
    </row>
    <row r="93" spans="1:28" ht="80.25" customHeight="1" x14ac:dyDescent="0.25">
      <c r="A93" s="771" t="s">
        <v>428</v>
      </c>
      <c r="B93" s="136" t="s">
        <v>456</v>
      </c>
      <c r="C93" s="137" t="s">
        <v>457</v>
      </c>
      <c r="D93" s="136" t="s">
        <v>458</v>
      </c>
      <c r="E93" s="136" t="s">
        <v>459</v>
      </c>
      <c r="F93" s="138">
        <v>20</v>
      </c>
      <c r="G93" s="138">
        <v>24</v>
      </c>
      <c r="H93" s="138">
        <v>4</v>
      </c>
      <c r="I93" s="139">
        <v>2.65</v>
      </c>
      <c r="J93" s="140">
        <f t="shared" si="5"/>
        <v>0.66249999999999998</v>
      </c>
      <c r="K93" s="141">
        <v>0</v>
      </c>
      <c r="L93" s="141">
        <v>0</v>
      </c>
      <c r="M93" s="351">
        <v>0</v>
      </c>
      <c r="N93" s="353" t="s">
        <v>489</v>
      </c>
      <c r="O93" s="113"/>
      <c r="P93" s="113"/>
      <c r="Q93" s="113"/>
      <c r="R93" s="113"/>
      <c r="S93" s="113"/>
      <c r="T93" s="113"/>
      <c r="U93" s="113"/>
      <c r="V93" s="113"/>
      <c r="W93" s="113"/>
      <c r="X93" s="113"/>
      <c r="Y93" s="113"/>
      <c r="Z93" s="113"/>
      <c r="AA93" s="113"/>
      <c r="AB93" s="113"/>
    </row>
    <row r="94" spans="1:28" ht="84" customHeight="1" x14ac:dyDescent="0.25">
      <c r="A94" s="740"/>
      <c r="B94" s="143" t="s">
        <v>461</v>
      </c>
      <c r="C94" s="144" t="s">
        <v>462</v>
      </c>
      <c r="D94" s="143" t="s">
        <v>463</v>
      </c>
      <c r="E94" s="143" t="s">
        <v>459</v>
      </c>
      <c r="F94" s="145">
        <v>20</v>
      </c>
      <c r="G94" s="145">
        <v>15</v>
      </c>
      <c r="H94" s="145">
        <v>2</v>
      </c>
      <c r="I94" s="146">
        <v>1.3</v>
      </c>
      <c r="J94" s="147">
        <f t="shared" si="5"/>
        <v>0.65</v>
      </c>
      <c r="K94" s="30">
        <v>0</v>
      </c>
      <c r="L94" s="30">
        <v>0</v>
      </c>
      <c r="M94" s="30">
        <v>0</v>
      </c>
      <c r="N94" s="230" t="s">
        <v>490</v>
      </c>
      <c r="O94" s="113"/>
      <c r="P94" s="113"/>
      <c r="Q94" s="113"/>
      <c r="R94" s="113"/>
      <c r="S94" s="113"/>
      <c r="T94" s="113"/>
      <c r="U94" s="113"/>
      <c r="V94" s="113"/>
      <c r="W94" s="113"/>
      <c r="X94" s="113"/>
      <c r="Y94" s="113"/>
      <c r="Z94" s="113"/>
      <c r="AA94" s="113"/>
      <c r="AB94" s="113"/>
    </row>
    <row r="95" spans="1:28" ht="73.5" customHeight="1" x14ac:dyDescent="0.25">
      <c r="A95" s="740"/>
      <c r="B95" s="143" t="s">
        <v>465</v>
      </c>
      <c r="C95" s="144" t="s">
        <v>466</v>
      </c>
      <c r="D95" s="143" t="s">
        <v>467</v>
      </c>
      <c r="E95" s="143" t="s">
        <v>468</v>
      </c>
      <c r="F95" s="145">
        <v>20</v>
      </c>
      <c r="G95" s="145">
        <v>15</v>
      </c>
      <c r="H95" s="145">
        <v>3</v>
      </c>
      <c r="I95" s="145">
        <v>1.59</v>
      </c>
      <c r="J95" s="147">
        <f t="shared" si="5"/>
        <v>0.53</v>
      </c>
      <c r="K95" s="30">
        <v>0</v>
      </c>
      <c r="L95" s="30">
        <v>0</v>
      </c>
      <c r="M95" s="30">
        <v>0</v>
      </c>
      <c r="N95" s="148" t="s">
        <v>491</v>
      </c>
      <c r="O95" s="113"/>
      <c r="P95" s="113"/>
      <c r="Q95" s="113"/>
      <c r="R95" s="113"/>
      <c r="S95" s="113"/>
      <c r="T95" s="113"/>
      <c r="U95" s="113"/>
      <c r="V95" s="113"/>
      <c r="W95" s="113"/>
      <c r="X95" s="113"/>
      <c r="Y95" s="113"/>
      <c r="Z95" s="113"/>
      <c r="AA95" s="113"/>
      <c r="AB95" s="113"/>
    </row>
    <row r="96" spans="1:28" ht="75" customHeight="1" x14ac:dyDescent="0.25">
      <c r="A96" s="740"/>
      <c r="B96" s="143" t="s">
        <v>470</v>
      </c>
      <c r="C96" s="144" t="s">
        <v>471</v>
      </c>
      <c r="D96" s="143" t="s">
        <v>472</v>
      </c>
      <c r="E96" s="143" t="s">
        <v>473</v>
      </c>
      <c r="F96" s="145">
        <v>20</v>
      </c>
      <c r="G96" s="149">
        <v>0.38</v>
      </c>
      <c r="H96" s="149">
        <v>0.05</v>
      </c>
      <c r="I96" s="150">
        <v>1.1900000000000001E-2</v>
      </c>
      <c r="J96" s="147">
        <f t="shared" si="5"/>
        <v>0.23800000000000002</v>
      </c>
      <c r="K96" s="30">
        <v>0</v>
      </c>
      <c r="L96" s="30">
        <v>0</v>
      </c>
      <c r="M96" s="30">
        <v>0</v>
      </c>
      <c r="N96" s="148" t="s">
        <v>492</v>
      </c>
      <c r="O96" s="113"/>
      <c r="P96" s="113"/>
      <c r="Q96" s="113"/>
      <c r="R96" s="113"/>
      <c r="S96" s="113"/>
      <c r="T96" s="113"/>
      <c r="U96" s="113"/>
      <c r="V96" s="113"/>
      <c r="W96" s="113"/>
      <c r="X96" s="113"/>
      <c r="Y96" s="113"/>
      <c r="Z96" s="113"/>
      <c r="AA96" s="113"/>
      <c r="AB96" s="113"/>
    </row>
    <row r="97" spans="1:28" ht="77.25" customHeight="1" x14ac:dyDescent="0.25">
      <c r="A97" s="744"/>
      <c r="B97" s="151" t="s">
        <v>475</v>
      </c>
      <c r="C97" s="152" t="s">
        <v>476</v>
      </c>
      <c r="D97" s="151" t="s">
        <v>477</v>
      </c>
      <c r="E97" s="151" t="s">
        <v>468</v>
      </c>
      <c r="F97" s="153">
        <v>20</v>
      </c>
      <c r="G97" s="153">
        <v>13</v>
      </c>
      <c r="H97" s="153">
        <v>2</v>
      </c>
      <c r="I97" s="153">
        <v>1</v>
      </c>
      <c r="J97" s="154">
        <f t="shared" si="5"/>
        <v>0.5</v>
      </c>
      <c r="K97" s="155">
        <v>0</v>
      </c>
      <c r="L97" s="155">
        <v>0</v>
      </c>
      <c r="M97" s="155">
        <v>0</v>
      </c>
      <c r="N97" s="156" t="s">
        <v>493</v>
      </c>
      <c r="O97" s="113"/>
      <c r="P97" s="113"/>
      <c r="Q97" s="113"/>
      <c r="R97" s="113"/>
      <c r="S97" s="113"/>
      <c r="T97" s="113"/>
      <c r="U97" s="113"/>
      <c r="V97" s="113"/>
      <c r="W97" s="113"/>
      <c r="X97" s="113"/>
      <c r="Y97" s="113"/>
      <c r="Z97" s="113"/>
      <c r="AA97" s="113"/>
      <c r="AB97" s="113"/>
    </row>
    <row r="98" spans="1:28" ht="76.5" customHeight="1" x14ac:dyDescent="0.25">
      <c r="A98" s="771" t="s">
        <v>429</v>
      </c>
      <c r="B98" s="136" t="s">
        <v>456</v>
      </c>
      <c r="C98" s="137" t="s">
        <v>457</v>
      </c>
      <c r="D98" s="136" t="s">
        <v>458</v>
      </c>
      <c r="E98" s="136" t="s">
        <v>459</v>
      </c>
      <c r="F98" s="138">
        <v>20</v>
      </c>
      <c r="G98" s="138">
        <v>24</v>
      </c>
      <c r="H98" s="138">
        <v>4</v>
      </c>
      <c r="I98" s="139">
        <v>3.6</v>
      </c>
      <c r="J98" s="140">
        <f t="shared" si="5"/>
        <v>0.9</v>
      </c>
      <c r="K98" s="141">
        <v>0</v>
      </c>
      <c r="L98" s="141">
        <v>0</v>
      </c>
      <c r="M98" s="141">
        <v>0</v>
      </c>
      <c r="N98" s="142" t="s">
        <v>494</v>
      </c>
      <c r="O98" s="113"/>
      <c r="P98" s="113"/>
      <c r="Q98" s="113"/>
      <c r="R98" s="113"/>
      <c r="S98" s="113"/>
      <c r="T98" s="113"/>
      <c r="U98" s="113"/>
      <c r="V98" s="113"/>
      <c r="W98" s="113"/>
      <c r="X98" s="113"/>
      <c r="Y98" s="113"/>
      <c r="Z98" s="113"/>
      <c r="AA98" s="113"/>
      <c r="AB98" s="113"/>
    </row>
    <row r="99" spans="1:28" ht="73.5" customHeight="1" x14ac:dyDescent="0.25">
      <c r="A99" s="740"/>
      <c r="B99" s="143" t="s">
        <v>461</v>
      </c>
      <c r="C99" s="144" t="s">
        <v>462</v>
      </c>
      <c r="D99" s="143" t="s">
        <v>463</v>
      </c>
      <c r="E99" s="143" t="s">
        <v>459</v>
      </c>
      <c r="F99" s="145">
        <v>20</v>
      </c>
      <c r="G99" s="145">
        <v>15</v>
      </c>
      <c r="H99" s="145">
        <v>2</v>
      </c>
      <c r="I99" s="146">
        <v>1.9</v>
      </c>
      <c r="J99" s="147">
        <f t="shared" si="5"/>
        <v>0.95</v>
      </c>
      <c r="K99" s="30">
        <v>0</v>
      </c>
      <c r="L99" s="30">
        <v>0</v>
      </c>
      <c r="M99" s="30">
        <v>0</v>
      </c>
      <c r="N99" s="148" t="s">
        <v>495</v>
      </c>
      <c r="O99" s="113"/>
      <c r="P99" s="113"/>
      <c r="Q99" s="113"/>
      <c r="R99" s="113"/>
      <c r="S99" s="113"/>
      <c r="T99" s="113"/>
      <c r="U99" s="113"/>
      <c r="V99" s="113"/>
      <c r="W99" s="113"/>
      <c r="X99" s="113"/>
      <c r="Y99" s="113"/>
      <c r="Z99" s="113"/>
      <c r="AA99" s="113"/>
      <c r="AB99" s="113"/>
    </row>
    <row r="100" spans="1:28" ht="75.75" customHeight="1" x14ac:dyDescent="0.25">
      <c r="A100" s="740"/>
      <c r="B100" s="143" t="s">
        <v>465</v>
      </c>
      <c r="C100" s="144" t="s">
        <v>466</v>
      </c>
      <c r="D100" s="143" t="s">
        <v>467</v>
      </c>
      <c r="E100" s="143" t="s">
        <v>468</v>
      </c>
      <c r="F100" s="145">
        <v>20</v>
      </c>
      <c r="G100" s="145">
        <v>15</v>
      </c>
      <c r="H100" s="145">
        <v>3</v>
      </c>
      <c r="I100" s="145">
        <v>2.2599999999999998</v>
      </c>
      <c r="J100" s="147">
        <f t="shared" si="5"/>
        <v>0.7533333333333333</v>
      </c>
      <c r="K100" s="30">
        <v>0</v>
      </c>
      <c r="L100" s="30">
        <v>0</v>
      </c>
      <c r="M100" s="30">
        <v>0</v>
      </c>
      <c r="N100" s="148" t="s">
        <v>496</v>
      </c>
      <c r="O100" s="113"/>
      <c r="P100" s="113"/>
      <c r="Q100" s="113"/>
      <c r="R100" s="113"/>
      <c r="S100" s="113"/>
      <c r="T100" s="113"/>
      <c r="U100" s="113"/>
      <c r="V100" s="113"/>
      <c r="W100" s="113"/>
      <c r="X100" s="113"/>
      <c r="Y100" s="113"/>
      <c r="Z100" s="113"/>
      <c r="AA100" s="113"/>
      <c r="AB100" s="113"/>
    </row>
    <row r="101" spans="1:28" ht="73.5" customHeight="1" x14ac:dyDescent="0.25">
      <c r="A101" s="740"/>
      <c r="B101" s="143" t="s">
        <v>470</v>
      </c>
      <c r="C101" s="144" t="s">
        <v>471</v>
      </c>
      <c r="D101" s="143" t="s">
        <v>472</v>
      </c>
      <c r="E101" s="143" t="s">
        <v>473</v>
      </c>
      <c r="F101" s="145">
        <v>20</v>
      </c>
      <c r="G101" s="149">
        <v>0.38</v>
      </c>
      <c r="H101" s="149">
        <v>0.05</v>
      </c>
      <c r="I101" s="150">
        <v>1.54E-2</v>
      </c>
      <c r="J101" s="147">
        <f t="shared" si="5"/>
        <v>0.308</v>
      </c>
      <c r="K101" s="30">
        <v>0</v>
      </c>
      <c r="L101" s="30">
        <v>0</v>
      </c>
      <c r="M101" s="30">
        <v>0</v>
      </c>
      <c r="N101" s="148" t="s">
        <v>497</v>
      </c>
      <c r="O101" s="113"/>
      <c r="P101" s="113"/>
      <c r="Q101" s="113"/>
      <c r="R101" s="113"/>
      <c r="S101" s="113"/>
      <c r="T101" s="113"/>
      <c r="U101" s="113"/>
      <c r="V101" s="113"/>
      <c r="W101" s="113"/>
      <c r="X101" s="113"/>
      <c r="Y101" s="113"/>
      <c r="Z101" s="113"/>
      <c r="AA101" s="113"/>
      <c r="AB101" s="113"/>
    </row>
    <row r="102" spans="1:28" ht="81" customHeight="1" x14ac:dyDescent="0.25">
      <c r="A102" s="744"/>
      <c r="B102" s="151" t="s">
        <v>475</v>
      </c>
      <c r="C102" s="152" t="s">
        <v>476</v>
      </c>
      <c r="D102" s="151" t="s">
        <v>477</v>
      </c>
      <c r="E102" s="151" t="s">
        <v>468</v>
      </c>
      <c r="F102" s="153">
        <v>20</v>
      </c>
      <c r="G102" s="153">
        <v>13</v>
      </c>
      <c r="H102" s="153">
        <v>2</v>
      </c>
      <c r="I102" s="153">
        <v>1</v>
      </c>
      <c r="J102" s="154">
        <f t="shared" si="5"/>
        <v>0.5</v>
      </c>
      <c r="K102" s="155">
        <v>0</v>
      </c>
      <c r="L102" s="155">
        <v>0</v>
      </c>
      <c r="M102" s="155">
        <v>0</v>
      </c>
      <c r="N102" s="156" t="s">
        <v>498</v>
      </c>
      <c r="O102" s="113"/>
      <c r="P102" s="113"/>
      <c r="Q102" s="113"/>
      <c r="R102" s="113"/>
      <c r="S102" s="113"/>
      <c r="T102" s="113"/>
      <c r="U102" s="113"/>
      <c r="V102" s="113"/>
      <c r="W102" s="113"/>
      <c r="X102" s="113"/>
      <c r="Y102" s="113"/>
      <c r="Z102" s="113"/>
      <c r="AA102" s="113"/>
      <c r="AB102" s="113"/>
    </row>
    <row r="103" spans="1:28" ht="65.25" customHeight="1" x14ac:dyDescent="0.25">
      <c r="A103" s="771" t="s">
        <v>430</v>
      </c>
      <c r="B103" s="136" t="s">
        <v>456</v>
      </c>
      <c r="C103" s="137" t="s">
        <v>457</v>
      </c>
      <c r="D103" s="136" t="s">
        <v>458</v>
      </c>
      <c r="E103" s="136" t="s">
        <v>459</v>
      </c>
      <c r="F103" s="138">
        <v>20</v>
      </c>
      <c r="G103" s="138">
        <v>24</v>
      </c>
      <c r="H103" s="138">
        <v>4</v>
      </c>
      <c r="I103" s="139">
        <v>4</v>
      </c>
      <c r="J103" s="140">
        <f t="shared" si="5"/>
        <v>1</v>
      </c>
      <c r="K103" s="141">
        <v>0</v>
      </c>
      <c r="L103" s="141">
        <v>0</v>
      </c>
      <c r="M103" s="141">
        <v>0</v>
      </c>
      <c r="N103" s="142" t="s">
        <v>499</v>
      </c>
      <c r="O103" s="113"/>
      <c r="P103" s="113"/>
      <c r="Q103" s="113"/>
      <c r="R103" s="113"/>
      <c r="S103" s="113"/>
      <c r="T103" s="113"/>
      <c r="U103" s="113"/>
      <c r="V103" s="113"/>
      <c r="W103" s="113"/>
      <c r="X103" s="113"/>
      <c r="Y103" s="113"/>
      <c r="Z103" s="113"/>
      <c r="AA103" s="113"/>
      <c r="AB103" s="113"/>
    </row>
    <row r="104" spans="1:28" ht="90.75" customHeight="1" x14ac:dyDescent="0.25">
      <c r="A104" s="740"/>
      <c r="B104" s="143" t="s">
        <v>461</v>
      </c>
      <c r="C104" s="144" t="s">
        <v>462</v>
      </c>
      <c r="D104" s="143" t="s">
        <v>463</v>
      </c>
      <c r="E104" s="143" t="s">
        <v>459</v>
      </c>
      <c r="F104" s="145">
        <v>20</v>
      </c>
      <c r="G104" s="145">
        <v>15</v>
      </c>
      <c r="H104" s="145">
        <v>2</v>
      </c>
      <c r="I104" s="146">
        <v>2</v>
      </c>
      <c r="J104" s="147">
        <f t="shared" si="5"/>
        <v>1</v>
      </c>
      <c r="K104" s="30">
        <v>0</v>
      </c>
      <c r="L104" s="30">
        <v>0</v>
      </c>
      <c r="M104" s="30">
        <v>0</v>
      </c>
      <c r="N104" s="148" t="s">
        <v>500</v>
      </c>
      <c r="O104" s="113"/>
      <c r="P104" s="113"/>
      <c r="Q104" s="113"/>
      <c r="R104" s="113"/>
      <c r="S104" s="113"/>
      <c r="T104" s="113"/>
      <c r="U104" s="113"/>
      <c r="V104" s="113"/>
      <c r="W104" s="113"/>
      <c r="X104" s="113"/>
      <c r="Y104" s="113"/>
      <c r="Z104" s="113"/>
      <c r="AA104" s="113"/>
      <c r="AB104" s="113"/>
    </row>
    <row r="105" spans="1:28" ht="75.75" customHeight="1" x14ac:dyDescent="0.25">
      <c r="A105" s="740"/>
      <c r="B105" s="143" t="s">
        <v>465</v>
      </c>
      <c r="C105" s="144" t="s">
        <v>466</v>
      </c>
      <c r="D105" s="143" t="s">
        <v>467</v>
      </c>
      <c r="E105" s="143" t="s">
        <v>468</v>
      </c>
      <c r="F105" s="145">
        <v>20</v>
      </c>
      <c r="G105" s="145">
        <v>15</v>
      </c>
      <c r="H105" s="145">
        <v>3</v>
      </c>
      <c r="I105" s="145">
        <v>2.81</v>
      </c>
      <c r="J105" s="147">
        <f t="shared" si="5"/>
        <v>0.93666666666666665</v>
      </c>
      <c r="K105" s="30">
        <v>0</v>
      </c>
      <c r="L105" s="30">
        <v>0</v>
      </c>
      <c r="M105" s="30">
        <v>0</v>
      </c>
      <c r="N105" s="148" t="s">
        <v>501</v>
      </c>
      <c r="O105" s="113"/>
      <c r="P105" s="113"/>
      <c r="Q105" s="113"/>
      <c r="R105" s="113"/>
      <c r="S105" s="113"/>
      <c r="T105" s="113"/>
      <c r="U105" s="113"/>
      <c r="V105" s="113"/>
      <c r="W105" s="113"/>
      <c r="X105" s="113"/>
      <c r="Y105" s="113"/>
      <c r="Z105" s="113"/>
      <c r="AA105" s="113"/>
      <c r="AB105" s="113"/>
    </row>
    <row r="106" spans="1:28" ht="105.75" customHeight="1" x14ac:dyDescent="0.25">
      <c r="A106" s="740"/>
      <c r="B106" s="143" t="s">
        <v>470</v>
      </c>
      <c r="C106" s="144" t="s">
        <v>471</v>
      </c>
      <c r="D106" s="143" t="s">
        <v>472</v>
      </c>
      <c r="E106" s="143" t="s">
        <v>473</v>
      </c>
      <c r="F106" s="145">
        <v>20</v>
      </c>
      <c r="G106" s="149">
        <v>0.38</v>
      </c>
      <c r="H106" s="149">
        <v>0.05</v>
      </c>
      <c r="I106" s="150">
        <v>3.0700000000000002E-2</v>
      </c>
      <c r="J106" s="147">
        <f t="shared" si="5"/>
        <v>0.61399999999999999</v>
      </c>
      <c r="K106" s="30">
        <v>0</v>
      </c>
      <c r="L106" s="30">
        <v>0</v>
      </c>
      <c r="M106" s="30">
        <v>0</v>
      </c>
      <c r="N106" s="148" t="s">
        <v>502</v>
      </c>
      <c r="O106" s="113"/>
      <c r="P106" s="113"/>
      <c r="Q106" s="113"/>
      <c r="R106" s="113"/>
      <c r="S106" s="113"/>
      <c r="T106" s="113"/>
      <c r="U106" s="113"/>
      <c r="V106" s="113"/>
      <c r="W106" s="113"/>
      <c r="X106" s="113"/>
      <c r="Y106" s="113"/>
      <c r="Z106" s="113"/>
      <c r="AA106" s="113"/>
      <c r="AB106" s="113"/>
    </row>
    <row r="107" spans="1:28" ht="120.75" customHeight="1" x14ac:dyDescent="0.25">
      <c r="A107" s="744"/>
      <c r="B107" s="151" t="s">
        <v>475</v>
      </c>
      <c r="C107" s="152" t="s">
        <v>476</v>
      </c>
      <c r="D107" s="151" t="s">
        <v>477</v>
      </c>
      <c r="E107" s="151" t="s">
        <v>468</v>
      </c>
      <c r="F107" s="153">
        <v>20</v>
      </c>
      <c r="G107" s="153">
        <v>13</v>
      </c>
      <c r="H107" s="153">
        <v>2</v>
      </c>
      <c r="I107" s="153">
        <v>1.95</v>
      </c>
      <c r="J107" s="154">
        <f t="shared" si="5"/>
        <v>0.97499999999999998</v>
      </c>
      <c r="K107" s="155">
        <v>0</v>
      </c>
      <c r="L107" s="155">
        <v>0</v>
      </c>
      <c r="M107" s="155">
        <v>0</v>
      </c>
      <c r="N107" s="156" t="s">
        <v>503</v>
      </c>
      <c r="O107" s="113"/>
      <c r="P107" s="113"/>
      <c r="Q107" s="113"/>
      <c r="R107" s="113"/>
      <c r="S107" s="113"/>
      <c r="T107" s="113"/>
      <c r="U107" s="113"/>
      <c r="V107" s="113"/>
      <c r="W107" s="113"/>
      <c r="X107" s="113"/>
      <c r="Y107" s="113"/>
      <c r="Z107" s="113"/>
      <c r="AA107" s="113"/>
      <c r="AB107" s="113"/>
    </row>
    <row r="108" spans="1:28" ht="15.75" customHeight="1" x14ac:dyDescent="0.25">
      <c r="A108" s="158"/>
      <c r="B108" s="157"/>
      <c r="C108" s="159"/>
      <c r="D108" s="157"/>
      <c r="E108" s="157"/>
      <c r="F108" s="160"/>
      <c r="G108" s="160"/>
      <c r="H108" s="160"/>
      <c r="I108" s="160"/>
      <c r="J108" s="161"/>
      <c r="K108" s="162"/>
      <c r="L108" s="162"/>
      <c r="M108" s="162"/>
      <c r="N108" s="163"/>
      <c r="O108" s="113"/>
      <c r="P108" s="113"/>
      <c r="Q108" s="113"/>
      <c r="R108" s="113"/>
      <c r="S108" s="113"/>
      <c r="T108" s="113"/>
      <c r="U108" s="113"/>
      <c r="V108" s="113"/>
      <c r="W108" s="113"/>
      <c r="X108" s="113"/>
      <c r="Y108" s="113"/>
      <c r="Z108" s="113"/>
      <c r="AA108" s="113"/>
      <c r="AB108" s="113"/>
    </row>
    <row r="109" spans="1:28" ht="16.5" customHeight="1" x14ac:dyDescent="0.2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row>
    <row r="110" spans="1:28" ht="15.75" customHeight="1" x14ac:dyDescent="0.25">
      <c r="A110" s="770" t="s">
        <v>504</v>
      </c>
      <c r="B110" s="592"/>
      <c r="C110" s="592"/>
      <c r="D110" s="592"/>
      <c r="E110" s="592"/>
      <c r="F110" s="592"/>
      <c r="G110" s="592"/>
      <c r="H110" s="592"/>
      <c r="I110" s="592"/>
      <c r="J110" s="592"/>
      <c r="K110" s="592"/>
      <c r="L110" s="592"/>
      <c r="M110" s="592"/>
      <c r="N110" s="689"/>
      <c r="O110" s="113"/>
      <c r="P110" s="113"/>
      <c r="Q110" s="113"/>
      <c r="R110" s="113"/>
      <c r="S110" s="113"/>
      <c r="T110" s="113"/>
      <c r="U110" s="113"/>
      <c r="V110" s="113"/>
      <c r="W110" s="113"/>
      <c r="X110" s="113"/>
      <c r="Y110" s="113"/>
      <c r="Z110" s="113"/>
      <c r="AA110" s="113"/>
      <c r="AB110" s="113"/>
    </row>
    <row r="111" spans="1:28" ht="44.25" customHeight="1" x14ac:dyDescent="0.25">
      <c r="A111" s="114" t="s">
        <v>26</v>
      </c>
      <c r="B111" s="115" t="s">
        <v>443</v>
      </c>
      <c r="C111" s="115" t="s">
        <v>444</v>
      </c>
      <c r="D111" s="115" t="s">
        <v>445</v>
      </c>
      <c r="E111" s="115" t="s">
        <v>446</v>
      </c>
      <c r="F111" s="115" t="s">
        <v>505</v>
      </c>
      <c r="G111" s="115" t="s">
        <v>448</v>
      </c>
      <c r="H111" s="115" t="s">
        <v>506</v>
      </c>
      <c r="I111" s="115" t="s">
        <v>507</v>
      </c>
      <c r="J111" s="164" t="s">
        <v>508</v>
      </c>
      <c r="K111" s="115" t="s">
        <v>452</v>
      </c>
      <c r="L111" s="115" t="s">
        <v>453</v>
      </c>
      <c r="M111" s="115" t="s">
        <v>454</v>
      </c>
      <c r="N111" s="135" t="s">
        <v>455</v>
      </c>
      <c r="O111" s="113"/>
      <c r="P111" s="113"/>
      <c r="Q111" s="113"/>
      <c r="R111" s="113"/>
      <c r="S111" s="113"/>
      <c r="T111" s="113"/>
      <c r="U111" s="113"/>
      <c r="V111" s="113"/>
      <c r="W111" s="113"/>
      <c r="X111" s="113"/>
      <c r="Y111" s="113"/>
      <c r="Z111" s="113"/>
      <c r="AA111" s="113"/>
      <c r="AB111" s="113"/>
    </row>
    <row r="112" spans="1:28" ht="67.5" customHeight="1" x14ac:dyDescent="0.25">
      <c r="A112" s="771" t="s">
        <v>432</v>
      </c>
      <c r="B112" s="136" t="s">
        <v>456</v>
      </c>
      <c r="C112" s="137" t="s">
        <v>457</v>
      </c>
      <c r="D112" s="136" t="s">
        <v>458</v>
      </c>
      <c r="E112" s="136" t="s">
        <v>459</v>
      </c>
      <c r="F112" s="138">
        <v>20</v>
      </c>
      <c r="G112" s="138">
        <v>24</v>
      </c>
      <c r="H112" s="138">
        <v>3</v>
      </c>
      <c r="I112" s="165">
        <v>0.13</v>
      </c>
      <c r="J112" s="166">
        <f>I112/H112</f>
        <v>4.3333333333333335E-2</v>
      </c>
      <c r="K112" s="165">
        <v>0</v>
      </c>
      <c r="L112" s="165">
        <v>0</v>
      </c>
      <c r="M112" s="165">
        <v>0</v>
      </c>
      <c r="N112" s="167" t="s">
        <v>509</v>
      </c>
      <c r="O112" s="113"/>
      <c r="P112" s="113"/>
      <c r="Q112" s="113"/>
      <c r="R112" s="113"/>
      <c r="S112" s="113"/>
      <c r="T112" s="113"/>
      <c r="U112" s="113"/>
      <c r="V112" s="113"/>
      <c r="W112" s="113"/>
      <c r="X112" s="113"/>
      <c r="Y112" s="113"/>
      <c r="Z112" s="113"/>
      <c r="AA112" s="113"/>
      <c r="AB112" s="113"/>
    </row>
    <row r="113" spans="1:28" ht="84" customHeight="1" x14ac:dyDescent="0.25">
      <c r="A113" s="740"/>
      <c r="B113" s="143" t="s">
        <v>461</v>
      </c>
      <c r="C113" s="144" t="s">
        <v>462</v>
      </c>
      <c r="D113" s="143" t="s">
        <v>463</v>
      </c>
      <c r="E113" s="143" t="s">
        <v>459</v>
      </c>
      <c r="F113" s="145">
        <v>20</v>
      </c>
      <c r="G113" s="145">
        <v>15</v>
      </c>
      <c r="H113" s="145">
        <v>2</v>
      </c>
      <c r="I113" s="165">
        <v>0.06</v>
      </c>
      <c r="J113" s="166">
        <f>I113/H113</f>
        <v>0.03</v>
      </c>
      <c r="K113" s="165">
        <v>0</v>
      </c>
      <c r="L113" s="165">
        <v>0</v>
      </c>
      <c r="M113" s="165">
        <v>0</v>
      </c>
      <c r="N113" s="167" t="s">
        <v>510</v>
      </c>
      <c r="O113" s="113"/>
      <c r="P113" s="113"/>
      <c r="Q113" s="113"/>
      <c r="R113" s="113"/>
      <c r="S113" s="113"/>
      <c r="T113" s="113"/>
      <c r="U113" s="113"/>
      <c r="V113" s="113"/>
      <c r="W113" s="113"/>
      <c r="X113" s="113"/>
      <c r="Y113" s="113"/>
      <c r="Z113" s="113"/>
      <c r="AA113" s="113"/>
      <c r="AB113" s="113"/>
    </row>
    <row r="114" spans="1:28" ht="70.5" customHeight="1" x14ac:dyDescent="0.25">
      <c r="A114" s="740"/>
      <c r="B114" s="143" t="s">
        <v>465</v>
      </c>
      <c r="C114" s="144" t="s">
        <v>466</v>
      </c>
      <c r="D114" s="143" t="s">
        <v>467</v>
      </c>
      <c r="E114" s="143" t="s">
        <v>468</v>
      </c>
      <c r="F114" s="145">
        <v>20</v>
      </c>
      <c r="G114" s="145">
        <v>15</v>
      </c>
      <c r="H114" s="145">
        <v>4</v>
      </c>
      <c r="I114" s="165">
        <v>0.08</v>
      </c>
      <c r="J114" s="166">
        <f>I114/H114</f>
        <v>0.02</v>
      </c>
      <c r="K114" s="165">
        <v>0.19</v>
      </c>
      <c r="L114" s="165">
        <v>0.16</v>
      </c>
      <c r="M114" s="166">
        <f>+L114/K114</f>
        <v>0.84210526315789469</v>
      </c>
      <c r="N114" s="167" t="s">
        <v>511</v>
      </c>
      <c r="O114" s="113"/>
      <c r="P114" s="113"/>
      <c r="Q114" s="113"/>
      <c r="R114" s="113"/>
      <c r="S114" s="113"/>
      <c r="T114" s="113"/>
      <c r="U114" s="113"/>
      <c r="V114" s="113"/>
      <c r="W114" s="113"/>
      <c r="X114" s="113"/>
      <c r="Y114" s="113"/>
      <c r="Z114" s="113"/>
      <c r="AA114" s="113"/>
      <c r="AB114" s="113"/>
    </row>
    <row r="115" spans="1:28" ht="93" customHeight="1" x14ac:dyDescent="0.25">
      <c r="A115" s="740"/>
      <c r="B115" s="143" t="s">
        <v>470</v>
      </c>
      <c r="C115" s="144" t="s">
        <v>471</v>
      </c>
      <c r="D115" s="143" t="s">
        <v>472</v>
      </c>
      <c r="E115" s="143" t="s">
        <v>473</v>
      </c>
      <c r="F115" s="145">
        <v>20</v>
      </c>
      <c r="G115" s="149">
        <v>0.38</v>
      </c>
      <c r="H115" s="150">
        <v>7.0000000000000007E-2</v>
      </c>
      <c r="I115" s="168">
        <v>4.1999999999999997E-3</v>
      </c>
      <c r="J115" s="168">
        <f>+I115/H115</f>
        <v>5.9999999999999991E-2</v>
      </c>
      <c r="K115" s="168">
        <v>1.9300000000000001E-2</v>
      </c>
      <c r="L115" s="168">
        <v>2.9999999999999997E-4</v>
      </c>
      <c r="M115" s="166">
        <f>+L115/K115</f>
        <v>1.55440414507772E-2</v>
      </c>
      <c r="N115" s="167" t="s">
        <v>512</v>
      </c>
      <c r="O115" s="113"/>
      <c r="P115" s="113"/>
      <c r="Q115" s="113"/>
      <c r="R115" s="113"/>
      <c r="S115" s="113"/>
      <c r="T115" s="113"/>
      <c r="U115" s="113"/>
      <c r="V115" s="113"/>
      <c r="W115" s="113"/>
      <c r="X115" s="113"/>
      <c r="Y115" s="113"/>
      <c r="Z115" s="113"/>
      <c r="AA115" s="113"/>
      <c r="AB115" s="113"/>
    </row>
    <row r="116" spans="1:28" ht="57.75" customHeight="1" x14ac:dyDescent="0.25">
      <c r="A116" s="744"/>
      <c r="B116" s="151" t="s">
        <v>475</v>
      </c>
      <c r="C116" s="152" t="s">
        <v>476</v>
      </c>
      <c r="D116" s="151" t="s">
        <v>477</v>
      </c>
      <c r="E116" s="151" t="s">
        <v>468</v>
      </c>
      <c r="F116" s="153">
        <v>20</v>
      </c>
      <c r="G116" s="153">
        <v>13</v>
      </c>
      <c r="H116" s="153">
        <v>3</v>
      </c>
      <c r="I116" s="169">
        <v>0.08</v>
      </c>
      <c r="J116" s="170">
        <f>I116/H116</f>
        <v>2.6666666666666668E-2</v>
      </c>
      <c r="K116" s="169">
        <v>0.05</v>
      </c>
      <c r="L116" s="169">
        <v>0.01</v>
      </c>
      <c r="M116" s="166">
        <f>+L116/K116</f>
        <v>0.19999999999999998</v>
      </c>
      <c r="N116" s="167" t="s">
        <v>513</v>
      </c>
      <c r="O116" s="113"/>
      <c r="P116" s="113"/>
      <c r="Q116" s="113"/>
      <c r="R116" s="113"/>
      <c r="S116" s="113"/>
      <c r="T116" s="113"/>
      <c r="U116" s="113"/>
      <c r="V116" s="113"/>
      <c r="W116" s="113"/>
      <c r="X116" s="113"/>
      <c r="Y116" s="113"/>
      <c r="Z116" s="113"/>
      <c r="AA116" s="113"/>
      <c r="AB116" s="113"/>
    </row>
    <row r="117" spans="1:28" ht="60.75" customHeight="1" x14ac:dyDescent="0.25">
      <c r="A117" s="771" t="s">
        <v>434</v>
      </c>
      <c r="B117" s="136" t="s">
        <v>456</v>
      </c>
      <c r="C117" s="137" t="s">
        <v>457</v>
      </c>
      <c r="D117" s="136" t="s">
        <v>458</v>
      </c>
      <c r="E117" s="136" t="s">
        <v>459</v>
      </c>
      <c r="F117" s="138">
        <v>20</v>
      </c>
      <c r="G117" s="138">
        <v>24</v>
      </c>
      <c r="H117" s="138">
        <v>3</v>
      </c>
      <c r="I117" s="165">
        <v>0.28000000000000003</v>
      </c>
      <c r="J117" s="166">
        <f>I117/H117</f>
        <v>9.3333333333333338E-2</v>
      </c>
      <c r="K117" s="165">
        <v>0</v>
      </c>
      <c r="L117" s="165">
        <v>0</v>
      </c>
      <c r="M117" s="165">
        <v>0</v>
      </c>
      <c r="N117" s="167" t="s">
        <v>514</v>
      </c>
      <c r="O117" s="113"/>
      <c r="P117" s="113"/>
      <c r="Q117" s="113"/>
      <c r="R117" s="113"/>
      <c r="S117" s="113"/>
      <c r="T117" s="113"/>
      <c r="U117" s="113"/>
      <c r="V117" s="113"/>
      <c r="W117" s="113"/>
      <c r="X117" s="113"/>
      <c r="Y117" s="113"/>
      <c r="Z117" s="113"/>
      <c r="AA117" s="113"/>
      <c r="AB117" s="113"/>
    </row>
    <row r="118" spans="1:28" ht="66.75" customHeight="1" x14ac:dyDescent="0.25">
      <c r="A118" s="740"/>
      <c r="B118" s="143" t="s">
        <v>461</v>
      </c>
      <c r="C118" s="144" t="s">
        <v>462</v>
      </c>
      <c r="D118" s="143" t="s">
        <v>463</v>
      </c>
      <c r="E118" s="143" t="s">
        <v>459</v>
      </c>
      <c r="F118" s="145">
        <v>20</v>
      </c>
      <c r="G118" s="145">
        <v>15</v>
      </c>
      <c r="H118" s="145">
        <v>2</v>
      </c>
      <c r="I118" s="165">
        <v>0.16</v>
      </c>
      <c r="J118" s="166">
        <f>I118/H118</f>
        <v>0.08</v>
      </c>
      <c r="K118" s="165">
        <v>0</v>
      </c>
      <c r="L118" s="165">
        <v>0</v>
      </c>
      <c r="M118" s="165">
        <v>0</v>
      </c>
      <c r="N118" s="167" t="s">
        <v>515</v>
      </c>
      <c r="O118" s="113"/>
      <c r="P118" s="113"/>
      <c r="Q118" s="113"/>
      <c r="R118" s="113"/>
      <c r="S118" s="113"/>
      <c r="T118" s="113"/>
      <c r="U118" s="113"/>
      <c r="V118" s="113"/>
      <c r="W118" s="113"/>
      <c r="X118" s="113"/>
      <c r="Y118" s="113"/>
      <c r="Z118" s="113"/>
      <c r="AA118" s="113"/>
      <c r="AB118" s="113"/>
    </row>
    <row r="119" spans="1:28" ht="186" customHeight="1" x14ac:dyDescent="0.25">
      <c r="A119" s="740"/>
      <c r="B119" s="143" t="s">
        <v>465</v>
      </c>
      <c r="C119" s="144" t="s">
        <v>466</v>
      </c>
      <c r="D119" s="143" t="s">
        <v>467</v>
      </c>
      <c r="E119" s="143" t="s">
        <v>468</v>
      </c>
      <c r="F119" s="145">
        <v>20</v>
      </c>
      <c r="G119" s="145">
        <v>15</v>
      </c>
      <c r="H119" s="145">
        <v>4</v>
      </c>
      <c r="I119" s="165">
        <v>0.21</v>
      </c>
      <c r="J119" s="166">
        <f>I119/H119</f>
        <v>5.2499999999999998E-2</v>
      </c>
      <c r="K119" s="165">
        <v>0.19</v>
      </c>
      <c r="L119" s="165">
        <v>0.19</v>
      </c>
      <c r="M119" s="166">
        <f>+L119/K119</f>
        <v>1</v>
      </c>
      <c r="N119" s="167" t="s">
        <v>516</v>
      </c>
      <c r="O119" s="113"/>
      <c r="P119" s="113"/>
      <c r="Q119" s="113"/>
      <c r="R119" s="113"/>
      <c r="S119" s="113"/>
      <c r="T119" s="113"/>
      <c r="U119" s="113"/>
      <c r="V119" s="113"/>
      <c r="W119" s="113"/>
      <c r="X119" s="113"/>
      <c r="Y119" s="113"/>
      <c r="Z119" s="113"/>
      <c r="AA119" s="113"/>
      <c r="AB119" s="113"/>
    </row>
    <row r="120" spans="1:28" ht="63" customHeight="1" x14ac:dyDescent="0.25">
      <c r="A120" s="740"/>
      <c r="B120" s="143" t="s">
        <v>470</v>
      </c>
      <c r="C120" s="144" t="s">
        <v>471</v>
      </c>
      <c r="D120" s="143" t="s">
        <v>472</v>
      </c>
      <c r="E120" s="143" t="s">
        <v>473</v>
      </c>
      <c r="F120" s="145">
        <v>20</v>
      </c>
      <c r="G120" s="149">
        <v>0.38</v>
      </c>
      <c r="H120" s="150">
        <v>7.0000000000000007E-2</v>
      </c>
      <c r="I120" s="168">
        <v>5.4000000000000003E-3</v>
      </c>
      <c r="J120" s="168">
        <f>+I120/H120</f>
        <v>7.7142857142857138E-2</v>
      </c>
      <c r="K120" s="168">
        <v>1.9300000000000001E-2</v>
      </c>
      <c r="L120" s="168">
        <v>3.5999999999999999E-3</v>
      </c>
      <c r="M120" s="166">
        <f>+L120/K120</f>
        <v>0.18652849740932642</v>
      </c>
      <c r="N120" s="167" t="s">
        <v>512</v>
      </c>
      <c r="O120" s="113"/>
      <c r="P120" s="113"/>
      <c r="Q120" s="113"/>
      <c r="R120" s="113"/>
      <c r="S120" s="113"/>
      <c r="T120" s="113"/>
      <c r="U120" s="113"/>
      <c r="V120" s="113"/>
      <c r="W120" s="113"/>
      <c r="X120" s="113"/>
      <c r="Y120" s="113"/>
      <c r="Z120" s="113"/>
      <c r="AA120" s="113"/>
      <c r="AB120" s="113"/>
    </row>
    <row r="121" spans="1:28" ht="81.75" customHeight="1" x14ac:dyDescent="0.25">
      <c r="A121" s="744"/>
      <c r="B121" s="151" t="s">
        <v>475</v>
      </c>
      <c r="C121" s="152" t="s">
        <v>476</v>
      </c>
      <c r="D121" s="151" t="s">
        <v>477</v>
      </c>
      <c r="E121" s="151" t="s">
        <v>468</v>
      </c>
      <c r="F121" s="153">
        <v>20</v>
      </c>
      <c r="G121" s="153">
        <v>13</v>
      </c>
      <c r="H121" s="153">
        <v>3</v>
      </c>
      <c r="I121" s="169">
        <v>0.22</v>
      </c>
      <c r="J121" s="170">
        <f>I121/H121</f>
        <v>7.3333333333333334E-2</v>
      </c>
      <c r="K121" s="169">
        <v>0.05</v>
      </c>
      <c r="L121" s="169">
        <v>0.02</v>
      </c>
      <c r="M121" s="170">
        <f>+L121/K121</f>
        <v>0.39999999999999997</v>
      </c>
      <c r="N121" s="167" t="s">
        <v>517</v>
      </c>
      <c r="O121" s="113"/>
      <c r="P121" s="113"/>
      <c r="Q121" s="113"/>
      <c r="R121" s="113"/>
      <c r="S121" s="113"/>
      <c r="T121" s="113"/>
      <c r="U121" s="113"/>
      <c r="V121" s="113"/>
      <c r="W121" s="113"/>
      <c r="X121" s="113"/>
      <c r="Y121" s="113"/>
      <c r="Z121" s="113"/>
      <c r="AA121" s="113"/>
      <c r="AB121" s="113"/>
    </row>
    <row r="122" spans="1:28" ht="70.5" customHeight="1" x14ac:dyDescent="0.25">
      <c r="A122" s="771" t="s">
        <v>435</v>
      </c>
      <c r="B122" s="136" t="s">
        <v>456</v>
      </c>
      <c r="C122" s="137" t="s">
        <v>457</v>
      </c>
      <c r="D122" s="136" t="s">
        <v>458</v>
      </c>
      <c r="E122" s="136" t="s">
        <v>459</v>
      </c>
      <c r="F122" s="138">
        <v>20</v>
      </c>
      <c r="G122" s="138">
        <v>24</v>
      </c>
      <c r="H122" s="138">
        <v>3</v>
      </c>
      <c r="I122" s="165">
        <v>0.43</v>
      </c>
      <c r="J122" s="166">
        <f>I122/H122</f>
        <v>0.14333333333333334</v>
      </c>
      <c r="K122" s="165">
        <v>0</v>
      </c>
      <c r="L122" s="165">
        <v>0</v>
      </c>
      <c r="M122" s="171">
        <v>0</v>
      </c>
      <c r="N122" s="172" t="s">
        <v>518</v>
      </c>
      <c r="O122" s="113"/>
      <c r="P122" s="113"/>
      <c r="Q122" s="113"/>
      <c r="R122" s="113"/>
      <c r="S122" s="113"/>
      <c r="T122" s="113"/>
      <c r="U122" s="113"/>
      <c r="V122" s="113"/>
      <c r="W122" s="113"/>
      <c r="X122" s="113"/>
      <c r="Y122" s="113"/>
      <c r="Z122" s="113"/>
      <c r="AA122" s="113"/>
      <c r="AB122" s="113"/>
    </row>
    <row r="123" spans="1:28" ht="74.25" customHeight="1" x14ac:dyDescent="0.25">
      <c r="A123" s="740"/>
      <c r="B123" s="143" t="s">
        <v>461</v>
      </c>
      <c r="C123" s="144" t="s">
        <v>462</v>
      </c>
      <c r="D123" s="143" t="s">
        <v>463</v>
      </c>
      <c r="E123" s="143" t="s">
        <v>459</v>
      </c>
      <c r="F123" s="145">
        <v>20</v>
      </c>
      <c r="G123" s="145">
        <v>15</v>
      </c>
      <c r="H123" s="145">
        <v>2</v>
      </c>
      <c r="I123" s="165">
        <v>0.26</v>
      </c>
      <c r="J123" s="166">
        <f>I123/H123</f>
        <v>0.13</v>
      </c>
      <c r="K123" s="165">
        <v>0</v>
      </c>
      <c r="L123" s="165">
        <v>0</v>
      </c>
      <c r="M123" s="165">
        <v>0</v>
      </c>
      <c r="N123" s="167" t="s">
        <v>519</v>
      </c>
      <c r="O123" s="113"/>
      <c r="P123" s="113"/>
      <c r="Q123" s="113"/>
      <c r="R123" s="113"/>
      <c r="S123" s="113"/>
      <c r="T123" s="113"/>
      <c r="U123" s="113"/>
      <c r="V123" s="113"/>
      <c r="W123" s="113"/>
      <c r="X123" s="113"/>
      <c r="Y123" s="113"/>
      <c r="Z123" s="113"/>
      <c r="AA123" s="113"/>
      <c r="AB123" s="113"/>
    </row>
    <row r="124" spans="1:28" ht="69" customHeight="1" x14ac:dyDescent="0.25">
      <c r="A124" s="740"/>
      <c r="B124" s="143" t="s">
        <v>465</v>
      </c>
      <c r="C124" s="144" t="s">
        <v>466</v>
      </c>
      <c r="D124" s="143" t="s">
        <v>467</v>
      </c>
      <c r="E124" s="143" t="s">
        <v>468</v>
      </c>
      <c r="F124" s="145">
        <v>20</v>
      </c>
      <c r="G124" s="145">
        <v>15</v>
      </c>
      <c r="H124" s="145">
        <v>4</v>
      </c>
      <c r="I124" s="165">
        <v>0.55000000000000004</v>
      </c>
      <c r="J124" s="166">
        <f>I124/H124</f>
        <v>0.13750000000000001</v>
      </c>
      <c r="K124" s="165">
        <v>0.19</v>
      </c>
      <c r="L124" s="165">
        <v>0.19</v>
      </c>
      <c r="M124" s="166">
        <f>+L124/K124</f>
        <v>1</v>
      </c>
      <c r="N124" s="173" t="s">
        <v>520</v>
      </c>
      <c r="O124" s="113"/>
      <c r="P124" s="113"/>
      <c r="Q124" s="113"/>
      <c r="R124" s="113"/>
      <c r="S124" s="113"/>
      <c r="T124" s="113"/>
      <c r="U124" s="113"/>
      <c r="V124" s="113"/>
      <c r="W124" s="113"/>
      <c r="X124" s="113"/>
      <c r="Y124" s="113"/>
      <c r="Z124" s="113"/>
      <c r="AA124" s="113"/>
      <c r="AB124" s="113"/>
    </row>
    <row r="125" spans="1:28" ht="61.5" customHeight="1" x14ac:dyDescent="0.25">
      <c r="A125" s="740"/>
      <c r="B125" s="143" t="s">
        <v>470</v>
      </c>
      <c r="C125" s="144" t="s">
        <v>471</v>
      </c>
      <c r="D125" s="143" t="s">
        <v>472</v>
      </c>
      <c r="E125" s="143" t="s">
        <v>473</v>
      </c>
      <c r="F125" s="145">
        <v>20</v>
      </c>
      <c r="G125" s="149">
        <v>0.38</v>
      </c>
      <c r="H125" s="150">
        <v>7.0000000000000007E-2</v>
      </c>
      <c r="I125" s="168">
        <v>1.15E-2</v>
      </c>
      <c r="J125" s="168">
        <f>+I125/H125</f>
        <v>0.16428571428571426</v>
      </c>
      <c r="K125" s="168">
        <v>1.9300000000000001E-2</v>
      </c>
      <c r="L125" s="168">
        <v>4.7000000000000002E-3</v>
      </c>
      <c r="M125" s="166">
        <f>+L125/K125</f>
        <v>0.24352331606217617</v>
      </c>
      <c r="N125" s="173" t="s">
        <v>521</v>
      </c>
      <c r="O125" s="113"/>
      <c r="P125" s="113"/>
      <c r="Q125" s="113"/>
      <c r="R125" s="113"/>
      <c r="S125" s="113"/>
      <c r="T125" s="113"/>
      <c r="U125" s="113"/>
      <c r="V125" s="113"/>
      <c r="W125" s="113"/>
      <c r="X125" s="113"/>
      <c r="Y125" s="113"/>
      <c r="Z125" s="113"/>
      <c r="AA125" s="113"/>
      <c r="AB125" s="113"/>
    </row>
    <row r="126" spans="1:28" ht="51.75" customHeight="1" x14ac:dyDescent="0.25">
      <c r="A126" s="744"/>
      <c r="B126" s="151" t="s">
        <v>475</v>
      </c>
      <c r="C126" s="152" t="s">
        <v>476</v>
      </c>
      <c r="D126" s="151" t="s">
        <v>477</v>
      </c>
      <c r="E126" s="151" t="s">
        <v>468</v>
      </c>
      <c r="F126" s="153">
        <v>20</v>
      </c>
      <c r="G126" s="153">
        <v>13</v>
      </c>
      <c r="H126" s="153">
        <v>3</v>
      </c>
      <c r="I126" s="169">
        <v>0.35</v>
      </c>
      <c r="J126" s="170">
        <f>I126/H126</f>
        <v>0.11666666666666665</v>
      </c>
      <c r="K126" s="169">
        <v>0.05</v>
      </c>
      <c r="L126" s="169">
        <v>0.04</v>
      </c>
      <c r="M126" s="170">
        <f>+L126/K126</f>
        <v>0.79999999999999993</v>
      </c>
      <c r="N126" s="174" t="s">
        <v>522</v>
      </c>
      <c r="O126" s="113"/>
      <c r="P126" s="113"/>
      <c r="Q126" s="113"/>
      <c r="R126" s="113"/>
      <c r="S126" s="113"/>
      <c r="T126" s="113"/>
      <c r="U126" s="113"/>
      <c r="V126" s="113"/>
      <c r="W126" s="113"/>
      <c r="X126" s="113"/>
      <c r="Y126" s="113"/>
      <c r="Z126" s="113"/>
      <c r="AA126" s="113"/>
      <c r="AB126" s="113"/>
    </row>
    <row r="127" spans="1:28" ht="66.75" customHeight="1" x14ac:dyDescent="0.25">
      <c r="A127" s="771" t="s">
        <v>436</v>
      </c>
      <c r="B127" s="175" t="s">
        <v>456</v>
      </c>
      <c r="C127" s="137" t="s">
        <v>457</v>
      </c>
      <c r="D127" s="136" t="s">
        <v>458</v>
      </c>
      <c r="E127" s="136" t="s">
        <v>459</v>
      </c>
      <c r="F127" s="138">
        <v>20</v>
      </c>
      <c r="G127" s="138">
        <v>24</v>
      </c>
      <c r="H127" s="138">
        <v>3</v>
      </c>
      <c r="I127" s="165">
        <v>0.67</v>
      </c>
      <c r="J127" s="166">
        <f>I127/H127</f>
        <v>0.22333333333333336</v>
      </c>
      <c r="K127" s="165">
        <v>0</v>
      </c>
      <c r="L127" s="165">
        <v>0</v>
      </c>
      <c r="M127" s="171">
        <v>0</v>
      </c>
      <c r="N127" s="172" t="s">
        <v>523</v>
      </c>
      <c r="O127" s="113"/>
      <c r="P127" s="113"/>
      <c r="Q127" s="113"/>
      <c r="R127" s="113"/>
      <c r="S127" s="113"/>
      <c r="T127" s="113"/>
      <c r="U127" s="113"/>
      <c r="V127" s="113"/>
      <c r="W127" s="113"/>
      <c r="X127" s="113"/>
      <c r="Y127" s="113"/>
      <c r="Z127" s="113"/>
      <c r="AA127" s="113"/>
      <c r="AB127" s="113"/>
    </row>
    <row r="128" spans="1:28" ht="63.75" customHeight="1" x14ac:dyDescent="0.25">
      <c r="A128" s="740"/>
      <c r="B128" s="176" t="s">
        <v>461</v>
      </c>
      <c r="C128" s="144" t="s">
        <v>462</v>
      </c>
      <c r="D128" s="143" t="s">
        <v>463</v>
      </c>
      <c r="E128" s="143" t="s">
        <v>459</v>
      </c>
      <c r="F128" s="145">
        <v>20</v>
      </c>
      <c r="G128" s="145">
        <v>15</v>
      </c>
      <c r="H128" s="145">
        <v>2</v>
      </c>
      <c r="I128" s="165">
        <v>0.36</v>
      </c>
      <c r="J128" s="166">
        <f>I128/H128</f>
        <v>0.18</v>
      </c>
      <c r="K128" s="165">
        <v>0</v>
      </c>
      <c r="L128" s="165">
        <v>0</v>
      </c>
      <c r="M128" s="165">
        <v>0</v>
      </c>
      <c r="N128" s="167" t="s">
        <v>519</v>
      </c>
      <c r="O128" s="113"/>
      <c r="P128" s="113"/>
      <c r="Q128" s="113"/>
      <c r="R128" s="113"/>
      <c r="S128" s="113"/>
      <c r="T128" s="113"/>
      <c r="U128" s="113"/>
      <c r="V128" s="113"/>
      <c r="W128" s="113"/>
      <c r="X128" s="113"/>
      <c r="Y128" s="113"/>
      <c r="Z128" s="113"/>
      <c r="AA128" s="113"/>
      <c r="AB128" s="113"/>
    </row>
    <row r="129" spans="1:28" ht="63.75" customHeight="1" x14ac:dyDescent="0.25">
      <c r="A129" s="740"/>
      <c r="B129" s="176" t="s">
        <v>465</v>
      </c>
      <c r="C129" s="144" t="s">
        <v>466</v>
      </c>
      <c r="D129" s="143" t="s">
        <v>467</v>
      </c>
      <c r="E129" s="143" t="s">
        <v>468</v>
      </c>
      <c r="F129" s="145">
        <v>20</v>
      </c>
      <c r="G129" s="145">
        <v>15</v>
      </c>
      <c r="H129" s="145">
        <v>4</v>
      </c>
      <c r="I129" s="165">
        <v>0.95</v>
      </c>
      <c r="J129" s="166">
        <f>I129/H129</f>
        <v>0.23749999999999999</v>
      </c>
      <c r="K129" s="165">
        <v>0.19</v>
      </c>
      <c r="L129" s="165">
        <v>0.19</v>
      </c>
      <c r="M129" s="166">
        <f>+L129/K129</f>
        <v>1</v>
      </c>
      <c r="N129" s="173" t="s">
        <v>520</v>
      </c>
      <c r="O129" s="113"/>
      <c r="P129" s="113"/>
      <c r="Q129" s="113"/>
      <c r="R129" s="113"/>
      <c r="S129" s="113"/>
      <c r="T129" s="113"/>
      <c r="U129" s="113"/>
      <c r="V129" s="113"/>
      <c r="W129" s="113"/>
      <c r="X129" s="113"/>
      <c r="Y129" s="113"/>
      <c r="Z129" s="113"/>
      <c r="AA129" s="113"/>
      <c r="AB129" s="113"/>
    </row>
    <row r="130" spans="1:28" ht="54" customHeight="1" x14ac:dyDescent="0.25">
      <c r="A130" s="740"/>
      <c r="B130" s="176" t="s">
        <v>470</v>
      </c>
      <c r="C130" s="144" t="s">
        <v>471</v>
      </c>
      <c r="D130" s="143" t="s">
        <v>472</v>
      </c>
      <c r="E130" s="143" t="s">
        <v>473</v>
      </c>
      <c r="F130" s="145">
        <v>20</v>
      </c>
      <c r="G130" s="149">
        <v>0.38</v>
      </c>
      <c r="H130" s="150">
        <v>7.0000000000000007E-2</v>
      </c>
      <c r="I130" s="168">
        <v>1.7000000000000001E-2</v>
      </c>
      <c r="J130" s="168">
        <f>+I130/H130</f>
        <v>0.24285714285714285</v>
      </c>
      <c r="K130" s="168">
        <v>1.9300000000000001E-2</v>
      </c>
      <c r="L130" s="168">
        <v>6.3E-3</v>
      </c>
      <c r="M130" s="166">
        <f>+L130/K130</f>
        <v>0.32642487046632124</v>
      </c>
      <c r="N130" s="173" t="s">
        <v>524</v>
      </c>
      <c r="O130" s="113"/>
      <c r="P130" s="113"/>
      <c r="Q130" s="113"/>
      <c r="R130" s="113"/>
      <c r="S130" s="113"/>
      <c r="T130" s="113"/>
      <c r="U130" s="113"/>
      <c r="V130" s="113"/>
      <c r="W130" s="113"/>
      <c r="X130" s="113"/>
      <c r="Y130" s="113"/>
      <c r="Z130" s="113"/>
      <c r="AA130" s="113"/>
      <c r="AB130" s="113"/>
    </row>
    <row r="131" spans="1:28" ht="61.5" customHeight="1" x14ac:dyDescent="0.25">
      <c r="A131" s="744"/>
      <c r="B131" s="151" t="s">
        <v>475</v>
      </c>
      <c r="C131" s="152" t="s">
        <v>476</v>
      </c>
      <c r="D131" s="151" t="s">
        <v>477</v>
      </c>
      <c r="E131" s="151" t="s">
        <v>468</v>
      </c>
      <c r="F131" s="153">
        <v>20</v>
      </c>
      <c r="G131" s="153">
        <v>13</v>
      </c>
      <c r="H131" s="153">
        <v>3</v>
      </c>
      <c r="I131" s="169">
        <v>0.49</v>
      </c>
      <c r="J131" s="170">
        <f>I131/H131</f>
        <v>0.16333333333333333</v>
      </c>
      <c r="K131" s="169">
        <v>0.05</v>
      </c>
      <c r="L131" s="169">
        <v>0.05</v>
      </c>
      <c r="M131" s="170">
        <f>+L131/K131</f>
        <v>1</v>
      </c>
      <c r="N131" s="174" t="s">
        <v>525</v>
      </c>
      <c r="O131" s="113"/>
      <c r="P131" s="113"/>
      <c r="Q131" s="113"/>
      <c r="R131" s="113"/>
      <c r="S131" s="113"/>
      <c r="T131" s="113"/>
      <c r="U131" s="113"/>
      <c r="V131" s="113"/>
      <c r="W131" s="113"/>
      <c r="X131" s="113"/>
      <c r="Y131" s="113"/>
      <c r="Z131" s="113"/>
      <c r="AA131" s="113"/>
      <c r="AB131" s="113"/>
    </row>
    <row r="132" spans="1:28" ht="61.5" customHeight="1" x14ac:dyDescent="0.25">
      <c r="A132" s="771" t="s">
        <v>437</v>
      </c>
      <c r="B132" s="175" t="s">
        <v>456</v>
      </c>
      <c r="C132" s="137" t="s">
        <v>457</v>
      </c>
      <c r="D132" s="136" t="s">
        <v>458</v>
      </c>
      <c r="E132" s="136" t="s">
        <v>459</v>
      </c>
      <c r="F132" s="138">
        <v>20</v>
      </c>
      <c r="G132" s="138">
        <v>24</v>
      </c>
      <c r="H132" s="138">
        <v>3</v>
      </c>
      <c r="I132" s="165">
        <v>1.03</v>
      </c>
      <c r="J132" s="166">
        <f>I132/H132</f>
        <v>0.34333333333333332</v>
      </c>
      <c r="K132" s="165">
        <v>0</v>
      </c>
      <c r="L132" s="165">
        <v>0</v>
      </c>
      <c r="M132" s="171">
        <v>0</v>
      </c>
      <c r="N132" s="174" t="s">
        <v>526</v>
      </c>
      <c r="O132" s="113"/>
      <c r="P132" s="113"/>
      <c r="Q132" s="113"/>
      <c r="R132" s="113"/>
      <c r="S132" s="113"/>
      <c r="T132" s="113"/>
      <c r="U132" s="113"/>
      <c r="V132" s="113"/>
      <c r="W132" s="113"/>
      <c r="X132" s="113"/>
      <c r="Y132" s="113"/>
      <c r="Z132" s="113"/>
      <c r="AA132" s="113"/>
      <c r="AB132" s="113"/>
    </row>
    <row r="133" spans="1:28" ht="39.75" customHeight="1" x14ac:dyDescent="0.25">
      <c r="A133" s="740"/>
      <c r="B133" s="176" t="s">
        <v>461</v>
      </c>
      <c r="C133" s="144" t="s">
        <v>462</v>
      </c>
      <c r="D133" s="143" t="s">
        <v>463</v>
      </c>
      <c r="E133" s="143" t="s">
        <v>459</v>
      </c>
      <c r="F133" s="145">
        <v>20</v>
      </c>
      <c r="G133" s="145">
        <v>15</v>
      </c>
      <c r="H133" s="145">
        <v>2</v>
      </c>
      <c r="I133" s="165">
        <v>0.66</v>
      </c>
      <c r="J133" s="166">
        <f>I133/H133</f>
        <v>0.33</v>
      </c>
      <c r="K133" s="165">
        <v>0</v>
      </c>
      <c r="L133" s="165">
        <v>0</v>
      </c>
      <c r="M133" s="165">
        <v>0</v>
      </c>
      <c r="N133" s="167" t="s">
        <v>527</v>
      </c>
      <c r="O133" s="113"/>
      <c r="P133" s="113"/>
      <c r="Q133" s="113"/>
      <c r="R133" s="113"/>
      <c r="S133" s="113"/>
      <c r="T133" s="113"/>
      <c r="U133" s="113"/>
      <c r="V133" s="113"/>
      <c r="W133" s="113"/>
      <c r="X133" s="113"/>
      <c r="Y133" s="113"/>
      <c r="Z133" s="113"/>
      <c r="AA133" s="113"/>
      <c r="AB133" s="113"/>
    </row>
    <row r="134" spans="1:28" ht="39.75" customHeight="1" x14ac:dyDescent="0.25">
      <c r="A134" s="740"/>
      <c r="B134" s="176" t="s">
        <v>465</v>
      </c>
      <c r="C134" s="144" t="s">
        <v>466</v>
      </c>
      <c r="D134" s="143" t="s">
        <v>467</v>
      </c>
      <c r="E134" s="143" t="s">
        <v>468</v>
      </c>
      <c r="F134" s="145">
        <v>20</v>
      </c>
      <c r="G134" s="145">
        <v>15</v>
      </c>
      <c r="H134" s="145">
        <v>4</v>
      </c>
      <c r="I134" s="165">
        <v>1.56</v>
      </c>
      <c r="J134" s="166">
        <f>I134/H134</f>
        <v>0.39</v>
      </c>
      <c r="K134" s="165">
        <v>0.19</v>
      </c>
      <c r="L134" s="165">
        <v>0.19</v>
      </c>
      <c r="M134" s="166">
        <f>+L134/K134</f>
        <v>1</v>
      </c>
      <c r="N134" s="173" t="s">
        <v>528</v>
      </c>
      <c r="O134" s="113"/>
      <c r="P134" s="113"/>
      <c r="Q134" s="113"/>
      <c r="R134" s="113"/>
      <c r="S134" s="113"/>
      <c r="T134" s="113"/>
      <c r="U134" s="113"/>
      <c r="V134" s="113"/>
      <c r="W134" s="113"/>
      <c r="X134" s="113"/>
      <c r="Y134" s="113"/>
      <c r="Z134" s="113"/>
      <c r="AA134" s="113"/>
      <c r="AB134" s="113"/>
    </row>
    <row r="135" spans="1:28" ht="39.75" customHeight="1" x14ac:dyDescent="0.25">
      <c r="A135" s="740"/>
      <c r="B135" s="176" t="s">
        <v>470</v>
      </c>
      <c r="C135" s="144" t="s">
        <v>471</v>
      </c>
      <c r="D135" s="143" t="s">
        <v>472</v>
      </c>
      <c r="E135" s="143" t="s">
        <v>473</v>
      </c>
      <c r="F135" s="145">
        <v>20</v>
      </c>
      <c r="G135" s="149">
        <v>0.38</v>
      </c>
      <c r="H135" s="150">
        <v>7.0000000000000007E-2</v>
      </c>
      <c r="I135" s="168">
        <v>2.3400000000000001E-2</v>
      </c>
      <c r="J135" s="168">
        <f>+I135/H135</f>
        <v>0.33428571428571424</v>
      </c>
      <c r="K135" s="168">
        <v>1.9300000000000001E-2</v>
      </c>
      <c r="L135" s="168">
        <v>8.8000000000000005E-3</v>
      </c>
      <c r="M135" s="166">
        <f>+L135/K135</f>
        <v>0.45595854922279794</v>
      </c>
      <c r="N135" s="173" t="s">
        <v>529</v>
      </c>
      <c r="O135" s="113"/>
      <c r="P135" s="113"/>
      <c r="Q135" s="113"/>
      <c r="R135" s="113"/>
      <c r="S135" s="113"/>
      <c r="T135" s="113"/>
      <c r="U135" s="113"/>
      <c r="V135" s="113"/>
      <c r="W135" s="113"/>
      <c r="X135" s="113"/>
      <c r="Y135" s="113"/>
      <c r="Z135" s="113"/>
      <c r="AA135" s="113"/>
      <c r="AB135" s="113"/>
    </row>
    <row r="136" spans="1:28" ht="39.75" customHeight="1" x14ac:dyDescent="0.25">
      <c r="A136" s="744"/>
      <c r="B136" s="151" t="s">
        <v>475</v>
      </c>
      <c r="C136" s="152" t="s">
        <v>476</v>
      </c>
      <c r="D136" s="151" t="s">
        <v>477</v>
      </c>
      <c r="E136" s="151" t="s">
        <v>468</v>
      </c>
      <c r="F136" s="153">
        <v>20</v>
      </c>
      <c r="G136" s="153">
        <v>13</v>
      </c>
      <c r="H136" s="153">
        <v>3</v>
      </c>
      <c r="I136" s="169">
        <v>1</v>
      </c>
      <c r="J136" s="170">
        <f>I136/H136</f>
        <v>0.33333333333333331</v>
      </c>
      <c r="K136" s="169">
        <v>0.05</v>
      </c>
      <c r="L136" s="169">
        <v>0.05</v>
      </c>
      <c r="M136" s="170">
        <f>+L136/K136</f>
        <v>1</v>
      </c>
      <c r="N136" s="174" t="s">
        <v>530</v>
      </c>
      <c r="O136" s="113"/>
      <c r="P136" s="113"/>
      <c r="Q136" s="113"/>
      <c r="R136" s="113"/>
      <c r="S136" s="113"/>
      <c r="T136" s="113"/>
      <c r="U136" s="113"/>
      <c r="V136" s="113"/>
      <c r="W136" s="113"/>
      <c r="X136" s="113"/>
      <c r="Y136" s="113"/>
      <c r="Z136" s="113"/>
      <c r="AA136" s="113"/>
      <c r="AB136" s="113"/>
    </row>
    <row r="137" spans="1:28" ht="54" customHeight="1" x14ac:dyDescent="0.25">
      <c r="A137" s="771" t="s">
        <v>438</v>
      </c>
      <c r="B137" s="175" t="s">
        <v>456</v>
      </c>
      <c r="C137" s="137" t="s">
        <v>457</v>
      </c>
      <c r="D137" s="136" t="s">
        <v>458</v>
      </c>
      <c r="E137" s="136" t="s">
        <v>459</v>
      </c>
      <c r="F137" s="138">
        <v>20</v>
      </c>
      <c r="G137" s="138">
        <v>24</v>
      </c>
      <c r="H137" s="138">
        <v>3</v>
      </c>
      <c r="I137" s="165">
        <v>1.39</v>
      </c>
      <c r="J137" s="166">
        <f>I137/H137</f>
        <v>0.46333333333333332</v>
      </c>
      <c r="K137" s="165">
        <v>0</v>
      </c>
      <c r="L137" s="165">
        <v>0</v>
      </c>
      <c r="M137" s="171">
        <v>0</v>
      </c>
      <c r="N137" s="174" t="s">
        <v>531</v>
      </c>
      <c r="O137" s="113"/>
      <c r="P137" s="113"/>
      <c r="Q137" s="113"/>
      <c r="R137" s="113"/>
      <c r="S137" s="113"/>
      <c r="T137" s="113"/>
      <c r="U137" s="113"/>
      <c r="V137" s="113"/>
      <c r="W137" s="113"/>
      <c r="X137" s="113"/>
      <c r="Y137" s="113"/>
      <c r="Z137" s="113"/>
      <c r="AA137" s="113"/>
      <c r="AB137" s="113"/>
    </row>
    <row r="138" spans="1:28" ht="76.5" customHeight="1" x14ac:dyDescent="0.25">
      <c r="A138" s="740"/>
      <c r="B138" s="176" t="s">
        <v>461</v>
      </c>
      <c r="C138" s="144" t="s">
        <v>462</v>
      </c>
      <c r="D138" s="143" t="s">
        <v>463</v>
      </c>
      <c r="E138" s="143" t="s">
        <v>459</v>
      </c>
      <c r="F138" s="145">
        <v>20</v>
      </c>
      <c r="G138" s="145">
        <v>15</v>
      </c>
      <c r="H138" s="145">
        <v>2</v>
      </c>
      <c r="I138" s="165">
        <v>0.96</v>
      </c>
      <c r="J138" s="166">
        <f>I138/H138</f>
        <v>0.48</v>
      </c>
      <c r="K138" s="165">
        <v>0</v>
      </c>
      <c r="L138" s="165">
        <v>0</v>
      </c>
      <c r="M138" s="165">
        <v>0</v>
      </c>
      <c r="N138" s="167" t="s">
        <v>532</v>
      </c>
      <c r="O138" s="113"/>
      <c r="P138" s="113"/>
      <c r="Q138" s="113"/>
      <c r="R138" s="113"/>
      <c r="S138" s="113"/>
      <c r="T138" s="113"/>
      <c r="U138" s="113"/>
      <c r="V138" s="113"/>
      <c r="W138" s="113"/>
      <c r="X138" s="113"/>
      <c r="Y138" s="113"/>
      <c r="Z138" s="113"/>
      <c r="AA138" s="113"/>
      <c r="AB138" s="113"/>
    </row>
    <row r="139" spans="1:28" ht="56.25" customHeight="1" x14ac:dyDescent="0.25">
      <c r="A139" s="740"/>
      <c r="B139" s="176" t="s">
        <v>465</v>
      </c>
      <c r="C139" s="144" t="s">
        <v>466</v>
      </c>
      <c r="D139" s="143" t="s">
        <v>467</v>
      </c>
      <c r="E139" s="143" t="s">
        <v>468</v>
      </c>
      <c r="F139" s="145">
        <v>20</v>
      </c>
      <c r="G139" s="145">
        <v>15</v>
      </c>
      <c r="H139" s="145">
        <v>4</v>
      </c>
      <c r="I139" s="165">
        <v>1.92</v>
      </c>
      <c r="J139" s="166">
        <f>I139/H139</f>
        <v>0.48</v>
      </c>
      <c r="K139" s="165">
        <v>0.19</v>
      </c>
      <c r="L139" s="165">
        <v>0.19</v>
      </c>
      <c r="M139" s="166">
        <f>+L139/K139</f>
        <v>1</v>
      </c>
      <c r="N139" s="173" t="s">
        <v>533</v>
      </c>
      <c r="O139" s="113"/>
      <c r="P139" s="113"/>
      <c r="Q139" s="113"/>
      <c r="R139" s="113"/>
      <c r="S139" s="113"/>
      <c r="T139" s="113"/>
      <c r="U139" s="113"/>
      <c r="V139" s="113"/>
      <c r="W139" s="113"/>
      <c r="X139" s="113"/>
      <c r="Y139" s="113"/>
      <c r="Z139" s="113"/>
      <c r="AA139" s="113"/>
      <c r="AB139" s="113"/>
    </row>
    <row r="140" spans="1:28" ht="63.75" customHeight="1" x14ac:dyDescent="0.25">
      <c r="A140" s="740"/>
      <c r="B140" s="176" t="s">
        <v>470</v>
      </c>
      <c r="C140" s="144" t="s">
        <v>471</v>
      </c>
      <c r="D140" s="143" t="s">
        <v>472</v>
      </c>
      <c r="E140" s="143" t="s">
        <v>473</v>
      </c>
      <c r="F140" s="145">
        <v>20</v>
      </c>
      <c r="G140" s="149">
        <v>0.38</v>
      </c>
      <c r="H140" s="150">
        <v>7.0000000000000007E-2</v>
      </c>
      <c r="I140" s="168">
        <v>3.1899999999999998E-2</v>
      </c>
      <c r="J140" s="168">
        <f>+I140/H140</f>
        <v>0.45571428571428563</v>
      </c>
      <c r="K140" s="168">
        <v>1.9300000000000001E-2</v>
      </c>
      <c r="L140" s="168">
        <v>9.1999999999999998E-3</v>
      </c>
      <c r="M140" s="166">
        <f>+L140/K140</f>
        <v>0.47668393782383417</v>
      </c>
      <c r="N140" s="173" t="s">
        <v>534</v>
      </c>
      <c r="O140" s="113"/>
      <c r="P140" s="113"/>
      <c r="Q140" s="113"/>
      <c r="R140" s="113"/>
      <c r="S140" s="113"/>
      <c r="T140" s="113"/>
      <c r="U140" s="113"/>
      <c r="V140" s="113"/>
      <c r="W140" s="113"/>
      <c r="X140" s="113"/>
      <c r="Y140" s="113"/>
      <c r="Z140" s="113"/>
      <c r="AA140" s="113"/>
      <c r="AB140" s="113"/>
    </row>
    <row r="141" spans="1:28" ht="65.25" customHeight="1" x14ac:dyDescent="0.25">
      <c r="A141" s="744"/>
      <c r="B141" s="151" t="s">
        <v>475</v>
      </c>
      <c r="C141" s="152" t="s">
        <v>476</v>
      </c>
      <c r="D141" s="151" t="s">
        <v>477</v>
      </c>
      <c r="E141" s="151" t="s">
        <v>468</v>
      </c>
      <c r="F141" s="153">
        <v>20</v>
      </c>
      <c r="G141" s="153">
        <v>13</v>
      </c>
      <c r="H141" s="153">
        <v>3</v>
      </c>
      <c r="I141" s="169">
        <v>1.41</v>
      </c>
      <c r="J141" s="170">
        <f>I141/H141</f>
        <v>0.47</v>
      </c>
      <c r="K141" s="169">
        <v>0.05</v>
      </c>
      <c r="L141" s="169">
        <v>0.05</v>
      </c>
      <c r="M141" s="170">
        <f>+L141/K141</f>
        <v>1</v>
      </c>
      <c r="N141" s="174" t="s">
        <v>535</v>
      </c>
      <c r="O141" s="113"/>
      <c r="P141" s="113"/>
      <c r="Q141" s="113"/>
      <c r="R141" s="113"/>
      <c r="S141" s="113"/>
      <c r="T141" s="113"/>
      <c r="U141" s="113"/>
      <c r="V141" s="113"/>
      <c r="W141" s="113"/>
      <c r="X141" s="113"/>
      <c r="Y141" s="113"/>
      <c r="Z141" s="113"/>
      <c r="AA141" s="113"/>
      <c r="AB141" s="113"/>
    </row>
    <row r="142" spans="1:28" ht="36" customHeight="1" x14ac:dyDescent="0.25">
      <c r="A142" s="771" t="s">
        <v>425</v>
      </c>
      <c r="B142" s="175" t="s">
        <v>456</v>
      </c>
      <c r="C142" s="137" t="s">
        <v>457</v>
      </c>
      <c r="D142" s="136" t="s">
        <v>458</v>
      </c>
      <c r="E142" s="136" t="s">
        <v>459</v>
      </c>
      <c r="F142" s="138">
        <v>20</v>
      </c>
      <c r="G142" s="138">
        <v>24</v>
      </c>
      <c r="H142" s="138">
        <v>3</v>
      </c>
      <c r="I142" s="165">
        <v>1.84</v>
      </c>
      <c r="J142" s="166">
        <f>I142/H142</f>
        <v>0.6133333333333334</v>
      </c>
      <c r="K142" s="165">
        <v>0</v>
      </c>
      <c r="L142" s="165">
        <v>0</v>
      </c>
      <c r="M142" s="171">
        <v>0</v>
      </c>
      <c r="N142" s="174" t="s">
        <v>536</v>
      </c>
      <c r="O142" s="113"/>
      <c r="P142" s="113"/>
      <c r="Q142" s="113"/>
      <c r="R142" s="113"/>
      <c r="S142" s="113"/>
      <c r="T142" s="113"/>
      <c r="U142" s="113"/>
      <c r="V142" s="113"/>
      <c r="W142" s="113"/>
      <c r="X142" s="113"/>
      <c r="Y142" s="113"/>
      <c r="Z142" s="113"/>
      <c r="AA142" s="113"/>
      <c r="AB142" s="113"/>
    </row>
    <row r="143" spans="1:28" ht="36" customHeight="1" x14ac:dyDescent="0.25">
      <c r="A143" s="740"/>
      <c r="B143" s="176" t="s">
        <v>461</v>
      </c>
      <c r="C143" s="144" t="s">
        <v>462</v>
      </c>
      <c r="D143" s="143" t="s">
        <v>463</v>
      </c>
      <c r="E143" s="143" t="s">
        <v>459</v>
      </c>
      <c r="F143" s="145">
        <v>20</v>
      </c>
      <c r="G143" s="145">
        <v>15</v>
      </c>
      <c r="H143" s="145">
        <v>2</v>
      </c>
      <c r="I143" s="165">
        <v>1.26</v>
      </c>
      <c r="J143" s="166">
        <f>I143/H143</f>
        <v>0.63</v>
      </c>
      <c r="K143" s="165">
        <v>0</v>
      </c>
      <c r="L143" s="165">
        <v>0</v>
      </c>
      <c r="M143" s="165">
        <v>0</v>
      </c>
      <c r="N143" s="167" t="s">
        <v>537</v>
      </c>
      <c r="O143" s="113"/>
      <c r="P143" s="113"/>
      <c r="Q143" s="113"/>
      <c r="R143" s="113"/>
      <c r="S143" s="113"/>
      <c r="T143" s="113"/>
      <c r="U143" s="113"/>
      <c r="V143" s="113"/>
      <c r="W143" s="113"/>
      <c r="X143" s="113"/>
      <c r="Y143" s="113"/>
      <c r="Z143" s="113"/>
      <c r="AA143" s="113"/>
      <c r="AB143" s="113"/>
    </row>
    <row r="144" spans="1:28" ht="36" customHeight="1" x14ac:dyDescent="0.25">
      <c r="A144" s="740"/>
      <c r="B144" s="176" t="s">
        <v>465</v>
      </c>
      <c r="C144" s="144" t="s">
        <v>466</v>
      </c>
      <c r="D144" s="143" t="s">
        <v>467</v>
      </c>
      <c r="E144" s="143" t="s">
        <v>468</v>
      </c>
      <c r="F144" s="145">
        <v>20</v>
      </c>
      <c r="G144" s="145">
        <v>15</v>
      </c>
      <c r="H144" s="145">
        <v>4</v>
      </c>
      <c r="I144" s="165">
        <v>2.41</v>
      </c>
      <c r="J144" s="166">
        <f>I144/H144</f>
        <v>0.60250000000000004</v>
      </c>
      <c r="K144" s="165">
        <v>0.19</v>
      </c>
      <c r="L144" s="165">
        <v>0.19</v>
      </c>
      <c r="M144" s="166">
        <f>+L144/K144</f>
        <v>1</v>
      </c>
      <c r="N144" s="173" t="s">
        <v>538</v>
      </c>
      <c r="O144" s="113"/>
      <c r="P144" s="113"/>
      <c r="Q144" s="113"/>
      <c r="R144" s="113"/>
      <c r="S144" s="113"/>
      <c r="T144" s="113"/>
      <c r="U144" s="113"/>
      <c r="V144" s="113"/>
      <c r="W144" s="113"/>
      <c r="X144" s="113"/>
      <c r="Y144" s="113"/>
      <c r="Z144" s="113"/>
      <c r="AA144" s="113"/>
      <c r="AB144" s="113"/>
    </row>
    <row r="145" spans="1:28" ht="36" customHeight="1" x14ac:dyDescent="0.25">
      <c r="A145" s="740"/>
      <c r="B145" s="176" t="s">
        <v>470</v>
      </c>
      <c r="C145" s="144" t="s">
        <v>471</v>
      </c>
      <c r="D145" s="143" t="s">
        <v>472</v>
      </c>
      <c r="E145" s="143" t="s">
        <v>473</v>
      </c>
      <c r="F145" s="145">
        <v>20</v>
      </c>
      <c r="G145" s="149">
        <v>0.38</v>
      </c>
      <c r="H145" s="150">
        <v>7.0000000000000007E-2</v>
      </c>
      <c r="I145" s="168">
        <v>4.0399999999999998E-2</v>
      </c>
      <c r="J145" s="168">
        <f>+I145/H145</f>
        <v>0.57714285714285707</v>
      </c>
      <c r="K145" s="168">
        <v>1.9300000000000001E-2</v>
      </c>
      <c r="L145" s="168">
        <v>9.5999999999999992E-3</v>
      </c>
      <c r="M145" s="166">
        <f>+L145/K145</f>
        <v>0.4974093264248704</v>
      </c>
      <c r="N145" s="173" t="s">
        <v>539</v>
      </c>
      <c r="O145" s="113"/>
      <c r="P145" s="113"/>
      <c r="Q145" s="113"/>
      <c r="R145" s="113"/>
      <c r="S145" s="113"/>
      <c r="T145" s="113"/>
      <c r="U145" s="113"/>
      <c r="V145" s="113"/>
      <c r="W145" s="113"/>
      <c r="X145" s="113"/>
      <c r="Y145" s="113"/>
      <c r="Z145" s="113"/>
      <c r="AA145" s="113"/>
      <c r="AB145" s="113"/>
    </row>
    <row r="146" spans="1:28" ht="36" customHeight="1" x14ac:dyDescent="0.25">
      <c r="A146" s="744"/>
      <c r="B146" s="151" t="s">
        <v>475</v>
      </c>
      <c r="C146" s="152" t="s">
        <v>476</v>
      </c>
      <c r="D146" s="151" t="s">
        <v>477</v>
      </c>
      <c r="E146" s="151" t="s">
        <v>468</v>
      </c>
      <c r="F146" s="153">
        <v>20</v>
      </c>
      <c r="G146" s="153">
        <v>13</v>
      </c>
      <c r="H146" s="153">
        <v>3</v>
      </c>
      <c r="I146" s="169">
        <v>1.87</v>
      </c>
      <c r="J146" s="170">
        <f>I146/H146</f>
        <v>0.62333333333333341</v>
      </c>
      <c r="K146" s="169">
        <v>0.05</v>
      </c>
      <c r="L146" s="169">
        <v>0.05</v>
      </c>
      <c r="M146" s="170">
        <f>+L146/K146</f>
        <v>1</v>
      </c>
      <c r="N146" s="174" t="s">
        <v>540</v>
      </c>
      <c r="O146" s="113"/>
      <c r="P146" s="113"/>
      <c r="Q146" s="113"/>
      <c r="R146" s="113"/>
      <c r="S146" s="113"/>
      <c r="T146" s="113"/>
      <c r="U146" s="113"/>
      <c r="V146" s="113"/>
      <c r="W146" s="113"/>
      <c r="X146" s="113"/>
      <c r="Y146" s="113"/>
      <c r="Z146" s="113"/>
      <c r="AA146" s="113"/>
      <c r="AB146" s="113"/>
    </row>
    <row r="147" spans="1:28" ht="26.25" customHeight="1" x14ac:dyDescent="0.25">
      <c r="A147" s="771" t="s">
        <v>426</v>
      </c>
      <c r="B147" s="175" t="s">
        <v>456</v>
      </c>
      <c r="C147" s="137" t="s">
        <v>457</v>
      </c>
      <c r="D147" s="136" t="s">
        <v>458</v>
      </c>
      <c r="E147" s="136" t="s">
        <v>459</v>
      </c>
      <c r="F147" s="138">
        <v>20</v>
      </c>
      <c r="G147" s="138">
        <v>24</v>
      </c>
      <c r="H147" s="138">
        <v>3</v>
      </c>
      <c r="I147" s="165">
        <v>2.2000000000000002</v>
      </c>
      <c r="J147" s="166">
        <f>I147/H147</f>
        <v>0.73333333333333339</v>
      </c>
      <c r="K147" s="165">
        <v>0</v>
      </c>
      <c r="L147" s="165">
        <v>0</v>
      </c>
      <c r="M147" s="171">
        <v>0</v>
      </c>
      <c r="N147" s="174" t="s">
        <v>541</v>
      </c>
      <c r="O147" s="113"/>
      <c r="P147" s="113"/>
      <c r="Q147" s="113"/>
      <c r="R147" s="113"/>
      <c r="S147" s="113"/>
      <c r="T147" s="113"/>
      <c r="U147" s="113"/>
      <c r="V147" s="113"/>
      <c r="W147" s="113"/>
      <c r="X147" s="113"/>
      <c r="Y147" s="113"/>
      <c r="Z147" s="113"/>
      <c r="AA147" s="113"/>
      <c r="AB147" s="113"/>
    </row>
    <row r="148" spans="1:28" ht="26.25" customHeight="1" x14ac:dyDescent="0.25">
      <c r="A148" s="740"/>
      <c r="B148" s="176" t="s">
        <v>461</v>
      </c>
      <c r="C148" s="144" t="s">
        <v>462</v>
      </c>
      <c r="D148" s="143" t="s">
        <v>463</v>
      </c>
      <c r="E148" s="143" t="s">
        <v>459</v>
      </c>
      <c r="F148" s="145">
        <v>20</v>
      </c>
      <c r="G148" s="145">
        <v>15</v>
      </c>
      <c r="H148" s="145">
        <v>2</v>
      </c>
      <c r="I148" s="165">
        <v>1.56</v>
      </c>
      <c r="J148" s="166">
        <f>I148/H148</f>
        <v>0.78</v>
      </c>
      <c r="K148" s="165">
        <v>0</v>
      </c>
      <c r="L148" s="165">
        <v>0</v>
      </c>
      <c r="M148" s="165">
        <v>0</v>
      </c>
      <c r="N148" s="167" t="s">
        <v>542</v>
      </c>
      <c r="O148" s="113"/>
      <c r="P148" s="113"/>
      <c r="Q148" s="113"/>
      <c r="R148" s="113"/>
      <c r="S148" s="113"/>
      <c r="T148" s="113"/>
      <c r="U148" s="113"/>
      <c r="V148" s="113"/>
      <c r="W148" s="113"/>
      <c r="X148" s="113"/>
      <c r="Y148" s="113"/>
      <c r="Z148" s="113"/>
      <c r="AA148" s="113"/>
      <c r="AB148" s="113"/>
    </row>
    <row r="149" spans="1:28" ht="26.25" customHeight="1" x14ac:dyDescent="0.25">
      <c r="A149" s="740"/>
      <c r="B149" s="176" t="s">
        <v>465</v>
      </c>
      <c r="C149" s="144" t="s">
        <v>466</v>
      </c>
      <c r="D149" s="143" t="s">
        <v>467</v>
      </c>
      <c r="E149" s="143" t="s">
        <v>468</v>
      </c>
      <c r="F149" s="145">
        <v>20</v>
      </c>
      <c r="G149" s="145">
        <v>15</v>
      </c>
      <c r="H149" s="145">
        <v>4</v>
      </c>
      <c r="I149" s="165">
        <v>2.8</v>
      </c>
      <c r="J149" s="166">
        <f>I149/H149</f>
        <v>0.7</v>
      </c>
      <c r="K149" s="165">
        <v>0.19</v>
      </c>
      <c r="L149" s="165">
        <v>0.19</v>
      </c>
      <c r="M149" s="166">
        <f>+L149/K149</f>
        <v>1</v>
      </c>
      <c r="N149" s="173" t="s">
        <v>543</v>
      </c>
      <c r="O149" s="113"/>
      <c r="P149" s="113"/>
      <c r="Q149" s="113"/>
      <c r="R149" s="113"/>
      <c r="S149" s="113"/>
      <c r="T149" s="113"/>
      <c r="U149" s="113"/>
      <c r="V149" s="113"/>
      <c r="W149" s="113"/>
      <c r="X149" s="113"/>
      <c r="Y149" s="113"/>
      <c r="Z149" s="113"/>
      <c r="AA149" s="113"/>
      <c r="AB149" s="113"/>
    </row>
    <row r="150" spans="1:28" ht="26.25" customHeight="1" x14ac:dyDescent="0.25">
      <c r="A150" s="740"/>
      <c r="B150" s="176" t="s">
        <v>470</v>
      </c>
      <c r="C150" s="144" t="s">
        <v>471</v>
      </c>
      <c r="D150" s="143" t="s">
        <v>472</v>
      </c>
      <c r="E150" s="143" t="s">
        <v>473</v>
      </c>
      <c r="F150" s="145">
        <v>20</v>
      </c>
      <c r="G150" s="149">
        <v>0.38</v>
      </c>
      <c r="H150" s="150">
        <v>7.0000000000000007E-2</v>
      </c>
      <c r="I150" s="168">
        <v>4.3099999999999999E-2</v>
      </c>
      <c r="J150" s="168">
        <f>+I150/H150</f>
        <v>0.61571428571428566</v>
      </c>
      <c r="K150" s="168">
        <v>1.9300000000000001E-2</v>
      </c>
      <c r="L150" s="168">
        <v>1.5800000000000002E-2</v>
      </c>
      <c r="M150" s="166">
        <f>+L150/K150</f>
        <v>0.81865284974093266</v>
      </c>
      <c r="N150" s="173" t="s">
        <v>539</v>
      </c>
      <c r="O150" s="113"/>
      <c r="P150" s="113"/>
      <c r="Q150" s="113"/>
      <c r="R150" s="113"/>
      <c r="S150" s="113"/>
      <c r="T150" s="113"/>
      <c r="U150" s="113"/>
      <c r="V150" s="113"/>
      <c r="W150" s="113"/>
      <c r="X150" s="113"/>
      <c r="Y150" s="113"/>
      <c r="Z150" s="113"/>
      <c r="AA150" s="113"/>
      <c r="AB150" s="113"/>
    </row>
    <row r="151" spans="1:28" ht="26.25" customHeight="1" x14ac:dyDescent="0.25">
      <c r="A151" s="744"/>
      <c r="B151" s="151" t="s">
        <v>475</v>
      </c>
      <c r="C151" s="152" t="s">
        <v>476</v>
      </c>
      <c r="D151" s="151" t="s">
        <v>477</v>
      </c>
      <c r="E151" s="151" t="s">
        <v>468</v>
      </c>
      <c r="F151" s="153">
        <v>20</v>
      </c>
      <c r="G151" s="153">
        <v>13</v>
      </c>
      <c r="H151" s="153">
        <v>3</v>
      </c>
      <c r="I151" s="169">
        <v>2.33</v>
      </c>
      <c r="J151" s="170">
        <f>I151/H151</f>
        <v>0.77666666666666673</v>
      </c>
      <c r="K151" s="169">
        <v>0.05</v>
      </c>
      <c r="L151" s="169">
        <v>0.05</v>
      </c>
      <c r="M151" s="170">
        <f>+L151/K151</f>
        <v>1</v>
      </c>
      <c r="N151" s="174" t="s">
        <v>544</v>
      </c>
      <c r="O151" s="113"/>
      <c r="P151" s="113"/>
      <c r="Q151" s="113"/>
      <c r="R151" s="113"/>
      <c r="S151" s="113"/>
      <c r="T151" s="113"/>
      <c r="U151" s="113"/>
      <c r="V151" s="113"/>
      <c r="W151" s="113"/>
      <c r="X151" s="113"/>
      <c r="Y151" s="113"/>
      <c r="Z151" s="113"/>
      <c r="AA151" s="113"/>
      <c r="AB151" s="113"/>
    </row>
    <row r="152" spans="1:28" ht="62.25" customHeight="1" x14ac:dyDescent="0.25">
      <c r="A152" s="771" t="s">
        <v>427</v>
      </c>
      <c r="B152" s="175" t="s">
        <v>456</v>
      </c>
      <c r="C152" s="137" t="s">
        <v>457</v>
      </c>
      <c r="D152" s="136" t="s">
        <v>458</v>
      </c>
      <c r="E152" s="136" t="s">
        <v>459</v>
      </c>
      <c r="F152" s="138">
        <v>20</v>
      </c>
      <c r="G152" s="138">
        <v>24</v>
      </c>
      <c r="H152" s="138">
        <v>3</v>
      </c>
      <c r="I152" s="165">
        <v>2.5</v>
      </c>
      <c r="J152" s="166">
        <f>I152/H152</f>
        <v>0.83333333333333337</v>
      </c>
      <c r="K152" s="165">
        <v>0</v>
      </c>
      <c r="L152" s="165">
        <v>0</v>
      </c>
      <c r="M152" s="171">
        <v>0</v>
      </c>
      <c r="N152" s="174" t="s">
        <v>545</v>
      </c>
      <c r="O152" s="113"/>
      <c r="P152" s="113"/>
      <c r="Q152" s="113"/>
      <c r="R152" s="113"/>
      <c r="S152" s="113"/>
      <c r="T152" s="113"/>
      <c r="U152" s="113"/>
      <c r="V152" s="113"/>
      <c r="W152" s="113"/>
      <c r="X152" s="113"/>
      <c r="Y152" s="113"/>
      <c r="Z152" s="113"/>
      <c r="AA152" s="113"/>
      <c r="AB152" s="113"/>
    </row>
    <row r="153" spans="1:28" ht="81" customHeight="1" x14ac:dyDescent="0.25">
      <c r="A153" s="740"/>
      <c r="B153" s="176" t="s">
        <v>461</v>
      </c>
      <c r="C153" s="144" t="s">
        <v>462</v>
      </c>
      <c r="D153" s="143" t="s">
        <v>463</v>
      </c>
      <c r="E153" s="143" t="s">
        <v>459</v>
      </c>
      <c r="F153" s="145">
        <v>20</v>
      </c>
      <c r="G153" s="145">
        <v>15</v>
      </c>
      <c r="H153" s="145">
        <v>2</v>
      </c>
      <c r="I153" s="165">
        <v>1.76</v>
      </c>
      <c r="J153" s="166">
        <f>I153/H153</f>
        <v>0.88</v>
      </c>
      <c r="K153" s="165">
        <v>0</v>
      </c>
      <c r="L153" s="165">
        <v>0</v>
      </c>
      <c r="M153" s="165">
        <v>0</v>
      </c>
      <c r="N153" s="167" t="s">
        <v>546</v>
      </c>
      <c r="O153" s="113"/>
      <c r="P153" s="113"/>
      <c r="Q153" s="113"/>
      <c r="R153" s="113"/>
      <c r="S153" s="113"/>
      <c r="T153" s="113"/>
      <c r="U153" s="113"/>
      <c r="V153" s="113"/>
      <c r="W153" s="113"/>
      <c r="X153" s="113"/>
      <c r="Y153" s="113"/>
      <c r="Z153" s="113"/>
      <c r="AA153" s="113"/>
      <c r="AB153" s="113"/>
    </row>
    <row r="154" spans="1:28" ht="41.25" customHeight="1" x14ac:dyDescent="0.25">
      <c r="A154" s="740"/>
      <c r="B154" s="176" t="s">
        <v>465</v>
      </c>
      <c r="C154" s="144" t="s">
        <v>466</v>
      </c>
      <c r="D154" s="143" t="s">
        <v>467</v>
      </c>
      <c r="E154" s="143" t="s">
        <v>468</v>
      </c>
      <c r="F154" s="145">
        <v>20</v>
      </c>
      <c r="G154" s="145">
        <v>15</v>
      </c>
      <c r="H154" s="145">
        <v>4</v>
      </c>
      <c r="I154" s="165">
        <f>3.37-0.19</f>
        <v>3.18</v>
      </c>
      <c r="J154" s="166">
        <f>I154/H154</f>
        <v>0.79500000000000004</v>
      </c>
      <c r="K154" s="165">
        <v>0.19</v>
      </c>
      <c r="L154" s="165">
        <v>0.19</v>
      </c>
      <c r="M154" s="166">
        <f>+L154/K154</f>
        <v>1</v>
      </c>
      <c r="N154" s="173" t="s">
        <v>547</v>
      </c>
      <c r="O154" s="113"/>
      <c r="P154" s="113"/>
      <c r="Q154" s="113"/>
      <c r="R154" s="113"/>
      <c r="S154" s="113"/>
      <c r="T154" s="113"/>
      <c r="U154" s="113"/>
      <c r="V154" s="113"/>
      <c r="W154" s="113"/>
      <c r="X154" s="113"/>
      <c r="Y154" s="113"/>
      <c r="Z154" s="113"/>
      <c r="AA154" s="113"/>
      <c r="AB154" s="113"/>
    </row>
    <row r="155" spans="1:28" ht="41.25" customHeight="1" x14ac:dyDescent="0.25">
      <c r="A155" s="740"/>
      <c r="B155" s="176" t="s">
        <v>470</v>
      </c>
      <c r="C155" s="144" t="s">
        <v>471</v>
      </c>
      <c r="D155" s="143" t="s">
        <v>472</v>
      </c>
      <c r="E155" s="143" t="s">
        <v>473</v>
      </c>
      <c r="F155" s="145">
        <v>20</v>
      </c>
      <c r="G155" s="149">
        <v>0.38</v>
      </c>
      <c r="H155" s="150">
        <v>7.0000000000000007E-2</v>
      </c>
      <c r="I155" s="168">
        <v>5.2699999999999997E-2</v>
      </c>
      <c r="J155" s="168">
        <f>+I155/H155</f>
        <v>0.75285714285714278</v>
      </c>
      <c r="K155" s="168">
        <v>1.9300000000000001E-2</v>
      </c>
      <c r="L155" s="168">
        <v>1.6799999999999999E-2</v>
      </c>
      <c r="M155" s="166">
        <f>+L155/K155</f>
        <v>0.87046632124352319</v>
      </c>
      <c r="N155" s="173" t="s">
        <v>539</v>
      </c>
      <c r="O155" s="113"/>
      <c r="P155" s="113"/>
      <c r="Q155" s="113"/>
      <c r="R155" s="113"/>
      <c r="S155" s="113"/>
      <c r="T155" s="113"/>
      <c r="U155" s="113"/>
      <c r="V155" s="113"/>
      <c r="W155" s="113"/>
      <c r="X155" s="113"/>
      <c r="Y155" s="113"/>
      <c r="Z155" s="113"/>
      <c r="AA155" s="113"/>
      <c r="AB155" s="113"/>
    </row>
    <row r="156" spans="1:28" ht="41.25" customHeight="1" x14ac:dyDescent="0.25">
      <c r="A156" s="744"/>
      <c r="B156" s="151" t="s">
        <v>475</v>
      </c>
      <c r="C156" s="152" t="s">
        <v>476</v>
      </c>
      <c r="D156" s="151" t="s">
        <v>477</v>
      </c>
      <c r="E156" s="151" t="s">
        <v>468</v>
      </c>
      <c r="F156" s="153">
        <v>20</v>
      </c>
      <c r="G156" s="153">
        <v>13</v>
      </c>
      <c r="H156" s="153">
        <v>3</v>
      </c>
      <c r="I156" s="169">
        <v>2.64</v>
      </c>
      <c r="J156" s="170">
        <f>I156/H156</f>
        <v>0.88</v>
      </c>
      <c r="K156" s="169">
        <v>0.05</v>
      </c>
      <c r="L156" s="169">
        <v>0.05</v>
      </c>
      <c r="M156" s="170">
        <f>+L156/K156</f>
        <v>1</v>
      </c>
      <c r="N156" s="174" t="s">
        <v>548</v>
      </c>
      <c r="O156" s="113"/>
      <c r="P156" s="113"/>
      <c r="Q156" s="113"/>
      <c r="R156" s="113"/>
      <c r="S156" s="113"/>
      <c r="T156" s="113"/>
      <c r="U156" s="113"/>
      <c r="V156" s="113"/>
      <c r="W156" s="113"/>
      <c r="X156" s="113"/>
      <c r="Y156" s="113"/>
      <c r="Z156" s="113"/>
      <c r="AA156" s="113"/>
      <c r="AB156" s="113"/>
    </row>
    <row r="157" spans="1:28" ht="60.75" customHeight="1" x14ac:dyDescent="0.25">
      <c r="A157" s="771" t="s">
        <v>428</v>
      </c>
      <c r="B157" s="175" t="s">
        <v>456</v>
      </c>
      <c r="C157" s="137" t="s">
        <v>457</v>
      </c>
      <c r="D157" s="136" t="s">
        <v>458</v>
      </c>
      <c r="E157" s="136" t="s">
        <v>459</v>
      </c>
      <c r="F157" s="138">
        <v>20</v>
      </c>
      <c r="G157" s="138">
        <v>24</v>
      </c>
      <c r="H157" s="138">
        <v>3</v>
      </c>
      <c r="I157" s="165">
        <v>2.73</v>
      </c>
      <c r="J157" s="166">
        <f>I157/H157</f>
        <v>0.91</v>
      </c>
      <c r="K157" s="165">
        <v>0</v>
      </c>
      <c r="L157" s="165">
        <v>0</v>
      </c>
      <c r="M157" s="171">
        <v>0</v>
      </c>
      <c r="N157" s="174" t="s">
        <v>549</v>
      </c>
      <c r="O157" s="113"/>
      <c r="P157" s="113"/>
      <c r="Q157" s="113"/>
      <c r="R157" s="113"/>
      <c r="S157" s="113"/>
      <c r="T157" s="113"/>
      <c r="U157" s="113"/>
      <c r="V157" s="113"/>
      <c r="W157" s="113"/>
      <c r="X157" s="113"/>
      <c r="Y157" s="113"/>
      <c r="Z157" s="113"/>
      <c r="AA157" s="113"/>
      <c r="AB157" s="113"/>
    </row>
    <row r="158" spans="1:28" ht="66" customHeight="1" x14ac:dyDescent="0.25">
      <c r="A158" s="740"/>
      <c r="B158" s="176" t="s">
        <v>461</v>
      </c>
      <c r="C158" s="144" t="s">
        <v>462</v>
      </c>
      <c r="D158" s="143" t="s">
        <v>463</v>
      </c>
      <c r="E158" s="143" t="s">
        <v>459</v>
      </c>
      <c r="F158" s="145">
        <v>20</v>
      </c>
      <c r="G158" s="145">
        <v>15</v>
      </c>
      <c r="H158" s="145">
        <v>2</v>
      </c>
      <c r="I158" s="165">
        <v>1.84</v>
      </c>
      <c r="J158" s="166">
        <f>I158/H158</f>
        <v>0.92</v>
      </c>
      <c r="K158" s="165">
        <v>0</v>
      </c>
      <c r="L158" s="165">
        <v>0</v>
      </c>
      <c r="M158" s="165">
        <v>0</v>
      </c>
      <c r="N158" s="167" t="s">
        <v>550</v>
      </c>
      <c r="O158" s="113"/>
      <c r="P158" s="113"/>
      <c r="Q158" s="113"/>
      <c r="R158" s="113"/>
      <c r="S158" s="113"/>
      <c r="T158" s="113"/>
      <c r="U158" s="113"/>
      <c r="V158" s="113"/>
      <c r="W158" s="113"/>
      <c r="X158" s="113"/>
      <c r="Y158" s="113"/>
      <c r="Z158" s="113"/>
      <c r="AA158" s="113"/>
      <c r="AB158" s="113"/>
    </row>
    <row r="159" spans="1:28" ht="54.75" customHeight="1" x14ac:dyDescent="0.25">
      <c r="A159" s="740"/>
      <c r="B159" s="176" t="s">
        <v>465</v>
      </c>
      <c r="C159" s="144" t="s">
        <v>466</v>
      </c>
      <c r="D159" s="143" t="s">
        <v>467</v>
      </c>
      <c r="E159" s="143" t="s">
        <v>468</v>
      </c>
      <c r="F159" s="145">
        <v>20</v>
      </c>
      <c r="G159" s="145">
        <v>15</v>
      </c>
      <c r="H159" s="145">
        <v>4</v>
      </c>
      <c r="I159" s="165">
        <f>3.72-0.19</f>
        <v>3.5300000000000002</v>
      </c>
      <c r="J159" s="166">
        <f>I159/H159</f>
        <v>0.88250000000000006</v>
      </c>
      <c r="K159" s="165">
        <v>0.19</v>
      </c>
      <c r="L159" s="165">
        <v>0.19</v>
      </c>
      <c r="M159" s="166">
        <f>+L159/K159</f>
        <v>1</v>
      </c>
      <c r="N159" s="173" t="s">
        <v>551</v>
      </c>
      <c r="O159" s="113"/>
      <c r="P159" s="113"/>
      <c r="Q159" s="113"/>
      <c r="R159" s="113"/>
      <c r="S159" s="113"/>
      <c r="T159" s="113"/>
      <c r="U159" s="113"/>
      <c r="V159" s="113"/>
      <c r="W159" s="113"/>
      <c r="X159" s="113"/>
      <c r="Y159" s="113"/>
      <c r="Z159" s="113"/>
      <c r="AA159" s="113"/>
      <c r="AB159" s="113"/>
    </row>
    <row r="160" spans="1:28" ht="62.25" customHeight="1" x14ac:dyDescent="0.25">
      <c r="A160" s="740"/>
      <c r="B160" s="176" t="s">
        <v>470</v>
      </c>
      <c r="C160" s="144" t="s">
        <v>471</v>
      </c>
      <c r="D160" s="143" t="s">
        <v>472</v>
      </c>
      <c r="E160" s="143" t="s">
        <v>473</v>
      </c>
      <c r="F160" s="145">
        <v>20</v>
      </c>
      <c r="G160" s="149">
        <v>0.38</v>
      </c>
      <c r="H160" s="150">
        <v>7.0000000000000007E-2</v>
      </c>
      <c r="I160" s="168">
        <v>5.9900000000000002E-2</v>
      </c>
      <c r="J160" s="168">
        <f>+I160/H160</f>
        <v>0.85571428571428565</v>
      </c>
      <c r="K160" s="168">
        <v>1.9300000000000001E-2</v>
      </c>
      <c r="L160" s="168">
        <v>1.8599999999999998E-2</v>
      </c>
      <c r="M160" s="166">
        <f>+L160/K160</f>
        <v>0.9637305699481864</v>
      </c>
      <c r="N160" s="173" t="s">
        <v>552</v>
      </c>
      <c r="O160" s="113"/>
      <c r="P160" s="113"/>
      <c r="Q160" s="113"/>
      <c r="R160" s="113"/>
      <c r="S160" s="113"/>
      <c r="T160" s="113"/>
      <c r="U160" s="113"/>
      <c r="V160" s="113"/>
      <c r="W160" s="113"/>
      <c r="X160" s="113"/>
      <c r="Y160" s="113"/>
      <c r="Z160" s="113"/>
      <c r="AA160" s="113"/>
      <c r="AB160" s="113"/>
    </row>
    <row r="161" spans="1:28" ht="54" customHeight="1" x14ac:dyDescent="0.25">
      <c r="A161" s="744"/>
      <c r="B161" s="151" t="s">
        <v>475</v>
      </c>
      <c r="C161" s="152" t="s">
        <v>476</v>
      </c>
      <c r="D161" s="151" t="s">
        <v>477</v>
      </c>
      <c r="E161" s="151" t="s">
        <v>468</v>
      </c>
      <c r="F161" s="153">
        <v>20</v>
      </c>
      <c r="G161" s="153">
        <v>13</v>
      </c>
      <c r="H161" s="153">
        <v>3</v>
      </c>
      <c r="I161" s="169">
        <v>2.76</v>
      </c>
      <c r="J161" s="170">
        <f>I161/H161</f>
        <v>0.91999999999999993</v>
      </c>
      <c r="K161" s="169">
        <v>0.05</v>
      </c>
      <c r="L161" s="169">
        <v>0.05</v>
      </c>
      <c r="M161" s="170">
        <f>+L161/K161</f>
        <v>1</v>
      </c>
      <c r="N161" s="174" t="s">
        <v>553</v>
      </c>
      <c r="O161" s="113"/>
      <c r="P161" s="113"/>
      <c r="Q161" s="113"/>
      <c r="R161" s="113"/>
      <c r="S161" s="113"/>
      <c r="T161" s="113"/>
      <c r="U161" s="113"/>
      <c r="V161" s="113"/>
      <c r="W161" s="113"/>
      <c r="X161" s="113"/>
      <c r="Y161" s="113"/>
      <c r="Z161" s="113"/>
      <c r="AA161" s="113"/>
      <c r="AB161" s="113"/>
    </row>
    <row r="162" spans="1:28" ht="49.5" customHeight="1" x14ac:dyDescent="0.25">
      <c r="A162" s="771" t="s">
        <v>554</v>
      </c>
      <c r="B162" s="175" t="s">
        <v>456</v>
      </c>
      <c r="C162" s="137" t="s">
        <v>457</v>
      </c>
      <c r="D162" s="136" t="s">
        <v>458</v>
      </c>
      <c r="E162" s="136" t="s">
        <v>459</v>
      </c>
      <c r="F162" s="138">
        <v>20</v>
      </c>
      <c r="G162" s="138">
        <v>24</v>
      </c>
      <c r="H162" s="138">
        <v>3</v>
      </c>
      <c r="I162" s="165">
        <v>2.87</v>
      </c>
      <c r="J162" s="166">
        <f>I162/H162</f>
        <v>0.95666666666666667</v>
      </c>
      <c r="K162" s="165">
        <v>0</v>
      </c>
      <c r="L162" s="165">
        <v>0</v>
      </c>
      <c r="M162" s="171">
        <v>0</v>
      </c>
      <c r="N162" s="174" t="s">
        <v>549</v>
      </c>
      <c r="O162" s="113"/>
      <c r="P162" s="113"/>
      <c r="Q162" s="113"/>
      <c r="R162" s="113"/>
      <c r="S162" s="113"/>
      <c r="T162" s="113"/>
      <c r="U162" s="113"/>
      <c r="V162" s="113"/>
      <c r="W162" s="113"/>
      <c r="X162" s="113"/>
      <c r="Y162" s="113"/>
      <c r="Z162" s="113"/>
      <c r="AA162" s="113"/>
      <c r="AB162" s="113"/>
    </row>
    <row r="163" spans="1:28" ht="49.5" customHeight="1" x14ac:dyDescent="0.25">
      <c r="A163" s="740"/>
      <c r="B163" s="176" t="s">
        <v>461</v>
      </c>
      <c r="C163" s="144" t="s">
        <v>462</v>
      </c>
      <c r="D163" s="143" t="s">
        <v>463</v>
      </c>
      <c r="E163" s="143" t="s">
        <v>459</v>
      </c>
      <c r="F163" s="145">
        <v>20</v>
      </c>
      <c r="G163" s="145">
        <v>15</v>
      </c>
      <c r="H163" s="145">
        <v>2</v>
      </c>
      <c r="I163" s="165">
        <v>1.92</v>
      </c>
      <c r="J163" s="166">
        <f>I163/H163</f>
        <v>0.96</v>
      </c>
      <c r="K163" s="165">
        <v>0</v>
      </c>
      <c r="L163" s="165">
        <v>0</v>
      </c>
      <c r="M163" s="165">
        <v>0</v>
      </c>
      <c r="N163" s="167" t="s">
        <v>555</v>
      </c>
      <c r="O163" s="113"/>
      <c r="P163" s="113"/>
      <c r="Q163" s="113"/>
      <c r="R163" s="113"/>
      <c r="S163" s="113"/>
      <c r="T163" s="113"/>
      <c r="U163" s="113"/>
      <c r="V163" s="113"/>
      <c r="W163" s="113"/>
      <c r="X163" s="113"/>
      <c r="Y163" s="113"/>
      <c r="Z163" s="113"/>
      <c r="AA163" s="113"/>
      <c r="AB163" s="113"/>
    </row>
    <row r="164" spans="1:28" ht="49.5" customHeight="1" x14ac:dyDescent="0.25">
      <c r="A164" s="740"/>
      <c r="B164" s="176" t="s">
        <v>465</v>
      </c>
      <c r="C164" s="144" t="s">
        <v>466</v>
      </c>
      <c r="D164" s="143" t="s">
        <v>467</v>
      </c>
      <c r="E164" s="143" t="s">
        <v>468</v>
      </c>
      <c r="F164" s="145">
        <v>20</v>
      </c>
      <c r="G164" s="145">
        <v>15</v>
      </c>
      <c r="H164" s="145">
        <v>4</v>
      </c>
      <c r="I164" s="165">
        <v>3.81</v>
      </c>
      <c r="J164" s="166">
        <f>I164/H164</f>
        <v>0.95250000000000001</v>
      </c>
      <c r="K164" s="165">
        <v>0.19</v>
      </c>
      <c r="L164" s="165">
        <v>0.19</v>
      </c>
      <c r="M164" s="166">
        <f>+L164/K164</f>
        <v>1</v>
      </c>
      <c r="N164" s="173" t="s">
        <v>551</v>
      </c>
      <c r="O164" s="113"/>
      <c r="P164" s="113"/>
      <c r="Q164" s="113"/>
      <c r="R164" s="113"/>
      <c r="S164" s="113"/>
      <c r="T164" s="113"/>
      <c r="U164" s="113"/>
      <c r="V164" s="113"/>
      <c r="W164" s="113"/>
      <c r="X164" s="113"/>
      <c r="Y164" s="113"/>
      <c r="Z164" s="113"/>
      <c r="AA164" s="113"/>
      <c r="AB164" s="113"/>
    </row>
    <row r="165" spans="1:28" ht="49.5" customHeight="1" x14ac:dyDescent="0.25">
      <c r="A165" s="740"/>
      <c r="B165" s="176" t="s">
        <v>470</v>
      </c>
      <c r="C165" s="144" t="s">
        <v>471</v>
      </c>
      <c r="D165" s="143" t="s">
        <v>472</v>
      </c>
      <c r="E165" s="143" t="s">
        <v>473</v>
      </c>
      <c r="F165" s="145">
        <v>20</v>
      </c>
      <c r="G165" s="149">
        <v>0.38</v>
      </c>
      <c r="H165" s="150">
        <v>7.0000000000000007E-2</v>
      </c>
      <c r="I165" s="168">
        <v>6.5799999999999997E-2</v>
      </c>
      <c r="J165" s="168">
        <f>+I165/H165</f>
        <v>0.93999999999999984</v>
      </c>
      <c r="K165" s="168">
        <v>1.9300000000000001E-2</v>
      </c>
      <c r="L165" s="168">
        <v>1.9E-2</v>
      </c>
      <c r="M165" s="166">
        <f>+L165/K165</f>
        <v>0.98445595854922274</v>
      </c>
      <c r="N165" s="173" t="s">
        <v>556</v>
      </c>
      <c r="O165" s="113"/>
      <c r="P165" s="113"/>
      <c r="Q165" s="113"/>
      <c r="R165" s="113"/>
      <c r="S165" s="113"/>
      <c r="T165" s="113"/>
      <c r="U165" s="113"/>
      <c r="V165" s="113"/>
      <c r="W165" s="113"/>
      <c r="X165" s="113"/>
      <c r="Y165" s="113"/>
      <c r="Z165" s="113"/>
      <c r="AA165" s="113"/>
      <c r="AB165" s="113"/>
    </row>
    <row r="166" spans="1:28" ht="49.5" customHeight="1" x14ac:dyDescent="0.25">
      <c r="A166" s="744"/>
      <c r="B166" s="151" t="s">
        <v>475</v>
      </c>
      <c r="C166" s="152" t="s">
        <v>476</v>
      </c>
      <c r="D166" s="151" t="s">
        <v>477</v>
      </c>
      <c r="E166" s="151" t="s">
        <v>468</v>
      </c>
      <c r="F166" s="153">
        <v>20</v>
      </c>
      <c r="G166" s="153">
        <v>13</v>
      </c>
      <c r="H166" s="153">
        <v>3</v>
      </c>
      <c r="I166" s="169">
        <v>2.82</v>
      </c>
      <c r="J166" s="170">
        <f>I166/H166</f>
        <v>0.94</v>
      </c>
      <c r="K166" s="169">
        <v>0.05</v>
      </c>
      <c r="L166" s="169">
        <v>0.05</v>
      </c>
      <c r="M166" s="170">
        <f>+L166/K166</f>
        <v>1</v>
      </c>
      <c r="N166" s="174" t="s">
        <v>553</v>
      </c>
      <c r="O166" s="113"/>
      <c r="P166" s="113"/>
      <c r="Q166" s="113"/>
      <c r="R166" s="113"/>
      <c r="S166" s="113"/>
      <c r="T166" s="113"/>
      <c r="U166" s="113"/>
      <c r="V166" s="113"/>
      <c r="W166" s="113"/>
      <c r="X166" s="113"/>
      <c r="Y166" s="113"/>
      <c r="Z166" s="113"/>
      <c r="AA166" s="113"/>
      <c r="AB166" s="113"/>
    </row>
    <row r="167" spans="1:28" ht="51" customHeight="1" x14ac:dyDescent="0.25">
      <c r="A167" s="771" t="s">
        <v>557</v>
      </c>
      <c r="B167" s="175" t="s">
        <v>456</v>
      </c>
      <c r="C167" s="137" t="s">
        <v>457</v>
      </c>
      <c r="D167" s="136" t="s">
        <v>458</v>
      </c>
      <c r="E167" s="136" t="s">
        <v>459</v>
      </c>
      <c r="F167" s="138">
        <v>20</v>
      </c>
      <c r="G167" s="138">
        <v>24</v>
      </c>
      <c r="H167" s="138">
        <v>3</v>
      </c>
      <c r="I167" s="165">
        <v>3</v>
      </c>
      <c r="J167" s="166">
        <f>I167/H167</f>
        <v>1</v>
      </c>
      <c r="K167" s="165">
        <v>0</v>
      </c>
      <c r="L167" s="165">
        <v>0</v>
      </c>
      <c r="M167" s="171">
        <v>0</v>
      </c>
      <c r="N167" s="174" t="s">
        <v>549</v>
      </c>
      <c r="O167" s="113"/>
      <c r="P167" s="113"/>
      <c r="Q167" s="113"/>
      <c r="R167" s="113"/>
      <c r="S167" s="113"/>
      <c r="T167" s="113"/>
      <c r="U167" s="113"/>
      <c r="V167" s="113"/>
      <c r="W167" s="113"/>
      <c r="X167" s="113"/>
      <c r="Y167" s="113"/>
      <c r="Z167" s="113"/>
      <c r="AA167" s="113"/>
      <c r="AB167" s="113"/>
    </row>
    <row r="168" spans="1:28" ht="60" customHeight="1" x14ac:dyDescent="0.25">
      <c r="A168" s="740"/>
      <c r="B168" s="176" t="s">
        <v>461</v>
      </c>
      <c r="C168" s="144" t="s">
        <v>462</v>
      </c>
      <c r="D168" s="143" t="s">
        <v>463</v>
      </c>
      <c r="E168" s="143" t="s">
        <v>459</v>
      </c>
      <c r="F168" s="145">
        <v>20</v>
      </c>
      <c r="G168" s="145">
        <v>15</v>
      </c>
      <c r="H168" s="145">
        <v>2</v>
      </c>
      <c r="I168" s="165">
        <v>2</v>
      </c>
      <c r="J168" s="166">
        <f>I168/H168</f>
        <v>1</v>
      </c>
      <c r="K168" s="165">
        <v>0</v>
      </c>
      <c r="L168" s="165">
        <v>0</v>
      </c>
      <c r="M168" s="165">
        <v>0</v>
      </c>
      <c r="N168" s="167" t="s">
        <v>555</v>
      </c>
      <c r="O168" s="113"/>
      <c r="P168" s="113"/>
      <c r="Q168" s="113"/>
      <c r="R168" s="113"/>
      <c r="S168" s="113"/>
      <c r="T168" s="113"/>
      <c r="U168" s="113"/>
      <c r="V168" s="113"/>
      <c r="W168" s="113"/>
      <c r="X168" s="113"/>
      <c r="Y168" s="113"/>
      <c r="Z168" s="113"/>
      <c r="AA168" s="113"/>
      <c r="AB168" s="113"/>
    </row>
    <row r="169" spans="1:28" ht="44.25" customHeight="1" x14ac:dyDescent="0.25">
      <c r="A169" s="740"/>
      <c r="B169" s="176" t="s">
        <v>465</v>
      </c>
      <c r="C169" s="144" t="s">
        <v>466</v>
      </c>
      <c r="D169" s="143" t="s">
        <v>467</v>
      </c>
      <c r="E169" s="143" t="s">
        <v>468</v>
      </c>
      <c r="F169" s="145">
        <v>20</v>
      </c>
      <c r="G169" s="145">
        <v>15</v>
      </c>
      <c r="H169" s="145">
        <v>4</v>
      </c>
      <c r="I169" s="165">
        <v>4</v>
      </c>
      <c r="J169" s="166">
        <f>I169/H169</f>
        <v>1</v>
      </c>
      <c r="K169" s="165">
        <v>0.19</v>
      </c>
      <c r="L169" s="165">
        <v>0.19</v>
      </c>
      <c r="M169" s="166">
        <f>+L169/K169</f>
        <v>1</v>
      </c>
      <c r="N169" s="173" t="s">
        <v>551</v>
      </c>
      <c r="O169" s="113"/>
      <c r="P169" s="113"/>
      <c r="Q169" s="113"/>
      <c r="R169" s="113"/>
      <c r="S169" s="113"/>
      <c r="T169" s="113"/>
      <c r="U169" s="113"/>
      <c r="V169" s="113"/>
      <c r="W169" s="113"/>
      <c r="X169" s="113"/>
      <c r="Y169" s="113"/>
      <c r="Z169" s="113"/>
      <c r="AA169" s="113"/>
      <c r="AB169" s="113"/>
    </row>
    <row r="170" spans="1:28" ht="57.75" customHeight="1" x14ac:dyDescent="0.25">
      <c r="A170" s="740"/>
      <c r="B170" s="176" t="s">
        <v>470</v>
      </c>
      <c r="C170" s="144" t="s">
        <v>471</v>
      </c>
      <c r="D170" s="143" t="s">
        <v>472</v>
      </c>
      <c r="E170" s="143" t="s">
        <v>473</v>
      </c>
      <c r="F170" s="145">
        <v>20</v>
      </c>
      <c r="G170" s="149">
        <v>0.38</v>
      </c>
      <c r="H170" s="150">
        <v>7.0000000000000007E-2</v>
      </c>
      <c r="I170" s="168">
        <v>6.5799999999999997E-2</v>
      </c>
      <c r="J170" s="168">
        <f>+I170/H170</f>
        <v>0.93999999999999984</v>
      </c>
      <c r="K170" s="168">
        <v>1.9300000000000001E-2</v>
      </c>
      <c r="L170" s="168">
        <v>1.9300000000000001E-2</v>
      </c>
      <c r="M170" s="166">
        <f>+L170/K170</f>
        <v>1</v>
      </c>
      <c r="N170" s="173" t="s">
        <v>558</v>
      </c>
      <c r="O170" s="113"/>
      <c r="P170" s="113"/>
      <c r="Q170" s="113"/>
      <c r="R170" s="113"/>
      <c r="S170" s="113"/>
      <c r="T170" s="113"/>
      <c r="U170" s="113"/>
      <c r="V170" s="113"/>
      <c r="W170" s="113"/>
      <c r="X170" s="113"/>
      <c r="Y170" s="113"/>
      <c r="Z170" s="113"/>
      <c r="AA170" s="113"/>
      <c r="AB170" s="113"/>
    </row>
    <row r="171" spans="1:28" ht="44.25" customHeight="1" x14ac:dyDescent="0.25">
      <c r="A171" s="744"/>
      <c r="B171" s="151" t="s">
        <v>475</v>
      </c>
      <c r="C171" s="152" t="s">
        <v>476</v>
      </c>
      <c r="D171" s="151" t="s">
        <v>477</v>
      </c>
      <c r="E171" s="151" t="s">
        <v>468</v>
      </c>
      <c r="F171" s="153">
        <v>20</v>
      </c>
      <c r="G171" s="153">
        <v>13</v>
      </c>
      <c r="H171" s="153">
        <v>3</v>
      </c>
      <c r="I171" s="169">
        <v>3</v>
      </c>
      <c r="J171" s="170">
        <f>I171/H171</f>
        <v>1</v>
      </c>
      <c r="K171" s="169">
        <v>0.05</v>
      </c>
      <c r="L171" s="169">
        <v>0.05</v>
      </c>
      <c r="M171" s="170">
        <f>+L171/K171</f>
        <v>1</v>
      </c>
      <c r="N171" s="174" t="s">
        <v>553</v>
      </c>
      <c r="O171" s="113"/>
      <c r="P171" s="113"/>
      <c r="Q171" s="113"/>
      <c r="R171" s="113"/>
      <c r="S171" s="113"/>
      <c r="T171" s="113"/>
      <c r="U171" s="113"/>
      <c r="V171" s="113"/>
      <c r="W171" s="113"/>
      <c r="X171" s="113"/>
      <c r="Y171" s="113"/>
      <c r="Z171" s="113"/>
      <c r="AA171" s="113"/>
      <c r="AB171" s="113"/>
    </row>
    <row r="172" spans="1:28" ht="21.75" customHeight="1" x14ac:dyDescent="0.25">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row>
    <row r="173" spans="1:28" ht="15.75" customHeight="1" x14ac:dyDescent="0.25">
      <c r="A173" s="770" t="s">
        <v>559</v>
      </c>
      <c r="B173" s="592"/>
      <c r="C173" s="592"/>
      <c r="D173" s="592"/>
      <c r="E173" s="592"/>
      <c r="F173" s="592"/>
      <c r="G173" s="592"/>
      <c r="H173" s="592"/>
      <c r="I173" s="592"/>
      <c r="J173" s="592"/>
      <c r="K173" s="592"/>
      <c r="L173" s="592"/>
      <c r="M173" s="592"/>
      <c r="N173" s="689"/>
      <c r="O173" s="113"/>
      <c r="P173" s="113"/>
      <c r="Q173" s="113"/>
      <c r="R173" s="113"/>
      <c r="S173" s="113"/>
      <c r="T173" s="113"/>
      <c r="U173" s="113"/>
      <c r="V173" s="113"/>
      <c r="W173" s="113"/>
      <c r="X173" s="113"/>
      <c r="Y173" s="113"/>
      <c r="Z173" s="113"/>
      <c r="AA173" s="113"/>
      <c r="AB173" s="113"/>
    </row>
    <row r="174" spans="1:28" ht="44.25" customHeight="1" x14ac:dyDescent="0.25">
      <c r="A174" s="114" t="s">
        <v>27</v>
      </c>
      <c r="B174" s="115" t="s">
        <v>443</v>
      </c>
      <c r="C174" s="115" t="s">
        <v>444</v>
      </c>
      <c r="D174" s="115" t="s">
        <v>445</v>
      </c>
      <c r="E174" s="115" t="s">
        <v>446</v>
      </c>
      <c r="F174" s="115" t="s">
        <v>560</v>
      </c>
      <c r="G174" s="115" t="s">
        <v>448</v>
      </c>
      <c r="H174" s="115" t="s">
        <v>561</v>
      </c>
      <c r="I174" s="115" t="s">
        <v>562</v>
      </c>
      <c r="J174" s="164" t="s">
        <v>563</v>
      </c>
      <c r="K174" s="115" t="s">
        <v>452</v>
      </c>
      <c r="L174" s="115" t="s">
        <v>453</v>
      </c>
      <c r="M174" s="115" t="s">
        <v>454</v>
      </c>
      <c r="N174" s="116" t="s">
        <v>564</v>
      </c>
      <c r="O174" s="113"/>
      <c r="P174" s="113"/>
      <c r="Q174" s="113"/>
      <c r="R174" s="113"/>
      <c r="S174" s="113"/>
      <c r="T174" s="113"/>
      <c r="U174" s="113"/>
      <c r="V174" s="113"/>
      <c r="W174" s="113"/>
      <c r="X174" s="113"/>
      <c r="Y174" s="113"/>
      <c r="Z174" s="113"/>
      <c r="AA174" s="113"/>
      <c r="AB174" s="113"/>
    </row>
    <row r="175" spans="1:28" ht="55.5" customHeight="1" x14ac:dyDescent="0.25">
      <c r="A175" s="771" t="s">
        <v>432</v>
      </c>
      <c r="B175" s="175" t="s">
        <v>456</v>
      </c>
      <c r="C175" s="137" t="s">
        <v>457</v>
      </c>
      <c r="D175" s="136" t="s">
        <v>458</v>
      </c>
      <c r="E175" s="136" t="s">
        <v>459</v>
      </c>
      <c r="F175" s="138">
        <v>20</v>
      </c>
      <c r="G175" s="138">
        <v>24</v>
      </c>
      <c r="H175" s="30">
        <v>7</v>
      </c>
      <c r="I175" s="177">
        <v>0.1</v>
      </c>
      <c r="J175" s="147">
        <f t="shared" ref="J175:J234" si="6">I175/H175</f>
        <v>1.4285714285714287E-2</v>
      </c>
      <c r="K175" s="30">
        <v>0</v>
      </c>
      <c r="L175" s="30">
        <v>0</v>
      </c>
      <c r="M175" s="30">
        <v>0</v>
      </c>
      <c r="N175" s="167" t="s">
        <v>565</v>
      </c>
      <c r="O175" s="113"/>
      <c r="P175" s="113"/>
      <c r="Q175" s="113"/>
      <c r="R175" s="113"/>
      <c r="S175" s="113"/>
      <c r="T175" s="113"/>
      <c r="U175" s="113"/>
      <c r="V175" s="113"/>
      <c r="W175" s="113"/>
      <c r="X175" s="113"/>
      <c r="Y175" s="113"/>
      <c r="Z175" s="113"/>
      <c r="AA175" s="113"/>
      <c r="AB175" s="113"/>
    </row>
    <row r="176" spans="1:28" ht="59.25" customHeight="1" x14ac:dyDescent="0.25">
      <c r="A176" s="740"/>
      <c r="B176" s="176" t="s">
        <v>461</v>
      </c>
      <c r="C176" s="144" t="s">
        <v>462</v>
      </c>
      <c r="D176" s="143" t="s">
        <v>463</v>
      </c>
      <c r="E176" s="143" t="s">
        <v>459</v>
      </c>
      <c r="F176" s="145">
        <v>20</v>
      </c>
      <c r="G176" s="145">
        <v>15</v>
      </c>
      <c r="H176" s="30">
        <v>4</v>
      </c>
      <c r="I176" s="30">
        <v>0.04</v>
      </c>
      <c r="J176" s="147">
        <f t="shared" si="6"/>
        <v>0.01</v>
      </c>
      <c r="K176" s="30">
        <v>0</v>
      </c>
      <c r="L176" s="30">
        <v>0</v>
      </c>
      <c r="M176" s="30">
        <v>0</v>
      </c>
      <c r="N176" s="167" t="s">
        <v>566</v>
      </c>
      <c r="O176" s="113"/>
      <c r="P176" s="113"/>
      <c r="Q176" s="113"/>
      <c r="R176" s="113"/>
      <c r="S176" s="113"/>
      <c r="T176" s="113"/>
      <c r="U176" s="113"/>
      <c r="V176" s="113"/>
      <c r="W176" s="113"/>
      <c r="X176" s="113"/>
      <c r="Y176" s="113"/>
      <c r="Z176" s="113"/>
      <c r="AA176" s="113"/>
      <c r="AB176" s="113"/>
    </row>
    <row r="177" spans="1:28" ht="73.5" customHeight="1" x14ac:dyDescent="0.25">
      <c r="A177" s="740"/>
      <c r="B177" s="176" t="s">
        <v>465</v>
      </c>
      <c r="C177" s="144" t="s">
        <v>466</v>
      </c>
      <c r="D177" s="143" t="s">
        <v>467</v>
      </c>
      <c r="E177" s="143" t="s">
        <v>468</v>
      </c>
      <c r="F177" s="145">
        <v>20</v>
      </c>
      <c r="G177" s="145">
        <v>15</v>
      </c>
      <c r="H177" s="30">
        <v>3</v>
      </c>
      <c r="I177" s="30">
        <v>7.0000000000000007E-2</v>
      </c>
      <c r="J177" s="147">
        <f t="shared" si="6"/>
        <v>2.3333333333333334E-2</v>
      </c>
      <c r="K177" s="30">
        <v>0</v>
      </c>
      <c r="L177" s="30">
        <v>0</v>
      </c>
      <c r="M177" s="30">
        <v>0</v>
      </c>
      <c r="N177" s="167" t="s">
        <v>567</v>
      </c>
      <c r="O177" s="113"/>
      <c r="P177" s="113"/>
      <c r="Q177" s="113"/>
      <c r="R177" s="113"/>
      <c r="S177" s="113"/>
      <c r="T177" s="113"/>
      <c r="U177" s="113"/>
      <c r="V177" s="113"/>
      <c r="W177" s="113"/>
      <c r="X177" s="113"/>
      <c r="Y177" s="113"/>
      <c r="Z177" s="113"/>
      <c r="AA177" s="113"/>
      <c r="AB177" s="113"/>
    </row>
    <row r="178" spans="1:28" ht="15.75" customHeight="1" x14ac:dyDescent="0.25">
      <c r="A178" s="740"/>
      <c r="B178" s="176" t="s">
        <v>470</v>
      </c>
      <c r="C178" s="144" t="s">
        <v>471</v>
      </c>
      <c r="D178" s="143" t="s">
        <v>472</v>
      </c>
      <c r="E178" s="143" t="s">
        <v>473</v>
      </c>
      <c r="F178" s="145">
        <v>20</v>
      </c>
      <c r="G178" s="149">
        <v>0.38</v>
      </c>
      <c r="H178" s="150">
        <v>0.12</v>
      </c>
      <c r="I178" s="150">
        <f>1.03%-L178</f>
        <v>8.8000000000000005E-3</v>
      </c>
      <c r="J178" s="147">
        <f t="shared" si="6"/>
        <v>7.3333333333333334E-2</v>
      </c>
      <c r="K178" s="147">
        <v>4.1999999999999997E-3</v>
      </c>
      <c r="L178" s="147">
        <v>1.5E-3</v>
      </c>
      <c r="M178" s="178">
        <f>+L178/K178</f>
        <v>0.35714285714285715</v>
      </c>
      <c r="N178" s="167" t="s">
        <v>568</v>
      </c>
      <c r="O178" s="113"/>
      <c r="P178" s="113"/>
      <c r="Q178" s="113"/>
      <c r="R178" s="113"/>
      <c r="S178" s="113"/>
      <c r="T178" s="113"/>
      <c r="U178" s="113"/>
      <c r="V178" s="113"/>
      <c r="W178" s="113"/>
      <c r="X178" s="113"/>
      <c r="Y178" s="113"/>
      <c r="Z178" s="113"/>
      <c r="AA178" s="113"/>
      <c r="AB178" s="113"/>
    </row>
    <row r="179" spans="1:28" ht="15.75" customHeight="1" x14ac:dyDescent="0.25">
      <c r="A179" s="740"/>
      <c r="B179" s="151" t="s">
        <v>475</v>
      </c>
      <c r="C179" s="152" t="s">
        <v>476</v>
      </c>
      <c r="D179" s="151" t="s">
        <v>477</v>
      </c>
      <c r="E179" s="151" t="s">
        <v>468</v>
      </c>
      <c r="F179" s="153">
        <v>20</v>
      </c>
      <c r="G179" s="153">
        <v>13</v>
      </c>
      <c r="H179" s="155">
        <v>3</v>
      </c>
      <c r="I179" s="155">
        <v>0.06</v>
      </c>
      <c r="J179" s="154">
        <f t="shared" si="6"/>
        <v>0.02</v>
      </c>
      <c r="K179" s="155">
        <v>0</v>
      </c>
      <c r="L179" s="155">
        <v>0</v>
      </c>
      <c r="M179" s="155">
        <v>0</v>
      </c>
      <c r="N179" s="179" t="s">
        <v>569</v>
      </c>
      <c r="O179" s="113"/>
      <c r="P179" s="113"/>
      <c r="Q179" s="113"/>
      <c r="R179" s="113"/>
      <c r="S179" s="113"/>
      <c r="T179" s="113"/>
      <c r="U179" s="113"/>
      <c r="V179" s="113"/>
      <c r="W179" s="113"/>
      <c r="X179" s="113"/>
      <c r="Y179" s="113"/>
      <c r="Z179" s="113"/>
      <c r="AA179" s="113"/>
      <c r="AB179" s="113"/>
    </row>
    <row r="180" spans="1:28" ht="42.75" customHeight="1" x14ac:dyDescent="0.25">
      <c r="A180" s="784" t="s">
        <v>434</v>
      </c>
      <c r="B180" s="175" t="s">
        <v>456</v>
      </c>
      <c r="C180" s="137" t="s">
        <v>457</v>
      </c>
      <c r="D180" s="136" t="s">
        <v>458</v>
      </c>
      <c r="E180" s="136" t="s">
        <v>459</v>
      </c>
      <c r="F180" s="138">
        <v>20</v>
      </c>
      <c r="G180" s="180">
        <v>24</v>
      </c>
      <c r="H180" s="181">
        <v>7</v>
      </c>
      <c r="I180" s="181">
        <v>0.34</v>
      </c>
      <c r="J180" s="182">
        <f t="shared" si="6"/>
        <v>4.8571428571428578E-2</v>
      </c>
      <c r="K180" s="181">
        <v>0</v>
      </c>
      <c r="L180" s="181">
        <v>0</v>
      </c>
      <c r="M180" s="181">
        <v>0</v>
      </c>
      <c r="N180" s="167" t="s">
        <v>570</v>
      </c>
      <c r="O180" s="113"/>
      <c r="P180" s="113"/>
      <c r="Q180" s="113"/>
      <c r="R180" s="113"/>
      <c r="S180" s="113"/>
      <c r="T180" s="113"/>
      <c r="U180" s="113"/>
      <c r="V180" s="113"/>
      <c r="W180" s="113"/>
      <c r="X180" s="113"/>
      <c r="Y180" s="113"/>
      <c r="Z180" s="113"/>
      <c r="AA180" s="113"/>
      <c r="AB180" s="113"/>
    </row>
    <row r="181" spans="1:28" ht="46.5" customHeight="1" x14ac:dyDescent="0.25">
      <c r="A181" s="579"/>
      <c r="B181" s="176" t="s">
        <v>461</v>
      </c>
      <c r="C181" s="144" t="s">
        <v>462</v>
      </c>
      <c r="D181" s="143" t="s">
        <v>463</v>
      </c>
      <c r="E181" s="143" t="s">
        <v>459</v>
      </c>
      <c r="F181" s="145">
        <v>20</v>
      </c>
      <c r="G181" s="145">
        <v>15</v>
      </c>
      <c r="H181" s="30">
        <v>4</v>
      </c>
      <c r="I181" s="177">
        <v>0.2</v>
      </c>
      <c r="J181" s="147">
        <f t="shared" si="6"/>
        <v>0.05</v>
      </c>
      <c r="K181" s="30">
        <v>0</v>
      </c>
      <c r="L181" s="30">
        <v>0</v>
      </c>
      <c r="M181" s="30">
        <v>0</v>
      </c>
      <c r="N181" s="167" t="s">
        <v>571</v>
      </c>
      <c r="O181" s="113"/>
      <c r="P181" s="113"/>
      <c r="Q181" s="113"/>
      <c r="R181" s="113"/>
      <c r="S181" s="113"/>
      <c r="T181" s="113"/>
      <c r="U181" s="113"/>
      <c r="V181" s="113"/>
      <c r="W181" s="113"/>
      <c r="X181" s="113"/>
      <c r="Y181" s="113"/>
      <c r="Z181" s="113"/>
      <c r="AA181" s="113"/>
      <c r="AB181" s="113"/>
    </row>
    <row r="182" spans="1:28" ht="38.25" customHeight="1" x14ac:dyDescent="0.25">
      <c r="A182" s="579"/>
      <c r="B182" s="176" t="s">
        <v>465</v>
      </c>
      <c r="C182" s="144" t="s">
        <v>466</v>
      </c>
      <c r="D182" s="143" t="s">
        <v>467</v>
      </c>
      <c r="E182" s="143" t="s">
        <v>468</v>
      </c>
      <c r="F182" s="145">
        <v>20</v>
      </c>
      <c r="G182" s="145">
        <v>15</v>
      </c>
      <c r="H182" s="30">
        <v>3</v>
      </c>
      <c r="I182" s="30">
        <v>0.19</v>
      </c>
      <c r="J182" s="147">
        <f t="shared" si="6"/>
        <v>6.3333333333333339E-2</v>
      </c>
      <c r="K182" s="30">
        <v>0</v>
      </c>
      <c r="L182" s="30">
        <v>0</v>
      </c>
      <c r="M182" s="30">
        <v>0</v>
      </c>
      <c r="N182" s="167" t="s">
        <v>572</v>
      </c>
      <c r="O182" s="113"/>
      <c r="P182" s="113"/>
      <c r="Q182" s="113"/>
      <c r="R182" s="113"/>
      <c r="S182" s="113"/>
      <c r="T182" s="113"/>
      <c r="U182" s="113"/>
      <c r="V182" s="113"/>
      <c r="W182" s="113"/>
      <c r="X182" s="113"/>
      <c r="Y182" s="113"/>
      <c r="Z182" s="113"/>
      <c r="AA182" s="113"/>
      <c r="AB182" s="113"/>
    </row>
    <row r="183" spans="1:28" ht="44.25" customHeight="1" x14ac:dyDescent="0.25">
      <c r="A183" s="579"/>
      <c r="B183" s="176" t="s">
        <v>470</v>
      </c>
      <c r="C183" s="144" t="s">
        <v>471</v>
      </c>
      <c r="D183" s="143" t="s">
        <v>472</v>
      </c>
      <c r="E183" s="143" t="s">
        <v>473</v>
      </c>
      <c r="F183" s="145">
        <v>20</v>
      </c>
      <c r="G183" s="149">
        <v>0.38</v>
      </c>
      <c r="H183" s="150">
        <v>0.12</v>
      </c>
      <c r="I183" s="147">
        <f>2.06%-L183</f>
        <v>1.89E-2</v>
      </c>
      <c r="J183" s="147">
        <f t="shared" si="6"/>
        <v>0.1575</v>
      </c>
      <c r="K183" s="147">
        <v>4.1999999999999997E-3</v>
      </c>
      <c r="L183" s="147">
        <v>1.6999999999999999E-3</v>
      </c>
      <c r="M183" s="178">
        <f>+L183/K183</f>
        <v>0.40476190476190477</v>
      </c>
      <c r="N183" s="167" t="s">
        <v>573</v>
      </c>
      <c r="O183" s="113"/>
      <c r="P183" s="113"/>
      <c r="Q183" s="113"/>
      <c r="R183" s="113"/>
      <c r="S183" s="113"/>
      <c r="T183" s="113"/>
      <c r="U183" s="113"/>
      <c r="V183" s="113"/>
      <c r="W183" s="113"/>
      <c r="X183" s="113"/>
      <c r="Y183" s="113"/>
      <c r="Z183" s="113"/>
      <c r="AA183" s="113"/>
      <c r="AB183" s="113"/>
    </row>
    <row r="184" spans="1:28" ht="45" customHeight="1" x14ac:dyDescent="0.25">
      <c r="A184" s="785"/>
      <c r="B184" s="151" t="s">
        <v>475</v>
      </c>
      <c r="C184" s="152" t="s">
        <v>476</v>
      </c>
      <c r="D184" s="151" t="s">
        <v>477</v>
      </c>
      <c r="E184" s="151" t="s">
        <v>468</v>
      </c>
      <c r="F184" s="153">
        <v>20</v>
      </c>
      <c r="G184" s="153">
        <v>13</v>
      </c>
      <c r="H184" s="155">
        <v>3</v>
      </c>
      <c r="I184" s="155">
        <v>0.18</v>
      </c>
      <c r="J184" s="154">
        <f t="shared" si="6"/>
        <v>0.06</v>
      </c>
      <c r="K184" s="155">
        <v>0</v>
      </c>
      <c r="L184" s="155">
        <v>0</v>
      </c>
      <c r="M184" s="155">
        <v>0</v>
      </c>
      <c r="N184" s="179" t="s">
        <v>574</v>
      </c>
      <c r="O184" s="113"/>
      <c r="P184" s="113"/>
      <c r="Q184" s="113"/>
      <c r="R184" s="113"/>
      <c r="S184" s="113"/>
      <c r="T184" s="113"/>
      <c r="U184" s="113"/>
      <c r="V184" s="113"/>
      <c r="W184" s="113"/>
      <c r="X184" s="113"/>
      <c r="Y184" s="113"/>
      <c r="Z184" s="113"/>
      <c r="AA184" s="113"/>
      <c r="AB184" s="113"/>
    </row>
    <row r="185" spans="1:28" ht="15.75" customHeight="1" x14ac:dyDescent="0.25">
      <c r="A185" s="784" t="s">
        <v>435</v>
      </c>
      <c r="B185" s="175" t="s">
        <v>456</v>
      </c>
      <c r="C185" s="137" t="s">
        <v>457</v>
      </c>
      <c r="D185" s="136" t="s">
        <v>458</v>
      </c>
      <c r="E185" s="136" t="s">
        <v>459</v>
      </c>
      <c r="F185" s="138">
        <v>20</v>
      </c>
      <c r="G185" s="180">
        <v>24</v>
      </c>
      <c r="H185" s="181">
        <v>7</v>
      </c>
      <c r="I185" s="181">
        <v>0.72</v>
      </c>
      <c r="J185" s="182">
        <f t="shared" si="6"/>
        <v>0.10285714285714286</v>
      </c>
      <c r="K185" s="181">
        <v>0</v>
      </c>
      <c r="L185" s="181">
        <v>0</v>
      </c>
      <c r="M185" s="181">
        <v>0</v>
      </c>
      <c r="N185" s="167" t="s">
        <v>575</v>
      </c>
      <c r="O185" s="113"/>
      <c r="P185" s="113"/>
      <c r="Q185" s="113"/>
      <c r="R185" s="113"/>
      <c r="S185" s="113"/>
      <c r="T185" s="113"/>
      <c r="U185" s="113"/>
      <c r="V185" s="113"/>
      <c r="W185" s="113"/>
      <c r="X185" s="113"/>
      <c r="Y185" s="113"/>
      <c r="Z185" s="113"/>
      <c r="AA185" s="113"/>
      <c r="AB185" s="113"/>
    </row>
    <row r="186" spans="1:28" ht="51.75" customHeight="1" x14ac:dyDescent="0.25">
      <c r="A186" s="579"/>
      <c r="B186" s="176" t="s">
        <v>461</v>
      </c>
      <c r="C186" s="144" t="s">
        <v>462</v>
      </c>
      <c r="D186" s="143" t="s">
        <v>463</v>
      </c>
      <c r="E186" s="143" t="s">
        <v>459</v>
      </c>
      <c r="F186" s="145">
        <v>20</v>
      </c>
      <c r="G186" s="145">
        <v>15</v>
      </c>
      <c r="H186" s="30">
        <v>4</v>
      </c>
      <c r="I186" s="30">
        <v>0.44</v>
      </c>
      <c r="J186" s="147">
        <f t="shared" si="6"/>
        <v>0.11</v>
      </c>
      <c r="K186" s="30">
        <v>0</v>
      </c>
      <c r="L186" s="30">
        <v>0</v>
      </c>
      <c r="M186" s="30">
        <v>0</v>
      </c>
      <c r="N186" s="167" t="s">
        <v>576</v>
      </c>
      <c r="O186" s="113"/>
      <c r="P186" s="113"/>
      <c r="Q186" s="113"/>
      <c r="R186" s="113"/>
      <c r="S186" s="113"/>
      <c r="T186" s="113"/>
      <c r="U186" s="113"/>
      <c r="V186" s="113"/>
      <c r="W186" s="113"/>
      <c r="X186" s="113"/>
      <c r="Y186" s="113"/>
      <c r="Z186" s="113"/>
      <c r="AA186" s="113"/>
      <c r="AB186" s="113"/>
    </row>
    <row r="187" spans="1:28" ht="47.25" customHeight="1" x14ac:dyDescent="0.25">
      <c r="A187" s="579"/>
      <c r="B187" s="176" t="s">
        <v>465</v>
      </c>
      <c r="C187" s="144" t="s">
        <v>466</v>
      </c>
      <c r="D187" s="143" t="s">
        <v>467</v>
      </c>
      <c r="E187" s="143" t="s">
        <v>468</v>
      </c>
      <c r="F187" s="145">
        <v>20</v>
      </c>
      <c r="G187" s="145">
        <v>15</v>
      </c>
      <c r="H187" s="30">
        <v>3</v>
      </c>
      <c r="I187" s="30">
        <v>0.39</v>
      </c>
      <c r="J187" s="147">
        <f t="shared" si="6"/>
        <v>0.13</v>
      </c>
      <c r="K187" s="30">
        <v>0</v>
      </c>
      <c r="L187" s="30">
        <v>0</v>
      </c>
      <c r="M187" s="30">
        <v>0</v>
      </c>
      <c r="N187" s="167" t="s">
        <v>577</v>
      </c>
      <c r="O187" s="113"/>
      <c r="P187" s="113"/>
      <c r="Q187" s="113"/>
      <c r="R187" s="113"/>
      <c r="S187" s="113"/>
      <c r="T187" s="113"/>
      <c r="U187" s="113"/>
      <c r="V187" s="113"/>
      <c r="W187" s="113"/>
      <c r="X187" s="113"/>
      <c r="Y187" s="113"/>
      <c r="Z187" s="113"/>
      <c r="AA187" s="113"/>
      <c r="AB187" s="113"/>
    </row>
    <row r="188" spans="1:28" ht="48" customHeight="1" x14ac:dyDescent="0.25">
      <c r="A188" s="579"/>
      <c r="B188" s="176" t="s">
        <v>470</v>
      </c>
      <c r="C188" s="144" t="s">
        <v>471</v>
      </c>
      <c r="D188" s="143" t="s">
        <v>472</v>
      </c>
      <c r="E188" s="143" t="s">
        <v>473</v>
      </c>
      <c r="F188" s="145">
        <v>20</v>
      </c>
      <c r="G188" s="149">
        <v>0.38</v>
      </c>
      <c r="H188" s="150">
        <v>0.12</v>
      </c>
      <c r="I188" s="147">
        <f>3.09%-L188</f>
        <v>2.8999999999999998E-2</v>
      </c>
      <c r="J188" s="147">
        <f t="shared" si="6"/>
        <v>0.24166666666666667</v>
      </c>
      <c r="K188" s="147">
        <v>4.1999999999999997E-3</v>
      </c>
      <c r="L188" s="147">
        <v>1.9E-3</v>
      </c>
      <c r="M188" s="178">
        <f>+L188/K188</f>
        <v>0.45238095238095238</v>
      </c>
      <c r="N188" s="167" t="s">
        <v>578</v>
      </c>
      <c r="O188" s="113"/>
      <c r="P188" s="113"/>
      <c r="Q188" s="113"/>
      <c r="R188" s="113"/>
      <c r="S188" s="113"/>
      <c r="T188" s="113"/>
      <c r="U188" s="113"/>
      <c r="V188" s="113"/>
      <c r="W188" s="113"/>
      <c r="X188" s="113"/>
      <c r="Y188" s="113"/>
      <c r="Z188" s="113"/>
      <c r="AA188" s="113"/>
      <c r="AB188" s="113"/>
    </row>
    <row r="189" spans="1:28" ht="48.75" customHeight="1" x14ac:dyDescent="0.25">
      <c r="A189" s="785"/>
      <c r="B189" s="151" t="s">
        <v>475</v>
      </c>
      <c r="C189" s="152" t="s">
        <v>476</v>
      </c>
      <c r="D189" s="151" t="s">
        <v>477</v>
      </c>
      <c r="E189" s="151" t="s">
        <v>468</v>
      </c>
      <c r="F189" s="153">
        <v>20</v>
      </c>
      <c r="G189" s="153">
        <v>13</v>
      </c>
      <c r="H189" s="155">
        <v>3</v>
      </c>
      <c r="I189" s="155">
        <v>0.36</v>
      </c>
      <c r="J189" s="154">
        <f t="shared" si="6"/>
        <v>0.12</v>
      </c>
      <c r="K189" s="155">
        <v>0</v>
      </c>
      <c r="L189" s="155">
        <v>0</v>
      </c>
      <c r="M189" s="155">
        <v>0</v>
      </c>
      <c r="N189" s="179" t="s">
        <v>579</v>
      </c>
      <c r="O189" s="113"/>
      <c r="P189" s="113"/>
      <c r="Q189" s="113"/>
      <c r="R189" s="113"/>
      <c r="S189" s="113"/>
      <c r="T189" s="113"/>
      <c r="U189" s="113"/>
      <c r="V189" s="113"/>
      <c r="W189" s="113"/>
      <c r="X189" s="113"/>
      <c r="Y189" s="113"/>
      <c r="Z189" s="113"/>
      <c r="AA189" s="113"/>
      <c r="AB189" s="113"/>
    </row>
    <row r="190" spans="1:28" ht="53.25" customHeight="1" x14ac:dyDescent="0.25">
      <c r="A190" s="784" t="s">
        <v>436</v>
      </c>
      <c r="B190" s="175" t="s">
        <v>456</v>
      </c>
      <c r="C190" s="137" t="s">
        <v>457</v>
      </c>
      <c r="D190" s="136" t="s">
        <v>458</v>
      </c>
      <c r="E190" s="136" t="s">
        <v>459</v>
      </c>
      <c r="F190" s="138">
        <v>20</v>
      </c>
      <c r="G190" s="180">
        <v>24</v>
      </c>
      <c r="H190" s="181">
        <v>7</v>
      </c>
      <c r="I190" s="181">
        <v>1.28</v>
      </c>
      <c r="J190" s="182">
        <f t="shared" si="6"/>
        <v>0.18285714285714286</v>
      </c>
      <c r="K190" s="181">
        <v>0</v>
      </c>
      <c r="L190" s="181">
        <v>0</v>
      </c>
      <c r="M190" s="181">
        <v>0</v>
      </c>
      <c r="N190" s="167" t="s">
        <v>580</v>
      </c>
      <c r="O190" s="113"/>
      <c r="P190" s="113"/>
      <c r="Q190" s="113"/>
      <c r="R190" s="113"/>
      <c r="S190" s="113"/>
      <c r="T190" s="113"/>
      <c r="U190" s="113"/>
      <c r="V190" s="113"/>
      <c r="W190" s="113"/>
      <c r="X190" s="113"/>
      <c r="Y190" s="113"/>
      <c r="Z190" s="113"/>
      <c r="AA190" s="113"/>
      <c r="AB190" s="113"/>
    </row>
    <row r="191" spans="1:28" ht="46.5" customHeight="1" x14ac:dyDescent="0.25">
      <c r="A191" s="579"/>
      <c r="B191" s="176" t="s">
        <v>461</v>
      </c>
      <c r="C191" s="144" t="s">
        <v>462</v>
      </c>
      <c r="D191" s="143" t="s">
        <v>463</v>
      </c>
      <c r="E191" s="143" t="s">
        <v>459</v>
      </c>
      <c r="F191" s="145">
        <v>20</v>
      </c>
      <c r="G191" s="145">
        <v>15</v>
      </c>
      <c r="H191" s="30">
        <v>4</v>
      </c>
      <c r="I191" s="177">
        <v>0.8</v>
      </c>
      <c r="J191" s="182">
        <f t="shared" si="6"/>
        <v>0.2</v>
      </c>
      <c r="K191" s="181">
        <v>0</v>
      </c>
      <c r="L191" s="181">
        <v>0</v>
      </c>
      <c r="M191" s="181">
        <v>0</v>
      </c>
      <c r="N191" s="167" t="s">
        <v>581</v>
      </c>
      <c r="O191" s="113"/>
      <c r="P191" s="113"/>
      <c r="Q191" s="113"/>
      <c r="R191" s="113"/>
      <c r="S191" s="113"/>
      <c r="T191" s="113"/>
      <c r="U191" s="113"/>
      <c r="V191" s="113"/>
      <c r="W191" s="113"/>
      <c r="X191" s="113"/>
      <c r="Y191" s="113"/>
      <c r="Z191" s="113"/>
      <c r="AA191" s="113"/>
      <c r="AB191" s="113"/>
    </row>
    <row r="192" spans="1:28" ht="51" customHeight="1" x14ac:dyDescent="0.25">
      <c r="A192" s="579"/>
      <c r="B192" s="176" t="s">
        <v>465</v>
      </c>
      <c r="C192" s="144" t="s">
        <v>466</v>
      </c>
      <c r="D192" s="143" t="s">
        <v>467</v>
      </c>
      <c r="E192" s="143" t="s">
        <v>468</v>
      </c>
      <c r="F192" s="145">
        <v>20</v>
      </c>
      <c r="G192" s="145">
        <v>15</v>
      </c>
      <c r="H192" s="30">
        <v>3</v>
      </c>
      <c r="I192" s="30">
        <v>0.61</v>
      </c>
      <c r="J192" s="182">
        <f t="shared" si="6"/>
        <v>0.20333333333333334</v>
      </c>
      <c r="K192" s="181">
        <v>0</v>
      </c>
      <c r="L192" s="181">
        <v>0</v>
      </c>
      <c r="M192" s="181">
        <v>0</v>
      </c>
      <c r="N192" s="167" t="s">
        <v>582</v>
      </c>
      <c r="O192" s="113"/>
      <c r="P192" s="113"/>
      <c r="Q192" s="113"/>
      <c r="R192" s="113"/>
      <c r="S192" s="113"/>
      <c r="T192" s="113"/>
      <c r="U192" s="113"/>
      <c r="V192" s="113"/>
      <c r="W192" s="113"/>
      <c r="X192" s="113"/>
      <c r="Y192" s="113"/>
      <c r="Z192" s="113"/>
      <c r="AA192" s="113"/>
      <c r="AB192" s="113"/>
    </row>
    <row r="193" spans="1:28" ht="57.75" customHeight="1" x14ac:dyDescent="0.25">
      <c r="A193" s="579"/>
      <c r="B193" s="176" t="s">
        <v>470</v>
      </c>
      <c r="C193" s="144" t="s">
        <v>471</v>
      </c>
      <c r="D193" s="143" t="s">
        <v>472</v>
      </c>
      <c r="E193" s="143" t="s">
        <v>473</v>
      </c>
      <c r="F193" s="145">
        <v>20</v>
      </c>
      <c r="G193" s="149">
        <v>0.38</v>
      </c>
      <c r="H193" s="150">
        <v>0.12</v>
      </c>
      <c r="I193" s="147">
        <f>4.32%-L193</f>
        <v>3.9100000000000003E-2</v>
      </c>
      <c r="J193" s="182">
        <f t="shared" si="6"/>
        <v>0.32583333333333336</v>
      </c>
      <c r="K193" s="147">
        <v>4.1999999999999997E-3</v>
      </c>
      <c r="L193" s="147">
        <v>4.1000000000000003E-3</v>
      </c>
      <c r="M193" s="147">
        <f>L193/K193</f>
        <v>0.97619047619047639</v>
      </c>
      <c r="N193" s="167" t="s">
        <v>583</v>
      </c>
      <c r="O193" s="113"/>
      <c r="P193" s="113"/>
      <c r="Q193" s="113"/>
      <c r="R193" s="113"/>
      <c r="S193" s="113"/>
      <c r="T193" s="113"/>
      <c r="U193" s="113"/>
      <c r="V193" s="113"/>
      <c r="W193" s="113"/>
      <c r="X193" s="113"/>
      <c r="Y193" s="113"/>
      <c r="Z193" s="113"/>
      <c r="AA193" s="113"/>
      <c r="AB193" s="113"/>
    </row>
    <row r="194" spans="1:28" ht="55.5" customHeight="1" x14ac:dyDescent="0.25">
      <c r="A194" s="785"/>
      <c r="B194" s="151" t="s">
        <v>475</v>
      </c>
      <c r="C194" s="152" t="s">
        <v>476</v>
      </c>
      <c r="D194" s="151" t="s">
        <v>477</v>
      </c>
      <c r="E194" s="151" t="s">
        <v>468</v>
      </c>
      <c r="F194" s="153">
        <v>20</v>
      </c>
      <c r="G194" s="153">
        <v>13</v>
      </c>
      <c r="H194" s="155">
        <v>3</v>
      </c>
      <c r="I194" s="155">
        <v>0.6</v>
      </c>
      <c r="J194" s="182">
        <f t="shared" si="6"/>
        <v>0.19999999999999998</v>
      </c>
      <c r="K194" s="181">
        <v>0</v>
      </c>
      <c r="L194" s="181">
        <v>0</v>
      </c>
      <c r="M194" s="181">
        <v>0</v>
      </c>
      <c r="N194" s="179" t="s">
        <v>584</v>
      </c>
      <c r="O194" s="113"/>
      <c r="P194" s="113"/>
      <c r="Q194" s="113"/>
      <c r="R194" s="113"/>
      <c r="S194" s="113"/>
      <c r="T194" s="113"/>
      <c r="U194" s="113"/>
      <c r="V194" s="113"/>
      <c r="W194" s="113"/>
      <c r="X194" s="113"/>
      <c r="Y194" s="113"/>
      <c r="Z194" s="113"/>
      <c r="AA194" s="113"/>
      <c r="AB194" s="113"/>
    </row>
    <row r="195" spans="1:28" ht="60" customHeight="1" x14ac:dyDescent="0.25">
      <c r="A195" s="784" t="s">
        <v>437</v>
      </c>
      <c r="B195" s="175" t="s">
        <v>456</v>
      </c>
      <c r="C195" s="137" t="s">
        <v>457</v>
      </c>
      <c r="D195" s="136" t="s">
        <v>458</v>
      </c>
      <c r="E195" s="136" t="s">
        <v>459</v>
      </c>
      <c r="F195" s="138">
        <v>20</v>
      </c>
      <c r="G195" s="180">
        <v>24</v>
      </c>
      <c r="H195" s="181">
        <v>7</v>
      </c>
      <c r="I195" s="181">
        <v>1.98</v>
      </c>
      <c r="J195" s="182">
        <f t="shared" si="6"/>
        <v>0.28285714285714286</v>
      </c>
      <c r="K195" s="181">
        <v>0</v>
      </c>
      <c r="L195" s="181">
        <v>0</v>
      </c>
      <c r="M195" s="181">
        <v>0</v>
      </c>
      <c r="N195" s="167" t="s">
        <v>585</v>
      </c>
      <c r="O195" s="113"/>
      <c r="P195" s="113"/>
      <c r="Q195" s="113"/>
      <c r="R195" s="113"/>
      <c r="S195" s="113"/>
      <c r="T195" s="113"/>
      <c r="U195" s="113"/>
      <c r="V195" s="113"/>
      <c r="W195" s="113"/>
      <c r="X195" s="113"/>
      <c r="Y195" s="113"/>
      <c r="Z195" s="113"/>
      <c r="AA195" s="113"/>
      <c r="AB195" s="113"/>
    </row>
    <row r="196" spans="1:28" ht="59.25" customHeight="1" x14ac:dyDescent="0.25">
      <c r="A196" s="579"/>
      <c r="B196" s="176" t="s">
        <v>461</v>
      </c>
      <c r="C196" s="144" t="s">
        <v>462</v>
      </c>
      <c r="D196" s="143" t="s">
        <v>463</v>
      </c>
      <c r="E196" s="143" t="s">
        <v>459</v>
      </c>
      <c r="F196" s="145">
        <v>20</v>
      </c>
      <c r="G196" s="145">
        <v>15</v>
      </c>
      <c r="H196" s="30">
        <v>4</v>
      </c>
      <c r="I196" s="177">
        <v>1.24</v>
      </c>
      <c r="J196" s="182">
        <f t="shared" si="6"/>
        <v>0.31</v>
      </c>
      <c r="K196" s="181">
        <v>0</v>
      </c>
      <c r="L196" s="181">
        <v>0</v>
      </c>
      <c r="M196" s="181">
        <v>0</v>
      </c>
      <c r="N196" s="167" t="s">
        <v>586</v>
      </c>
      <c r="O196" s="113"/>
      <c r="P196" s="113"/>
      <c r="Q196" s="113"/>
      <c r="R196" s="113"/>
      <c r="S196" s="113"/>
      <c r="T196" s="113"/>
      <c r="U196" s="113"/>
      <c r="V196" s="113"/>
      <c r="W196" s="113"/>
      <c r="X196" s="113"/>
      <c r="Y196" s="113"/>
      <c r="Z196" s="113"/>
      <c r="AA196" s="113"/>
      <c r="AB196" s="113"/>
    </row>
    <row r="197" spans="1:28" ht="59.25" customHeight="1" x14ac:dyDescent="0.25">
      <c r="A197" s="579"/>
      <c r="B197" s="176" t="s">
        <v>465</v>
      </c>
      <c r="C197" s="144" t="s">
        <v>466</v>
      </c>
      <c r="D197" s="143" t="s">
        <v>467</v>
      </c>
      <c r="E197" s="143" t="s">
        <v>468</v>
      </c>
      <c r="F197" s="145">
        <v>20</v>
      </c>
      <c r="G197" s="145">
        <v>15</v>
      </c>
      <c r="H197" s="30">
        <v>3</v>
      </c>
      <c r="I197" s="30">
        <v>0.89</v>
      </c>
      <c r="J197" s="182">
        <f t="shared" si="6"/>
        <v>0.29666666666666669</v>
      </c>
      <c r="K197" s="181">
        <v>0</v>
      </c>
      <c r="L197" s="181">
        <v>0</v>
      </c>
      <c r="M197" s="181">
        <v>0</v>
      </c>
      <c r="N197" s="167" t="s">
        <v>587</v>
      </c>
      <c r="O197" s="113"/>
      <c r="P197" s="113"/>
      <c r="Q197" s="113"/>
      <c r="R197" s="113"/>
      <c r="S197" s="113"/>
      <c r="T197" s="113"/>
      <c r="U197" s="113"/>
      <c r="V197" s="113"/>
      <c r="W197" s="113"/>
      <c r="X197" s="113"/>
      <c r="Y197" s="113"/>
      <c r="Z197" s="113"/>
      <c r="AA197" s="113"/>
      <c r="AB197" s="113"/>
    </row>
    <row r="198" spans="1:28" ht="64.5" customHeight="1" x14ac:dyDescent="0.25">
      <c r="A198" s="579"/>
      <c r="B198" s="176" t="s">
        <v>470</v>
      </c>
      <c r="C198" s="144" t="s">
        <v>471</v>
      </c>
      <c r="D198" s="143" t="s">
        <v>472</v>
      </c>
      <c r="E198" s="143" t="s">
        <v>473</v>
      </c>
      <c r="F198" s="145">
        <v>20</v>
      </c>
      <c r="G198" s="149">
        <v>0.38</v>
      </c>
      <c r="H198" s="150">
        <v>0.12</v>
      </c>
      <c r="I198" s="147">
        <f>5.35%-L198</f>
        <v>4.9299999999999997E-2</v>
      </c>
      <c r="J198" s="182">
        <f t="shared" si="6"/>
        <v>0.41083333333333333</v>
      </c>
      <c r="K198" s="147">
        <v>4.1999999999999997E-3</v>
      </c>
      <c r="L198" s="147">
        <v>4.1999999999999997E-3</v>
      </c>
      <c r="M198" s="147">
        <f>L198/K198</f>
        <v>1</v>
      </c>
      <c r="N198" s="167" t="s">
        <v>588</v>
      </c>
      <c r="O198" s="113"/>
      <c r="P198" s="113"/>
      <c r="Q198" s="113"/>
      <c r="R198" s="113"/>
      <c r="S198" s="113"/>
      <c r="T198" s="113"/>
      <c r="U198" s="113"/>
      <c r="V198" s="113"/>
      <c r="W198" s="113"/>
      <c r="X198" s="113"/>
      <c r="Y198" s="113"/>
      <c r="Z198" s="113"/>
      <c r="AA198" s="113"/>
      <c r="AB198" s="113"/>
    </row>
    <row r="199" spans="1:28" ht="63.75" customHeight="1" x14ac:dyDescent="0.25">
      <c r="A199" s="785"/>
      <c r="B199" s="151" t="s">
        <v>475</v>
      </c>
      <c r="C199" s="152" t="s">
        <v>476</v>
      </c>
      <c r="D199" s="151" t="s">
        <v>477</v>
      </c>
      <c r="E199" s="151" t="s">
        <v>468</v>
      </c>
      <c r="F199" s="153">
        <v>20</v>
      </c>
      <c r="G199" s="153">
        <v>13</v>
      </c>
      <c r="H199" s="155">
        <v>3</v>
      </c>
      <c r="I199" s="155">
        <v>0.9</v>
      </c>
      <c r="J199" s="182">
        <f t="shared" si="6"/>
        <v>0.3</v>
      </c>
      <c r="K199" s="181">
        <v>0</v>
      </c>
      <c r="L199" s="181">
        <v>0</v>
      </c>
      <c r="M199" s="181">
        <v>0</v>
      </c>
      <c r="N199" s="179" t="s">
        <v>589</v>
      </c>
      <c r="O199" s="113"/>
      <c r="P199" s="113"/>
      <c r="Q199" s="113"/>
      <c r="R199" s="113"/>
      <c r="S199" s="113"/>
      <c r="T199" s="113"/>
      <c r="U199" s="113"/>
      <c r="V199" s="113"/>
      <c r="W199" s="113"/>
      <c r="X199" s="113"/>
      <c r="Y199" s="113"/>
      <c r="Z199" s="113"/>
      <c r="AA199" s="113"/>
      <c r="AB199" s="113"/>
    </row>
    <row r="200" spans="1:28" ht="52.5" customHeight="1" x14ac:dyDescent="0.25">
      <c r="A200" s="784" t="s">
        <v>438</v>
      </c>
      <c r="B200" s="175" t="s">
        <v>456</v>
      </c>
      <c r="C200" s="137" t="s">
        <v>457</v>
      </c>
      <c r="D200" s="136" t="s">
        <v>458</v>
      </c>
      <c r="E200" s="136" t="s">
        <v>459</v>
      </c>
      <c r="F200" s="138">
        <v>20</v>
      </c>
      <c r="G200" s="180">
        <v>24</v>
      </c>
      <c r="H200" s="181">
        <v>7</v>
      </c>
      <c r="I200" s="181">
        <v>2.76</v>
      </c>
      <c r="J200" s="182">
        <f t="shared" si="6"/>
        <v>0.39428571428571424</v>
      </c>
      <c r="K200" s="181">
        <v>0</v>
      </c>
      <c r="L200" s="181">
        <v>0</v>
      </c>
      <c r="M200" s="181">
        <v>0</v>
      </c>
      <c r="N200" s="167" t="s">
        <v>590</v>
      </c>
      <c r="O200" s="113"/>
      <c r="P200" s="113"/>
      <c r="Q200" s="113"/>
      <c r="R200" s="113"/>
      <c r="S200" s="113"/>
      <c r="T200" s="113"/>
      <c r="U200" s="113"/>
      <c r="V200" s="113"/>
      <c r="W200" s="113"/>
      <c r="X200" s="113"/>
      <c r="Y200" s="113"/>
      <c r="Z200" s="113"/>
      <c r="AA200" s="113"/>
      <c r="AB200" s="113"/>
    </row>
    <row r="201" spans="1:28" ht="65.25" customHeight="1" x14ac:dyDescent="0.25">
      <c r="A201" s="579"/>
      <c r="B201" s="176" t="s">
        <v>461</v>
      </c>
      <c r="C201" s="144" t="s">
        <v>462</v>
      </c>
      <c r="D201" s="143" t="s">
        <v>463</v>
      </c>
      <c r="E201" s="143" t="s">
        <v>459</v>
      </c>
      <c r="F201" s="145">
        <v>20</v>
      </c>
      <c r="G201" s="145">
        <v>15</v>
      </c>
      <c r="H201" s="30">
        <v>4</v>
      </c>
      <c r="I201" s="177">
        <v>1.72</v>
      </c>
      <c r="J201" s="182">
        <f t="shared" si="6"/>
        <v>0.43</v>
      </c>
      <c r="K201" s="181">
        <v>0</v>
      </c>
      <c r="L201" s="181">
        <v>0</v>
      </c>
      <c r="M201" s="181">
        <v>0</v>
      </c>
      <c r="N201" s="167" t="s">
        <v>591</v>
      </c>
      <c r="O201" s="113"/>
      <c r="P201" s="113"/>
      <c r="Q201" s="113"/>
      <c r="R201" s="113"/>
      <c r="S201" s="113"/>
      <c r="T201" s="113"/>
      <c r="U201" s="113"/>
      <c r="V201" s="113"/>
      <c r="W201" s="113"/>
      <c r="X201" s="113"/>
      <c r="Y201" s="113"/>
      <c r="Z201" s="113"/>
      <c r="AA201" s="113"/>
      <c r="AB201" s="113"/>
    </row>
    <row r="202" spans="1:28" ht="62.25" customHeight="1" x14ac:dyDescent="0.25">
      <c r="A202" s="579"/>
      <c r="B202" s="176" t="s">
        <v>465</v>
      </c>
      <c r="C202" s="144" t="s">
        <v>466</v>
      </c>
      <c r="D202" s="143" t="s">
        <v>467</v>
      </c>
      <c r="E202" s="143" t="s">
        <v>468</v>
      </c>
      <c r="F202" s="145">
        <v>20</v>
      </c>
      <c r="G202" s="145">
        <v>15</v>
      </c>
      <c r="H202" s="30">
        <v>3</v>
      </c>
      <c r="I202" s="30">
        <v>1.1499999999999999</v>
      </c>
      <c r="J202" s="182">
        <f t="shared" si="6"/>
        <v>0.3833333333333333</v>
      </c>
      <c r="K202" s="181">
        <v>0</v>
      </c>
      <c r="L202" s="181">
        <v>0</v>
      </c>
      <c r="M202" s="181">
        <v>0</v>
      </c>
      <c r="N202" s="167" t="s">
        <v>592</v>
      </c>
      <c r="O202" s="113"/>
      <c r="P202" s="113"/>
      <c r="Q202" s="113"/>
      <c r="R202" s="113"/>
      <c r="S202" s="113"/>
      <c r="T202" s="113"/>
      <c r="U202" s="113"/>
      <c r="V202" s="113"/>
      <c r="W202" s="113"/>
      <c r="X202" s="113"/>
      <c r="Y202" s="113"/>
      <c r="Z202" s="113"/>
      <c r="AA202" s="113"/>
      <c r="AB202" s="113"/>
    </row>
    <row r="203" spans="1:28" ht="66" customHeight="1" x14ac:dyDescent="0.25">
      <c r="A203" s="579"/>
      <c r="B203" s="176" t="s">
        <v>470</v>
      </c>
      <c r="C203" s="144" t="s">
        <v>471</v>
      </c>
      <c r="D203" s="143" t="s">
        <v>472</v>
      </c>
      <c r="E203" s="143" t="s">
        <v>473</v>
      </c>
      <c r="F203" s="145">
        <v>20</v>
      </c>
      <c r="G203" s="149">
        <v>0.38</v>
      </c>
      <c r="H203" s="150">
        <v>0.12</v>
      </c>
      <c r="I203" s="147">
        <f>6.38%-L203</f>
        <v>5.9599999999999993E-2</v>
      </c>
      <c r="J203" s="182">
        <f t="shared" si="6"/>
        <v>0.49666666666666665</v>
      </c>
      <c r="K203" s="147">
        <v>4.1999999999999997E-3</v>
      </c>
      <c r="L203" s="147">
        <v>4.1999999999999997E-3</v>
      </c>
      <c r="M203" s="147">
        <f>L203/K203</f>
        <v>1</v>
      </c>
      <c r="N203" s="167" t="s">
        <v>593</v>
      </c>
      <c r="O203" s="113"/>
      <c r="P203" s="113"/>
      <c r="Q203" s="113"/>
      <c r="R203" s="113"/>
      <c r="S203" s="113"/>
      <c r="T203" s="113"/>
      <c r="U203" s="113"/>
      <c r="V203" s="113"/>
      <c r="W203" s="113"/>
      <c r="X203" s="113"/>
      <c r="Y203" s="113"/>
      <c r="Z203" s="113"/>
      <c r="AA203" s="113"/>
      <c r="AB203" s="113"/>
    </row>
    <row r="204" spans="1:28" ht="73.5" customHeight="1" x14ac:dyDescent="0.25">
      <c r="A204" s="785"/>
      <c r="B204" s="151" t="s">
        <v>475</v>
      </c>
      <c r="C204" s="152" t="s">
        <v>476</v>
      </c>
      <c r="D204" s="151" t="s">
        <v>477</v>
      </c>
      <c r="E204" s="151" t="s">
        <v>468</v>
      </c>
      <c r="F204" s="153">
        <v>20</v>
      </c>
      <c r="G204" s="153">
        <v>13</v>
      </c>
      <c r="H204" s="155">
        <v>3</v>
      </c>
      <c r="I204" s="183">
        <v>1.2</v>
      </c>
      <c r="J204" s="182">
        <f t="shared" si="6"/>
        <v>0.39999999999999997</v>
      </c>
      <c r="K204" s="181">
        <v>0</v>
      </c>
      <c r="L204" s="181">
        <v>0</v>
      </c>
      <c r="M204" s="181">
        <v>0</v>
      </c>
      <c r="N204" s="179" t="s">
        <v>594</v>
      </c>
      <c r="O204" s="113"/>
      <c r="P204" s="113"/>
      <c r="Q204" s="113"/>
      <c r="R204" s="113"/>
      <c r="S204" s="113"/>
      <c r="T204" s="113"/>
      <c r="U204" s="113"/>
      <c r="V204" s="113"/>
      <c r="W204" s="113"/>
      <c r="X204" s="113"/>
      <c r="Y204" s="113"/>
      <c r="Z204" s="113"/>
      <c r="AA204" s="113"/>
      <c r="AB204" s="113"/>
    </row>
    <row r="205" spans="1:28" ht="52.5" customHeight="1" x14ac:dyDescent="0.25">
      <c r="A205" s="784" t="s">
        <v>425</v>
      </c>
      <c r="B205" s="175" t="s">
        <v>456</v>
      </c>
      <c r="C205" s="137" t="s">
        <v>457</v>
      </c>
      <c r="D205" s="136" t="s">
        <v>458</v>
      </c>
      <c r="E205" s="136" t="s">
        <v>459</v>
      </c>
      <c r="F205" s="138">
        <v>20</v>
      </c>
      <c r="G205" s="180">
        <v>24</v>
      </c>
      <c r="H205" s="181">
        <v>7</v>
      </c>
      <c r="I205" s="181">
        <v>3.54</v>
      </c>
      <c r="J205" s="182">
        <f t="shared" si="6"/>
        <v>0.50571428571428567</v>
      </c>
      <c r="K205" s="181">
        <v>0</v>
      </c>
      <c r="L205" s="181">
        <v>0</v>
      </c>
      <c r="M205" s="181">
        <v>0</v>
      </c>
      <c r="N205" s="167" t="s">
        <v>595</v>
      </c>
      <c r="O205" s="113"/>
      <c r="P205" s="113"/>
      <c r="Q205" s="113"/>
      <c r="R205" s="113"/>
      <c r="S205" s="113"/>
      <c r="T205" s="113"/>
      <c r="U205" s="113"/>
      <c r="V205" s="113"/>
      <c r="W205" s="113"/>
      <c r="X205" s="113"/>
      <c r="Y205" s="113"/>
      <c r="Z205" s="113"/>
      <c r="AA205" s="113"/>
      <c r="AB205" s="113"/>
    </row>
    <row r="206" spans="1:28" ht="77.25" customHeight="1" x14ac:dyDescent="0.25">
      <c r="A206" s="579"/>
      <c r="B206" s="176" t="s">
        <v>461</v>
      </c>
      <c r="C206" s="144" t="s">
        <v>462</v>
      </c>
      <c r="D206" s="143" t="s">
        <v>463</v>
      </c>
      <c r="E206" s="143" t="s">
        <v>459</v>
      </c>
      <c r="F206" s="145">
        <v>20</v>
      </c>
      <c r="G206" s="145">
        <v>15</v>
      </c>
      <c r="H206" s="30">
        <v>4</v>
      </c>
      <c r="I206" s="177">
        <v>2.12</v>
      </c>
      <c r="J206" s="182">
        <f t="shared" si="6"/>
        <v>0.53</v>
      </c>
      <c r="K206" s="181">
        <v>0</v>
      </c>
      <c r="L206" s="181">
        <v>0</v>
      </c>
      <c r="M206" s="181">
        <v>0</v>
      </c>
      <c r="N206" s="167" t="s">
        <v>596</v>
      </c>
      <c r="O206" s="113"/>
      <c r="P206" s="113"/>
      <c r="Q206" s="113"/>
      <c r="R206" s="113"/>
      <c r="S206" s="113"/>
      <c r="T206" s="113"/>
      <c r="U206" s="113"/>
      <c r="V206" s="113"/>
      <c r="W206" s="113"/>
      <c r="X206" s="113"/>
      <c r="Y206" s="113"/>
      <c r="Z206" s="113"/>
      <c r="AA206" s="113"/>
      <c r="AB206" s="113"/>
    </row>
    <row r="207" spans="1:28" ht="51" customHeight="1" x14ac:dyDescent="0.25">
      <c r="A207" s="579"/>
      <c r="B207" s="176" t="s">
        <v>465</v>
      </c>
      <c r="C207" s="144" t="s">
        <v>466</v>
      </c>
      <c r="D207" s="143" t="s">
        <v>467</v>
      </c>
      <c r="E207" s="143" t="s">
        <v>468</v>
      </c>
      <c r="F207" s="145">
        <v>20</v>
      </c>
      <c r="G207" s="145">
        <v>15</v>
      </c>
      <c r="H207" s="30">
        <v>3</v>
      </c>
      <c r="I207" s="30">
        <v>1.41</v>
      </c>
      <c r="J207" s="182">
        <f t="shared" si="6"/>
        <v>0.47</v>
      </c>
      <c r="K207" s="181">
        <v>0</v>
      </c>
      <c r="L207" s="181">
        <v>0</v>
      </c>
      <c r="M207" s="181">
        <v>0</v>
      </c>
      <c r="N207" s="167" t="s">
        <v>597</v>
      </c>
      <c r="O207" s="113"/>
      <c r="P207" s="113"/>
      <c r="Q207" s="113"/>
      <c r="R207" s="113"/>
      <c r="S207" s="113"/>
      <c r="T207" s="113"/>
      <c r="U207" s="113"/>
      <c r="V207" s="113"/>
      <c r="W207" s="113"/>
      <c r="X207" s="113"/>
      <c r="Y207" s="113"/>
      <c r="Z207" s="113"/>
      <c r="AA207" s="113"/>
      <c r="AB207" s="113"/>
    </row>
    <row r="208" spans="1:28" ht="61.5" customHeight="1" x14ac:dyDescent="0.25">
      <c r="A208" s="579"/>
      <c r="B208" s="176" t="s">
        <v>470</v>
      </c>
      <c r="C208" s="144" t="s">
        <v>471</v>
      </c>
      <c r="D208" s="143" t="s">
        <v>472</v>
      </c>
      <c r="E208" s="143" t="s">
        <v>473</v>
      </c>
      <c r="F208" s="145">
        <v>20</v>
      </c>
      <c r="G208" s="149">
        <v>0.38</v>
      </c>
      <c r="H208" s="150">
        <v>0.12</v>
      </c>
      <c r="I208" s="147">
        <f>7.41%-L208</f>
        <v>6.9900000000000004E-2</v>
      </c>
      <c r="J208" s="182">
        <f t="shared" si="6"/>
        <v>0.58250000000000002</v>
      </c>
      <c r="K208" s="147">
        <v>4.1999999999999997E-3</v>
      </c>
      <c r="L208" s="147">
        <v>4.1999999999999997E-3</v>
      </c>
      <c r="M208" s="147">
        <f>L208/K208</f>
        <v>1</v>
      </c>
      <c r="N208" s="167" t="s">
        <v>598</v>
      </c>
      <c r="O208" s="113"/>
      <c r="P208" s="113"/>
      <c r="Q208" s="113"/>
      <c r="R208" s="113"/>
      <c r="S208" s="113"/>
      <c r="T208" s="113"/>
      <c r="U208" s="113"/>
      <c r="V208" s="113"/>
      <c r="W208" s="113"/>
      <c r="X208" s="113"/>
      <c r="Y208" s="113"/>
      <c r="Z208" s="113"/>
      <c r="AA208" s="113"/>
      <c r="AB208" s="113"/>
    </row>
    <row r="209" spans="1:28" ht="71.25" customHeight="1" x14ac:dyDescent="0.25">
      <c r="A209" s="785"/>
      <c r="B209" s="151" t="s">
        <v>475</v>
      </c>
      <c r="C209" s="152" t="s">
        <v>476</v>
      </c>
      <c r="D209" s="151" t="s">
        <v>477</v>
      </c>
      <c r="E209" s="151" t="s">
        <v>468</v>
      </c>
      <c r="F209" s="153">
        <v>20</v>
      </c>
      <c r="G209" s="153">
        <v>13</v>
      </c>
      <c r="H209" s="155">
        <v>3</v>
      </c>
      <c r="I209" s="183">
        <v>1.5</v>
      </c>
      <c r="J209" s="182">
        <f t="shared" si="6"/>
        <v>0.5</v>
      </c>
      <c r="K209" s="181">
        <v>0</v>
      </c>
      <c r="L209" s="181">
        <v>0</v>
      </c>
      <c r="M209" s="181">
        <v>0</v>
      </c>
      <c r="N209" s="179" t="s">
        <v>599</v>
      </c>
      <c r="O209" s="113"/>
      <c r="P209" s="113"/>
      <c r="Q209" s="113"/>
      <c r="R209" s="113"/>
      <c r="S209" s="113"/>
      <c r="T209" s="113"/>
      <c r="U209" s="113"/>
      <c r="V209" s="113"/>
      <c r="W209" s="113"/>
      <c r="X209" s="113"/>
      <c r="Y209" s="113"/>
      <c r="Z209" s="113"/>
      <c r="AA209" s="113"/>
      <c r="AB209" s="113"/>
    </row>
    <row r="210" spans="1:28" ht="48.75" customHeight="1" x14ac:dyDescent="0.25">
      <c r="A210" s="784" t="s">
        <v>426</v>
      </c>
      <c r="B210" s="175" t="s">
        <v>456</v>
      </c>
      <c r="C210" s="137" t="s">
        <v>457</v>
      </c>
      <c r="D210" s="136" t="s">
        <v>458</v>
      </c>
      <c r="E210" s="136" t="s">
        <v>459</v>
      </c>
      <c r="F210" s="138">
        <v>20</v>
      </c>
      <c r="G210" s="180">
        <v>24</v>
      </c>
      <c r="H210" s="181">
        <v>7</v>
      </c>
      <c r="I210" s="181">
        <v>4.28</v>
      </c>
      <c r="J210" s="182">
        <f t="shared" si="6"/>
        <v>0.61142857142857143</v>
      </c>
      <c r="K210" s="181">
        <v>0</v>
      </c>
      <c r="L210" s="181">
        <v>0</v>
      </c>
      <c r="M210" s="181">
        <v>0</v>
      </c>
      <c r="N210" s="167" t="s">
        <v>600</v>
      </c>
      <c r="O210" s="113"/>
      <c r="P210" s="113"/>
      <c r="Q210" s="113"/>
      <c r="R210" s="113"/>
      <c r="S210" s="113"/>
      <c r="T210" s="113"/>
      <c r="U210" s="113"/>
      <c r="V210" s="113"/>
      <c r="W210" s="113"/>
      <c r="X210" s="113"/>
      <c r="Y210" s="113"/>
      <c r="Z210" s="113"/>
      <c r="AA210" s="113"/>
      <c r="AB210" s="113"/>
    </row>
    <row r="211" spans="1:28" ht="66" customHeight="1" x14ac:dyDescent="0.25">
      <c r="A211" s="579"/>
      <c r="B211" s="176" t="s">
        <v>461</v>
      </c>
      <c r="C211" s="144" t="s">
        <v>462</v>
      </c>
      <c r="D211" s="143" t="s">
        <v>463</v>
      </c>
      <c r="E211" s="143" t="s">
        <v>459</v>
      </c>
      <c r="F211" s="145">
        <v>20</v>
      </c>
      <c r="G211" s="145">
        <v>15</v>
      </c>
      <c r="H211" s="30">
        <v>4</v>
      </c>
      <c r="I211" s="177">
        <v>2.52</v>
      </c>
      <c r="J211" s="182">
        <f t="shared" si="6"/>
        <v>0.63</v>
      </c>
      <c r="K211" s="181">
        <v>0</v>
      </c>
      <c r="L211" s="181">
        <v>0</v>
      </c>
      <c r="M211" s="181">
        <v>0</v>
      </c>
      <c r="N211" s="167" t="s">
        <v>601</v>
      </c>
      <c r="O211" s="113"/>
      <c r="P211" s="113"/>
      <c r="Q211" s="113"/>
      <c r="R211" s="113"/>
      <c r="S211" s="113"/>
      <c r="T211" s="113"/>
      <c r="U211" s="113"/>
      <c r="V211" s="113"/>
      <c r="W211" s="113"/>
      <c r="X211" s="113"/>
      <c r="Y211" s="113"/>
      <c r="Z211" s="113"/>
      <c r="AA211" s="113"/>
      <c r="AB211" s="113"/>
    </row>
    <row r="212" spans="1:28" ht="60.75" customHeight="1" x14ac:dyDescent="0.25">
      <c r="A212" s="579"/>
      <c r="B212" s="176" t="s">
        <v>465</v>
      </c>
      <c r="C212" s="144" t="s">
        <v>466</v>
      </c>
      <c r="D212" s="143" t="s">
        <v>467</v>
      </c>
      <c r="E212" s="143" t="s">
        <v>468</v>
      </c>
      <c r="F212" s="145">
        <v>20</v>
      </c>
      <c r="G212" s="145">
        <v>15</v>
      </c>
      <c r="H212" s="30">
        <v>3</v>
      </c>
      <c r="I212" s="30">
        <v>1.75</v>
      </c>
      <c r="J212" s="182">
        <f t="shared" si="6"/>
        <v>0.58333333333333337</v>
      </c>
      <c r="K212" s="181">
        <v>0</v>
      </c>
      <c r="L212" s="181">
        <v>0</v>
      </c>
      <c r="M212" s="181">
        <v>0</v>
      </c>
      <c r="N212" s="167" t="s">
        <v>602</v>
      </c>
      <c r="O212" s="113"/>
      <c r="P212" s="113"/>
      <c r="Q212" s="113"/>
      <c r="R212" s="113"/>
      <c r="S212" s="113"/>
      <c r="T212" s="113"/>
      <c r="U212" s="113"/>
      <c r="V212" s="113"/>
      <c r="W212" s="113"/>
      <c r="X212" s="113"/>
      <c r="Y212" s="113"/>
      <c r="Z212" s="113"/>
      <c r="AA212" s="113"/>
      <c r="AB212" s="113"/>
    </row>
    <row r="213" spans="1:28" ht="60" customHeight="1" x14ac:dyDescent="0.25">
      <c r="A213" s="579"/>
      <c r="B213" s="176" t="s">
        <v>470</v>
      </c>
      <c r="C213" s="144" t="s">
        <v>471</v>
      </c>
      <c r="D213" s="143" t="s">
        <v>472</v>
      </c>
      <c r="E213" s="143" t="s">
        <v>473</v>
      </c>
      <c r="F213" s="145">
        <v>20</v>
      </c>
      <c r="G213" s="149">
        <v>0.38</v>
      </c>
      <c r="H213" s="150">
        <v>0.12</v>
      </c>
      <c r="I213" s="147">
        <f>8.44%-L213</f>
        <v>8.0199999999999994E-2</v>
      </c>
      <c r="J213" s="182">
        <f t="shared" si="6"/>
        <v>0.66833333333333333</v>
      </c>
      <c r="K213" s="147">
        <v>4.1999999999999997E-3</v>
      </c>
      <c r="L213" s="147">
        <v>4.1999999999999997E-3</v>
      </c>
      <c r="M213" s="147">
        <f>L213/K213</f>
        <v>1</v>
      </c>
      <c r="N213" s="167" t="s">
        <v>603</v>
      </c>
      <c r="O213" s="113"/>
      <c r="P213" s="113"/>
      <c r="Q213" s="113"/>
      <c r="R213" s="113"/>
      <c r="S213" s="113"/>
      <c r="T213" s="113"/>
      <c r="U213" s="113"/>
      <c r="V213" s="113"/>
      <c r="W213" s="113"/>
      <c r="X213" s="113"/>
      <c r="Y213" s="113"/>
      <c r="Z213" s="113"/>
      <c r="AA213" s="113"/>
      <c r="AB213" s="113"/>
    </row>
    <row r="214" spans="1:28" ht="71.25" customHeight="1" x14ac:dyDescent="0.25">
      <c r="A214" s="785"/>
      <c r="B214" s="151" t="s">
        <v>475</v>
      </c>
      <c r="C214" s="152" t="s">
        <v>476</v>
      </c>
      <c r="D214" s="151" t="s">
        <v>477</v>
      </c>
      <c r="E214" s="151" t="s">
        <v>468</v>
      </c>
      <c r="F214" s="153">
        <v>20</v>
      </c>
      <c r="G214" s="153">
        <v>13</v>
      </c>
      <c r="H214" s="155">
        <v>3</v>
      </c>
      <c r="I214" s="183">
        <v>1.8</v>
      </c>
      <c r="J214" s="182">
        <f t="shared" si="6"/>
        <v>0.6</v>
      </c>
      <c r="K214" s="181">
        <v>0</v>
      </c>
      <c r="L214" s="181">
        <v>0</v>
      </c>
      <c r="M214" s="181">
        <v>0</v>
      </c>
      <c r="N214" s="179" t="s">
        <v>604</v>
      </c>
      <c r="O214" s="113"/>
      <c r="P214" s="113"/>
      <c r="Q214" s="113"/>
      <c r="R214" s="113"/>
      <c r="S214" s="113"/>
      <c r="T214" s="113"/>
      <c r="U214" s="113"/>
      <c r="V214" s="113"/>
      <c r="W214" s="113"/>
      <c r="X214" s="113"/>
      <c r="Y214" s="113"/>
      <c r="Z214" s="113"/>
      <c r="AA214" s="113"/>
      <c r="AB214" s="113"/>
    </row>
    <row r="215" spans="1:28" ht="60.75" customHeight="1" x14ac:dyDescent="0.25">
      <c r="A215" s="784" t="s">
        <v>427</v>
      </c>
      <c r="B215" s="175" t="s">
        <v>456</v>
      </c>
      <c r="C215" s="137" t="s">
        <v>457</v>
      </c>
      <c r="D215" s="136" t="s">
        <v>458</v>
      </c>
      <c r="E215" s="136" t="s">
        <v>459</v>
      </c>
      <c r="F215" s="138">
        <v>20</v>
      </c>
      <c r="G215" s="180">
        <v>24</v>
      </c>
      <c r="H215" s="181">
        <v>7</v>
      </c>
      <c r="I215" s="181">
        <v>4.9800000000000004</v>
      </c>
      <c r="J215" s="182">
        <f t="shared" si="6"/>
        <v>0.71142857142857152</v>
      </c>
      <c r="K215" s="181">
        <v>0</v>
      </c>
      <c r="L215" s="181">
        <v>0</v>
      </c>
      <c r="M215" s="181">
        <v>0</v>
      </c>
      <c r="N215" s="167" t="s">
        <v>605</v>
      </c>
      <c r="O215" s="113"/>
      <c r="P215" s="113"/>
      <c r="Q215" s="113"/>
      <c r="R215" s="113"/>
      <c r="S215" s="113"/>
      <c r="T215" s="113"/>
      <c r="U215" s="113"/>
      <c r="V215" s="113"/>
      <c r="W215" s="113"/>
      <c r="X215" s="113"/>
      <c r="Y215" s="113"/>
      <c r="Z215" s="113"/>
      <c r="AA215" s="113"/>
      <c r="AB215" s="113"/>
    </row>
    <row r="216" spans="1:28" ht="65.25" customHeight="1" x14ac:dyDescent="0.25">
      <c r="A216" s="579"/>
      <c r="B216" s="176" t="s">
        <v>461</v>
      </c>
      <c r="C216" s="144" t="s">
        <v>462</v>
      </c>
      <c r="D216" s="143" t="s">
        <v>463</v>
      </c>
      <c r="E216" s="143" t="s">
        <v>459</v>
      </c>
      <c r="F216" s="145">
        <v>20</v>
      </c>
      <c r="G216" s="145">
        <v>15</v>
      </c>
      <c r="H216" s="30">
        <v>4</v>
      </c>
      <c r="I216" s="177">
        <v>2.92</v>
      </c>
      <c r="J216" s="182">
        <f t="shared" si="6"/>
        <v>0.73</v>
      </c>
      <c r="K216" s="181">
        <v>0</v>
      </c>
      <c r="L216" s="181">
        <v>0</v>
      </c>
      <c r="M216" s="181">
        <v>0</v>
      </c>
      <c r="N216" s="167" t="s">
        <v>606</v>
      </c>
      <c r="O216" s="113"/>
      <c r="P216" s="113"/>
      <c r="Q216" s="113"/>
      <c r="R216" s="113"/>
      <c r="S216" s="113"/>
      <c r="T216" s="113"/>
      <c r="U216" s="113"/>
      <c r="V216" s="113"/>
      <c r="W216" s="113"/>
      <c r="X216" s="113"/>
      <c r="Y216" s="113"/>
      <c r="Z216" s="113"/>
      <c r="AA216" s="113"/>
      <c r="AB216" s="113"/>
    </row>
    <row r="217" spans="1:28" ht="59.25" customHeight="1" x14ac:dyDescent="0.25">
      <c r="A217" s="579"/>
      <c r="B217" s="176" t="s">
        <v>465</v>
      </c>
      <c r="C217" s="144" t="s">
        <v>466</v>
      </c>
      <c r="D217" s="143" t="s">
        <v>467</v>
      </c>
      <c r="E217" s="143" t="s">
        <v>468</v>
      </c>
      <c r="F217" s="145">
        <v>20</v>
      </c>
      <c r="G217" s="145">
        <v>15</v>
      </c>
      <c r="H217" s="30">
        <v>3</v>
      </c>
      <c r="I217" s="30">
        <v>2.15</v>
      </c>
      <c r="J217" s="182">
        <f t="shared" si="6"/>
        <v>0.71666666666666667</v>
      </c>
      <c r="K217" s="181">
        <v>0</v>
      </c>
      <c r="L217" s="181">
        <v>0</v>
      </c>
      <c r="M217" s="181">
        <v>0</v>
      </c>
      <c r="N217" s="167" t="s">
        <v>607</v>
      </c>
      <c r="O217" s="113"/>
      <c r="P217" s="113"/>
      <c r="Q217" s="113"/>
      <c r="R217" s="113"/>
      <c r="S217" s="113"/>
      <c r="T217" s="113"/>
      <c r="U217" s="113"/>
      <c r="V217" s="113"/>
      <c r="W217" s="113"/>
      <c r="X217" s="113"/>
      <c r="Y217" s="113"/>
      <c r="Z217" s="113"/>
      <c r="AA217" s="113"/>
      <c r="AB217" s="113"/>
    </row>
    <row r="218" spans="1:28" ht="65.25" customHeight="1" x14ac:dyDescent="0.25">
      <c r="A218" s="579"/>
      <c r="B218" s="176" t="s">
        <v>470</v>
      </c>
      <c r="C218" s="144" t="s">
        <v>471</v>
      </c>
      <c r="D218" s="143" t="s">
        <v>472</v>
      </c>
      <c r="E218" s="143" t="s">
        <v>473</v>
      </c>
      <c r="F218" s="145">
        <v>20</v>
      </c>
      <c r="G218" s="149">
        <v>0.38</v>
      </c>
      <c r="H218" s="150">
        <v>0.12</v>
      </c>
      <c r="I218" s="147">
        <f>9.47%-L218</f>
        <v>9.0500000000000011E-2</v>
      </c>
      <c r="J218" s="182">
        <f t="shared" si="6"/>
        <v>0.75416666666666676</v>
      </c>
      <c r="K218" s="147">
        <v>4.1999999999999997E-3</v>
      </c>
      <c r="L218" s="147">
        <v>4.1999999999999997E-3</v>
      </c>
      <c r="M218" s="147">
        <f>L218/K218</f>
        <v>1</v>
      </c>
      <c r="N218" s="167" t="s">
        <v>608</v>
      </c>
      <c r="O218" s="113"/>
      <c r="P218" s="113"/>
      <c r="Q218" s="113"/>
      <c r="R218" s="113"/>
      <c r="S218" s="113"/>
      <c r="T218" s="113"/>
      <c r="U218" s="113"/>
      <c r="V218" s="113"/>
      <c r="W218" s="113"/>
      <c r="X218" s="113"/>
      <c r="Y218" s="113"/>
      <c r="Z218" s="113"/>
      <c r="AA218" s="113"/>
      <c r="AB218" s="113"/>
    </row>
    <row r="219" spans="1:28" ht="52.5" customHeight="1" x14ac:dyDescent="0.25">
      <c r="A219" s="785"/>
      <c r="B219" s="151" t="s">
        <v>475</v>
      </c>
      <c r="C219" s="152" t="s">
        <v>476</v>
      </c>
      <c r="D219" s="151" t="s">
        <v>477</v>
      </c>
      <c r="E219" s="151" t="s">
        <v>468</v>
      </c>
      <c r="F219" s="153">
        <v>20</v>
      </c>
      <c r="G219" s="153">
        <v>13</v>
      </c>
      <c r="H219" s="155">
        <v>3</v>
      </c>
      <c r="I219" s="183">
        <v>2.1</v>
      </c>
      <c r="J219" s="182">
        <f t="shared" si="6"/>
        <v>0.70000000000000007</v>
      </c>
      <c r="K219" s="181">
        <v>0</v>
      </c>
      <c r="L219" s="181">
        <v>0</v>
      </c>
      <c r="M219" s="181">
        <v>0</v>
      </c>
      <c r="N219" s="179" t="s">
        <v>609</v>
      </c>
      <c r="O219" s="113"/>
      <c r="P219" s="113"/>
      <c r="Q219" s="113"/>
      <c r="R219" s="113"/>
      <c r="S219" s="113"/>
      <c r="T219" s="113"/>
      <c r="U219" s="113"/>
      <c r="V219" s="113"/>
      <c r="W219" s="113"/>
      <c r="X219" s="113"/>
      <c r="Y219" s="113"/>
      <c r="Z219" s="113"/>
      <c r="AA219" s="113"/>
      <c r="AB219" s="113"/>
    </row>
    <row r="220" spans="1:28" ht="56.25" customHeight="1" x14ac:dyDescent="0.25">
      <c r="A220" s="784" t="s">
        <v>428</v>
      </c>
      <c r="B220" s="175" t="s">
        <v>456</v>
      </c>
      <c r="C220" s="137" t="s">
        <v>457</v>
      </c>
      <c r="D220" s="136" t="s">
        <v>458</v>
      </c>
      <c r="E220" s="136" t="s">
        <v>459</v>
      </c>
      <c r="F220" s="138">
        <v>20</v>
      </c>
      <c r="G220" s="180">
        <v>24</v>
      </c>
      <c r="H220" s="181">
        <v>7</v>
      </c>
      <c r="I220" s="181">
        <v>5.68</v>
      </c>
      <c r="J220" s="182">
        <f t="shared" si="6"/>
        <v>0.81142857142857139</v>
      </c>
      <c r="K220" s="181">
        <v>0</v>
      </c>
      <c r="L220" s="181">
        <v>0</v>
      </c>
      <c r="M220" s="181">
        <v>0</v>
      </c>
      <c r="N220" s="167" t="s">
        <v>610</v>
      </c>
      <c r="O220" s="113"/>
      <c r="P220" s="113"/>
      <c r="Q220" s="113"/>
      <c r="R220" s="113"/>
      <c r="S220" s="113"/>
      <c r="T220" s="113"/>
      <c r="U220" s="113"/>
      <c r="V220" s="113"/>
      <c r="W220" s="113"/>
      <c r="X220" s="113"/>
      <c r="Y220" s="113"/>
      <c r="Z220" s="113"/>
      <c r="AA220" s="113"/>
      <c r="AB220" s="113"/>
    </row>
    <row r="221" spans="1:28" ht="74.25" customHeight="1" x14ac:dyDescent="0.25">
      <c r="A221" s="579"/>
      <c r="B221" s="176" t="s">
        <v>461</v>
      </c>
      <c r="C221" s="144" t="s">
        <v>462</v>
      </c>
      <c r="D221" s="143" t="s">
        <v>463</v>
      </c>
      <c r="E221" s="143" t="s">
        <v>459</v>
      </c>
      <c r="F221" s="145">
        <v>20</v>
      </c>
      <c r="G221" s="145">
        <v>15</v>
      </c>
      <c r="H221" s="30">
        <v>4</v>
      </c>
      <c r="I221" s="177">
        <v>3.32</v>
      </c>
      <c r="J221" s="182">
        <f t="shared" si="6"/>
        <v>0.83</v>
      </c>
      <c r="K221" s="181">
        <v>0</v>
      </c>
      <c r="L221" s="181">
        <v>0</v>
      </c>
      <c r="M221" s="181">
        <v>0</v>
      </c>
      <c r="N221" s="167" t="s">
        <v>611</v>
      </c>
      <c r="O221" s="113"/>
      <c r="P221" s="113"/>
      <c r="Q221" s="113"/>
      <c r="R221" s="113"/>
      <c r="S221" s="113"/>
      <c r="T221" s="113"/>
      <c r="U221" s="113"/>
      <c r="V221" s="113"/>
      <c r="W221" s="113"/>
      <c r="X221" s="113"/>
      <c r="Y221" s="113"/>
      <c r="Z221" s="113"/>
      <c r="AA221" s="113"/>
      <c r="AB221" s="113"/>
    </row>
    <row r="222" spans="1:28" ht="51" customHeight="1" x14ac:dyDescent="0.25">
      <c r="A222" s="579"/>
      <c r="B222" s="176" t="s">
        <v>465</v>
      </c>
      <c r="C222" s="144" t="s">
        <v>466</v>
      </c>
      <c r="D222" s="143" t="s">
        <v>467</v>
      </c>
      <c r="E222" s="143" t="s">
        <v>468</v>
      </c>
      <c r="F222" s="145">
        <v>20</v>
      </c>
      <c r="G222" s="145">
        <v>15</v>
      </c>
      <c r="H222" s="30">
        <v>3</v>
      </c>
      <c r="I222" s="30">
        <v>2.44</v>
      </c>
      <c r="J222" s="182">
        <f t="shared" si="6"/>
        <v>0.81333333333333335</v>
      </c>
      <c r="K222" s="181">
        <v>0</v>
      </c>
      <c r="L222" s="181">
        <v>0</v>
      </c>
      <c r="M222" s="181">
        <v>0</v>
      </c>
      <c r="N222" s="167" t="s">
        <v>612</v>
      </c>
      <c r="O222" s="113"/>
      <c r="P222" s="113"/>
      <c r="Q222" s="113"/>
      <c r="R222" s="113"/>
      <c r="S222" s="113"/>
      <c r="T222" s="113"/>
      <c r="U222" s="113"/>
      <c r="V222" s="113"/>
      <c r="W222" s="113"/>
      <c r="X222" s="113"/>
      <c r="Y222" s="113"/>
      <c r="Z222" s="113"/>
      <c r="AA222" s="113"/>
      <c r="AB222" s="113"/>
    </row>
    <row r="223" spans="1:28" ht="56.25" customHeight="1" x14ac:dyDescent="0.25">
      <c r="A223" s="579"/>
      <c r="B223" s="176" t="s">
        <v>470</v>
      </c>
      <c r="C223" s="144" t="s">
        <v>471</v>
      </c>
      <c r="D223" s="143" t="s">
        <v>472</v>
      </c>
      <c r="E223" s="143" t="s">
        <v>473</v>
      </c>
      <c r="F223" s="145">
        <v>20</v>
      </c>
      <c r="G223" s="149">
        <v>0.38</v>
      </c>
      <c r="H223" s="150">
        <v>0.12</v>
      </c>
      <c r="I223" s="147">
        <f>10.5%-L223</f>
        <v>0.1008</v>
      </c>
      <c r="J223" s="182">
        <f t="shared" si="6"/>
        <v>0.84000000000000008</v>
      </c>
      <c r="K223" s="147">
        <v>4.1999999999999997E-3</v>
      </c>
      <c r="L223" s="147">
        <v>4.1999999999999997E-3</v>
      </c>
      <c r="M223" s="147">
        <f>L223/K223</f>
        <v>1</v>
      </c>
      <c r="N223" s="167" t="s">
        <v>613</v>
      </c>
      <c r="O223" s="113"/>
      <c r="P223" s="113"/>
      <c r="Q223" s="113"/>
      <c r="R223" s="113"/>
      <c r="S223" s="113"/>
      <c r="T223" s="113"/>
      <c r="U223" s="113"/>
      <c r="V223" s="113"/>
      <c r="W223" s="113"/>
      <c r="X223" s="113"/>
      <c r="Y223" s="113"/>
      <c r="Z223" s="113"/>
      <c r="AA223" s="113"/>
      <c r="AB223" s="113"/>
    </row>
    <row r="224" spans="1:28" ht="69" customHeight="1" x14ac:dyDescent="0.25">
      <c r="A224" s="785"/>
      <c r="B224" s="151" t="s">
        <v>475</v>
      </c>
      <c r="C224" s="152" t="s">
        <v>476</v>
      </c>
      <c r="D224" s="151" t="s">
        <v>477</v>
      </c>
      <c r="E224" s="151" t="s">
        <v>468</v>
      </c>
      <c r="F224" s="153">
        <v>20</v>
      </c>
      <c r="G224" s="153">
        <v>13</v>
      </c>
      <c r="H224" s="155">
        <v>3</v>
      </c>
      <c r="I224" s="183">
        <v>2.4</v>
      </c>
      <c r="J224" s="182">
        <f t="shared" si="6"/>
        <v>0.79999999999999993</v>
      </c>
      <c r="K224" s="181">
        <v>0</v>
      </c>
      <c r="L224" s="181">
        <v>0</v>
      </c>
      <c r="M224" s="181">
        <v>0</v>
      </c>
      <c r="N224" s="179" t="s">
        <v>614</v>
      </c>
      <c r="O224" s="113"/>
      <c r="P224" s="113"/>
      <c r="Q224" s="113"/>
      <c r="R224" s="113"/>
      <c r="S224" s="113"/>
      <c r="T224" s="113"/>
      <c r="U224" s="113"/>
      <c r="V224" s="113"/>
      <c r="W224" s="113"/>
      <c r="X224" s="113"/>
      <c r="Y224" s="113"/>
      <c r="Z224" s="113"/>
      <c r="AA224" s="113"/>
      <c r="AB224" s="113"/>
    </row>
    <row r="225" spans="1:28" ht="15.75" customHeight="1" x14ac:dyDescent="0.25">
      <c r="A225" s="784" t="s">
        <v>429</v>
      </c>
      <c r="B225" s="175" t="s">
        <v>456</v>
      </c>
      <c r="C225" s="137" t="s">
        <v>457</v>
      </c>
      <c r="D225" s="136" t="s">
        <v>458</v>
      </c>
      <c r="E225" s="136" t="s">
        <v>459</v>
      </c>
      <c r="F225" s="138">
        <v>20</v>
      </c>
      <c r="G225" s="180">
        <v>24</v>
      </c>
      <c r="H225" s="181">
        <v>7</v>
      </c>
      <c r="I225" s="181">
        <v>6.34</v>
      </c>
      <c r="J225" s="182">
        <f t="shared" si="6"/>
        <v>0.90571428571428569</v>
      </c>
      <c r="K225" s="181">
        <v>0</v>
      </c>
      <c r="L225" s="181">
        <v>0</v>
      </c>
      <c r="M225" s="181">
        <v>0</v>
      </c>
      <c r="N225" s="167" t="s">
        <v>615</v>
      </c>
      <c r="O225" s="113"/>
      <c r="P225" s="113"/>
      <c r="Q225" s="113"/>
      <c r="R225" s="113"/>
      <c r="S225" s="113"/>
      <c r="T225" s="113"/>
      <c r="U225" s="113"/>
      <c r="V225" s="113"/>
      <c r="W225" s="113"/>
      <c r="X225" s="113"/>
      <c r="Y225" s="113"/>
      <c r="Z225" s="113"/>
      <c r="AA225" s="113"/>
      <c r="AB225" s="113"/>
    </row>
    <row r="226" spans="1:28" ht="15.75" customHeight="1" x14ac:dyDescent="0.25">
      <c r="A226" s="579"/>
      <c r="B226" s="176" t="s">
        <v>461</v>
      </c>
      <c r="C226" s="144" t="s">
        <v>462</v>
      </c>
      <c r="D226" s="143" t="s">
        <v>463</v>
      </c>
      <c r="E226" s="143" t="s">
        <v>459</v>
      </c>
      <c r="F226" s="145">
        <v>20</v>
      </c>
      <c r="G226" s="145">
        <v>15</v>
      </c>
      <c r="H226" s="30">
        <v>4</v>
      </c>
      <c r="I226" s="177">
        <v>3.68</v>
      </c>
      <c r="J226" s="182">
        <f t="shared" si="6"/>
        <v>0.92</v>
      </c>
      <c r="K226" s="181">
        <v>0</v>
      </c>
      <c r="L226" s="181">
        <v>0</v>
      </c>
      <c r="M226" s="181">
        <v>0</v>
      </c>
      <c r="N226" s="167" t="s">
        <v>616</v>
      </c>
      <c r="O226" s="113"/>
      <c r="P226" s="113"/>
      <c r="Q226" s="113"/>
      <c r="R226" s="113"/>
      <c r="S226" s="113"/>
      <c r="T226" s="113"/>
      <c r="U226" s="113"/>
      <c r="V226" s="113"/>
      <c r="W226" s="113"/>
      <c r="X226" s="113"/>
      <c r="Y226" s="113"/>
      <c r="Z226" s="113"/>
      <c r="AA226" s="113"/>
      <c r="AB226" s="113"/>
    </row>
    <row r="227" spans="1:28" ht="15.75" customHeight="1" x14ac:dyDescent="0.25">
      <c r="A227" s="579"/>
      <c r="B227" s="176" t="s">
        <v>465</v>
      </c>
      <c r="C227" s="144" t="s">
        <v>466</v>
      </c>
      <c r="D227" s="143" t="s">
        <v>467</v>
      </c>
      <c r="E227" s="143" t="s">
        <v>468</v>
      </c>
      <c r="F227" s="145">
        <v>20</v>
      </c>
      <c r="G227" s="145">
        <v>15</v>
      </c>
      <c r="H227" s="30">
        <v>3</v>
      </c>
      <c r="I227" s="30">
        <v>2.7</v>
      </c>
      <c r="J227" s="182">
        <f t="shared" si="6"/>
        <v>0.9</v>
      </c>
      <c r="K227" s="181">
        <v>0</v>
      </c>
      <c r="L227" s="181">
        <v>0</v>
      </c>
      <c r="M227" s="181">
        <v>0</v>
      </c>
      <c r="N227" s="167" t="s">
        <v>617</v>
      </c>
      <c r="O227" s="113"/>
      <c r="P227" s="113"/>
      <c r="Q227" s="113"/>
      <c r="R227" s="113"/>
      <c r="S227" s="113"/>
      <c r="T227" s="113"/>
      <c r="U227" s="113"/>
      <c r="V227" s="113"/>
      <c r="W227" s="113"/>
      <c r="X227" s="113"/>
      <c r="Y227" s="113"/>
      <c r="Z227" s="113"/>
      <c r="AA227" s="113"/>
      <c r="AB227" s="113"/>
    </row>
    <row r="228" spans="1:28" ht="15.75" customHeight="1" x14ac:dyDescent="0.25">
      <c r="A228" s="579"/>
      <c r="B228" s="176" t="s">
        <v>470</v>
      </c>
      <c r="C228" s="144" t="s">
        <v>471</v>
      </c>
      <c r="D228" s="143" t="s">
        <v>472</v>
      </c>
      <c r="E228" s="143" t="s">
        <v>473</v>
      </c>
      <c r="F228" s="145">
        <v>20</v>
      </c>
      <c r="G228" s="149">
        <v>0.38</v>
      </c>
      <c r="H228" s="150">
        <v>0.12</v>
      </c>
      <c r="I228" s="147">
        <f>11.53%-L228</f>
        <v>0.1111</v>
      </c>
      <c r="J228" s="182">
        <f t="shared" si="6"/>
        <v>0.9258333333333334</v>
      </c>
      <c r="K228" s="147">
        <v>4.1999999999999997E-3</v>
      </c>
      <c r="L228" s="147">
        <v>4.1999999999999997E-3</v>
      </c>
      <c r="M228" s="147">
        <f>L228/K228</f>
        <v>1</v>
      </c>
      <c r="N228" s="167" t="s">
        <v>618</v>
      </c>
      <c r="O228" s="113"/>
      <c r="P228" s="113"/>
      <c r="Q228" s="113"/>
      <c r="R228" s="113"/>
      <c r="S228" s="113"/>
      <c r="T228" s="113"/>
      <c r="U228" s="113"/>
      <c r="V228" s="113"/>
      <c r="W228" s="113"/>
      <c r="X228" s="113"/>
      <c r="Y228" s="113"/>
      <c r="Z228" s="113"/>
      <c r="AA228" s="113"/>
      <c r="AB228" s="113"/>
    </row>
    <row r="229" spans="1:28" ht="15.75" customHeight="1" x14ac:dyDescent="0.25">
      <c r="A229" s="785"/>
      <c r="B229" s="151" t="s">
        <v>475</v>
      </c>
      <c r="C229" s="152" t="s">
        <v>476</v>
      </c>
      <c r="D229" s="151" t="s">
        <v>477</v>
      </c>
      <c r="E229" s="151" t="s">
        <v>468</v>
      </c>
      <c r="F229" s="153">
        <v>20</v>
      </c>
      <c r="G229" s="153">
        <v>13</v>
      </c>
      <c r="H229" s="155">
        <v>3</v>
      </c>
      <c r="I229" s="183">
        <v>2.7</v>
      </c>
      <c r="J229" s="182">
        <f t="shared" si="6"/>
        <v>0.9</v>
      </c>
      <c r="K229" s="181">
        <v>0</v>
      </c>
      <c r="L229" s="181">
        <v>0</v>
      </c>
      <c r="M229" s="181">
        <v>0</v>
      </c>
      <c r="N229" s="179" t="s">
        <v>619</v>
      </c>
      <c r="O229" s="113"/>
      <c r="P229" s="113"/>
      <c r="Q229" s="113"/>
      <c r="R229" s="113"/>
      <c r="S229" s="113"/>
      <c r="T229" s="113"/>
      <c r="U229" s="113"/>
      <c r="V229" s="113"/>
      <c r="W229" s="113"/>
      <c r="X229" s="113"/>
      <c r="Y229" s="113"/>
      <c r="Z229" s="113"/>
      <c r="AA229" s="113"/>
      <c r="AB229" s="113"/>
    </row>
    <row r="230" spans="1:28" ht="48" customHeight="1" x14ac:dyDescent="0.25">
      <c r="A230" s="784" t="s">
        <v>430</v>
      </c>
      <c r="B230" s="175" t="s">
        <v>456</v>
      </c>
      <c r="C230" s="137" t="s">
        <v>457</v>
      </c>
      <c r="D230" s="136" t="s">
        <v>458</v>
      </c>
      <c r="E230" s="136" t="s">
        <v>459</v>
      </c>
      <c r="F230" s="138">
        <v>20</v>
      </c>
      <c r="G230" s="180">
        <v>24</v>
      </c>
      <c r="H230" s="181">
        <v>7</v>
      </c>
      <c r="I230" s="181">
        <v>7</v>
      </c>
      <c r="J230" s="182">
        <f t="shared" si="6"/>
        <v>1</v>
      </c>
      <c r="K230" s="181">
        <v>0</v>
      </c>
      <c r="L230" s="181">
        <v>0</v>
      </c>
      <c r="M230" s="181">
        <v>0</v>
      </c>
      <c r="N230" s="167" t="s">
        <v>620</v>
      </c>
      <c r="O230" s="113"/>
      <c r="P230" s="113"/>
      <c r="Q230" s="113"/>
      <c r="R230" s="113"/>
      <c r="S230" s="113"/>
      <c r="T230" s="113"/>
      <c r="U230" s="113"/>
      <c r="V230" s="113"/>
      <c r="W230" s="113"/>
      <c r="X230" s="113"/>
      <c r="Y230" s="113"/>
      <c r="Z230" s="113"/>
      <c r="AA230" s="113"/>
      <c r="AB230" s="113"/>
    </row>
    <row r="231" spans="1:28" ht="83.25" customHeight="1" x14ac:dyDescent="0.25">
      <c r="A231" s="579"/>
      <c r="B231" s="176" t="s">
        <v>461</v>
      </c>
      <c r="C231" s="144" t="s">
        <v>462</v>
      </c>
      <c r="D231" s="143" t="s">
        <v>463</v>
      </c>
      <c r="E231" s="143" t="s">
        <v>459</v>
      </c>
      <c r="F231" s="145">
        <v>20</v>
      </c>
      <c r="G231" s="145">
        <v>15</v>
      </c>
      <c r="H231" s="30">
        <v>4</v>
      </c>
      <c r="I231" s="177">
        <v>4</v>
      </c>
      <c r="J231" s="182">
        <f t="shared" si="6"/>
        <v>1</v>
      </c>
      <c r="K231" s="181">
        <v>0</v>
      </c>
      <c r="L231" s="181">
        <v>0</v>
      </c>
      <c r="M231" s="181">
        <v>0</v>
      </c>
      <c r="N231" s="167" t="s">
        <v>621</v>
      </c>
      <c r="O231" s="113"/>
      <c r="P231" s="113"/>
      <c r="Q231" s="113"/>
      <c r="R231" s="113"/>
      <c r="S231" s="113"/>
      <c r="T231" s="113"/>
      <c r="U231" s="113"/>
      <c r="V231" s="113"/>
      <c r="W231" s="113"/>
      <c r="X231" s="113"/>
      <c r="Y231" s="113"/>
      <c r="Z231" s="113"/>
      <c r="AA231" s="113"/>
      <c r="AB231" s="113"/>
    </row>
    <row r="232" spans="1:28" ht="51.75" customHeight="1" x14ac:dyDescent="0.25">
      <c r="A232" s="579"/>
      <c r="B232" s="176" t="s">
        <v>465</v>
      </c>
      <c r="C232" s="144" t="s">
        <v>466</v>
      </c>
      <c r="D232" s="143" t="s">
        <v>467</v>
      </c>
      <c r="E232" s="143" t="s">
        <v>468</v>
      </c>
      <c r="F232" s="145">
        <v>20</v>
      </c>
      <c r="G232" s="145">
        <v>15</v>
      </c>
      <c r="H232" s="30">
        <v>3</v>
      </c>
      <c r="I232" s="30">
        <v>3</v>
      </c>
      <c r="J232" s="182">
        <f t="shared" si="6"/>
        <v>1</v>
      </c>
      <c r="K232" s="181">
        <v>0</v>
      </c>
      <c r="L232" s="181">
        <v>0</v>
      </c>
      <c r="M232" s="181">
        <v>0</v>
      </c>
      <c r="N232" s="167" t="s">
        <v>622</v>
      </c>
      <c r="O232" s="113"/>
      <c r="P232" s="113"/>
      <c r="Q232" s="113"/>
      <c r="R232" s="113"/>
      <c r="S232" s="113"/>
      <c r="T232" s="113"/>
      <c r="U232" s="113"/>
      <c r="V232" s="113"/>
      <c r="W232" s="113"/>
      <c r="X232" s="113"/>
      <c r="Y232" s="113"/>
      <c r="Z232" s="113"/>
      <c r="AA232" s="113"/>
      <c r="AB232" s="113"/>
    </row>
    <row r="233" spans="1:28" ht="57" customHeight="1" x14ac:dyDescent="0.25">
      <c r="A233" s="579"/>
      <c r="B233" s="176" t="s">
        <v>470</v>
      </c>
      <c r="C233" s="144" t="s">
        <v>471</v>
      </c>
      <c r="D233" s="143" t="s">
        <v>472</v>
      </c>
      <c r="E233" s="143" t="s">
        <v>473</v>
      </c>
      <c r="F233" s="145">
        <v>20</v>
      </c>
      <c r="G233" s="149">
        <v>0.38</v>
      </c>
      <c r="H233" s="150">
        <v>0.12</v>
      </c>
      <c r="I233" s="147">
        <f>12.4%-L233</f>
        <v>0.1198</v>
      </c>
      <c r="J233" s="182">
        <f t="shared" si="6"/>
        <v>0.99833333333333341</v>
      </c>
      <c r="K233" s="147">
        <v>4.1999999999999997E-3</v>
      </c>
      <c r="L233" s="147">
        <v>4.1999999999999997E-3</v>
      </c>
      <c r="M233" s="147">
        <f>L233/K233</f>
        <v>1</v>
      </c>
      <c r="N233" s="167" t="s">
        <v>623</v>
      </c>
      <c r="O233" s="113"/>
      <c r="P233" s="113"/>
      <c r="Q233" s="113"/>
      <c r="R233" s="113"/>
      <c r="S233" s="113"/>
      <c r="T233" s="113"/>
      <c r="U233" s="113"/>
      <c r="V233" s="113"/>
      <c r="W233" s="113"/>
      <c r="X233" s="113"/>
      <c r="Y233" s="113"/>
      <c r="Z233" s="113"/>
      <c r="AA233" s="113"/>
      <c r="AB233" s="113"/>
    </row>
    <row r="234" spans="1:28" ht="70.5" customHeight="1" x14ac:dyDescent="0.25">
      <c r="A234" s="785"/>
      <c r="B234" s="151" t="s">
        <v>475</v>
      </c>
      <c r="C234" s="152" t="s">
        <v>476</v>
      </c>
      <c r="D234" s="151" t="s">
        <v>477</v>
      </c>
      <c r="E234" s="151" t="s">
        <v>468</v>
      </c>
      <c r="F234" s="153">
        <v>20</v>
      </c>
      <c r="G234" s="153">
        <v>13</v>
      </c>
      <c r="H234" s="155">
        <v>3</v>
      </c>
      <c r="I234" s="183">
        <v>3</v>
      </c>
      <c r="J234" s="182">
        <f t="shared" si="6"/>
        <v>1</v>
      </c>
      <c r="K234" s="181">
        <v>0</v>
      </c>
      <c r="L234" s="181">
        <v>0</v>
      </c>
      <c r="M234" s="181">
        <v>0</v>
      </c>
      <c r="N234" s="179" t="s">
        <v>624</v>
      </c>
      <c r="O234" s="113"/>
      <c r="P234" s="113"/>
      <c r="Q234" s="113"/>
      <c r="R234" s="113"/>
      <c r="S234" s="113"/>
      <c r="T234" s="113"/>
      <c r="U234" s="113"/>
      <c r="V234" s="113"/>
      <c r="W234" s="113"/>
      <c r="X234" s="113"/>
      <c r="Y234" s="113"/>
      <c r="Z234" s="113"/>
      <c r="AA234" s="113"/>
      <c r="AB234" s="113"/>
    </row>
    <row r="235" spans="1:28" ht="15.75" customHeight="1" x14ac:dyDescent="0.25">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row>
    <row r="236" spans="1:28" ht="15.75" customHeight="1" x14ac:dyDescent="0.25">
      <c r="A236" s="770" t="s">
        <v>625</v>
      </c>
      <c r="B236" s="592"/>
      <c r="C236" s="592"/>
      <c r="D236" s="592"/>
      <c r="E236" s="592"/>
      <c r="F236" s="592"/>
      <c r="G236" s="592"/>
      <c r="H236" s="592"/>
      <c r="I236" s="592"/>
      <c r="J236" s="592"/>
      <c r="K236" s="592"/>
      <c r="L236" s="592"/>
      <c r="M236" s="592"/>
      <c r="N236" s="689"/>
      <c r="O236" s="113"/>
      <c r="P236" s="113"/>
      <c r="Q236" s="113"/>
      <c r="R236" s="113"/>
      <c r="S236" s="113"/>
      <c r="T236" s="113"/>
      <c r="U236" s="113"/>
      <c r="V236" s="113"/>
      <c r="W236" s="113"/>
      <c r="X236" s="113"/>
      <c r="Y236" s="113"/>
      <c r="Z236" s="113"/>
      <c r="AA236" s="113"/>
      <c r="AB236" s="113"/>
    </row>
    <row r="237" spans="1:28" ht="44.25" customHeight="1" x14ac:dyDescent="0.25">
      <c r="A237" s="114" t="s">
        <v>28</v>
      </c>
      <c r="B237" s="115" t="s">
        <v>443</v>
      </c>
      <c r="C237" s="115" t="s">
        <v>444</v>
      </c>
      <c r="D237" s="115" t="s">
        <v>445</v>
      </c>
      <c r="E237" s="115" t="s">
        <v>446</v>
      </c>
      <c r="F237" s="115" t="s">
        <v>626</v>
      </c>
      <c r="G237" s="115" t="s">
        <v>448</v>
      </c>
      <c r="H237" s="115" t="s">
        <v>627</v>
      </c>
      <c r="I237" s="115" t="s">
        <v>628</v>
      </c>
      <c r="J237" s="164" t="s">
        <v>629</v>
      </c>
      <c r="K237" s="115" t="s">
        <v>452</v>
      </c>
      <c r="L237" s="115" t="s">
        <v>453</v>
      </c>
      <c r="M237" s="115" t="s">
        <v>454</v>
      </c>
      <c r="N237" s="116" t="s">
        <v>564</v>
      </c>
      <c r="O237" s="113"/>
      <c r="P237" s="113"/>
      <c r="Q237" s="113"/>
      <c r="R237" s="113"/>
      <c r="S237" s="113"/>
      <c r="T237" s="113"/>
      <c r="U237" s="113"/>
      <c r="V237" s="113"/>
      <c r="W237" s="113"/>
      <c r="X237" s="113"/>
      <c r="Y237" s="113"/>
      <c r="Z237" s="113"/>
      <c r="AA237" s="113"/>
      <c r="AB237" s="113"/>
    </row>
    <row r="238" spans="1:28" ht="48" customHeight="1" x14ac:dyDescent="0.25">
      <c r="A238" s="784" t="s">
        <v>432</v>
      </c>
      <c r="B238" s="175" t="s">
        <v>456</v>
      </c>
      <c r="C238" s="137" t="s">
        <v>457</v>
      </c>
      <c r="D238" s="136" t="s">
        <v>458</v>
      </c>
      <c r="E238" s="136" t="s">
        <v>459</v>
      </c>
      <c r="F238" s="138">
        <v>20</v>
      </c>
      <c r="G238" s="180">
        <v>24</v>
      </c>
      <c r="H238" s="181">
        <v>6</v>
      </c>
      <c r="I238" s="181">
        <v>0.12</v>
      </c>
      <c r="J238" s="182">
        <f t="shared" ref="J238:J277" si="7">I238/H238</f>
        <v>0.02</v>
      </c>
      <c r="K238" s="181">
        <v>0</v>
      </c>
      <c r="L238" s="181">
        <v>0</v>
      </c>
      <c r="M238" s="181">
        <v>0</v>
      </c>
      <c r="N238" s="167" t="s">
        <v>630</v>
      </c>
      <c r="O238" s="113"/>
      <c r="P238" s="113"/>
      <c r="Q238" s="113"/>
      <c r="R238" s="113"/>
      <c r="S238" s="113"/>
      <c r="T238" s="113"/>
      <c r="U238" s="113"/>
      <c r="V238" s="113"/>
      <c r="W238" s="113"/>
      <c r="X238" s="113"/>
      <c r="Y238" s="113"/>
      <c r="Z238" s="113"/>
      <c r="AA238" s="113"/>
      <c r="AB238" s="113"/>
    </row>
    <row r="239" spans="1:28" ht="44.25" customHeight="1" x14ac:dyDescent="0.25">
      <c r="A239" s="579"/>
      <c r="B239" s="176" t="s">
        <v>461</v>
      </c>
      <c r="C239" s="144" t="s">
        <v>462</v>
      </c>
      <c r="D239" s="143" t="s">
        <v>463</v>
      </c>
      <c r="E239" s="143" t="s">
        <v>459</v>
      </c>
      <c r="F239" s="145">
        <v>20</v>
      </c>
      <c r="G239" s="145">
        <v>15</v>
      </c>
      <c r="H239" s="30">
        <v>5</v>
      </c>
      <c r="I239" s="177">
        <v>0.15</v>
      </c>
      <c r="J239" s="182">
        <f t="shared" si="7"/>
        <v>0.03</v>
      </c>
      <c r="K239" s="181">
        <v>0</v>
      </c>
      <c r="L239" s="181">
        <v>0</v>
      </c>
      <c r="M239" s="181">
        <v>0</v>
      </c>
      <c r="N239" s="167" t="s">
        <v>631</v>
      </c>
      <c r="O239" s="113"/>
      <c r="P239" s="113"/>
      <c r="Q239" s="113"/>
      <c r="R239" s="113"/>
      <c r="S239" s="113"/>
      <c r="T239" s="113"/>
      <c r="U239" s="113"/>
      <c r="V239" s="113"/>
      <c r="W239" s="113"/>
      <c r="X239" s="113"/>
      <c r="Y239" s="113"/>
      <c r="Z239" s="113"/>
      <c r="AA239" s="113"/>
      <c r="AB239" s="113"/>
    </row>
    <row r="240" spans="1:28" ht="48.75" customHeight="1" x14ac:dyDescent="0.25">
      <c r="A240" s="579"/>
      <c r="B240" s="176" t="s">
        <v>465</v>
      </c>
      <c r="C240" s="144" t="s">
        <v>466</v>
      </c>
      <c r="D240" s="143" t="s">
        <v>467</v>
      </c>
      <c r="E240" s="143" t="s">
        <v>468</v>
      </c>
      <c r="F240" s="145">
        <v>20</v>
      </c>
      <c r="G240" s="145">
        <v>15</v>
      </c>
      <c r="H240" s="30">
        <v>3</v>
      </c>
      <c r="I240" s="30">
        <v>0.09</v>
      </c>
      <c r="J240" s="182">
        <f t="shared" si="7"/>
        <v>0.03</v>
      </c>
      <c r="K240" s="181">
        <v>0</v>
      </c>
      <c r="L240" s="181">
        <v>0</v>
      </c>
      <c r="M240" s="181">
        <v>0</v>
      </c>
      <c r="N240" s="167" t="s">
        <v>632</v>
      </c>
      <c r="O240" s="113"/>
      <c r="P240" s="113"/>
      <c r="Q240" s="113"/>
      <c r="R240" s="113"/>
      <c r="S240" s="113"/>
      <c r="T240" s="113"/>
      <c r="U240" s="113"/>
      <c r="V240" s="113"/>
      <c r="W240" s="113"/>
      <c r="X240" s="113"/>
      <c r="Y240" s="113"/>
      <c r="Z240" s="113"/>
      <c r="AA240" s="113"/>
      <c r="AB240" s="113"/>
    </row>
    <row r="241" spans="1:28" ht="54" customHeight="1" x14ac:dyDescent="0.25">
      <c r="A241" s="579"/>
      <c r="B241" s="176" t="s">
        <v>470</v>
      </c>
      <c r="C241" s="144" t="s">
        <v>471</v>
      </c>
      <c r="D241" s="143" t="s">
        <v>472</v>
      </c>
      <c r="E241" s="143" t="s">
        <v>473</v>
      </c>
      <c r="F241" s="145">
        <v>20</v>
      </c>
      <c r="G241" s="149">
        <v>0.38</v>
      </c>
      <c r="H241" s="150">
        <v>0.09</v>
      </c>
      <c r="I241" s="147">
        <f>0.24%-L241</f>
        <v>1.8E-3</v>
      </c>
      <c r="J241" s="182">
        <f t="shared" si="7"/>
        <v>0.02</v>
      </c>
      <c r="K241" s="147">
        <v>3.5999999999999999E-3</v>
      </c>
      <c r="L241" s="147">
        <v>5.9999999999999995E-4</v>
      </c>
      <c r="M241" s="147">
        <f>L241/K241</f>
        <v>0.16666666666666666</v>
      </c>
      <c r="N241" s="167" t="s">
        <v>633</v>
      </c>
      <c r="O241" s="113"/>
      <c r="P241" s="113"/>
      <c r="Q241" s="113"/>
      <c r="R241" s="113"/>
      <c r="S241" s="113"/>
      <c r="T241" s="113"/>
      <c r="U241" s="113"/>
      <c r="V241" s="113"/>
      <c r="W241" s="113"/>
      <c r="X241" s="113"/>
      <c r="Y241" s="113"/>
      <c r="Z241" s="113"/>
      <c r="AA241" s="113"/>
      <c r="AB241" s="113"/>
    </row>
    <row r="242" spans="1:28" ht="59.25" customHeight="1" x14ac:dyDescent="0.25">
      <c r="A242" s="785"/>
      <c r="B242" s="151" t="s">
        <v>475</v>
      </c>
      <c r="C242" s="152" t="s">
        <v>476</v>
      </c>
      <c r="D242" s="151" t="s">
        <v>477</v>
      </c>
      <c r="E242" s="151" t="s">
        <v>468</v>
      </c>
      <c r="F242" s="153">
        <v>20</v>
      </c>
      <c r="G242" s="153">
        <v>13</v>
      </c>
      <c r="H242" s="155">
        <v>3</v>
      </c>
      <c r="I242" s="183">
        <v>0.06</v>
      </c>
      <c r="J242" s="182">
        <f t="shared" si="7"/>
        <v>0.02</v>
      </c>
      <c r="K242" s="181">
        <v>0</v>
      </c>
      <c r="L242" s="181">
        <v>0</v>
      </c>
      <c r="M242" s="181">
        <v>0</v>
      </c>
      <c r="N242" s="179" t="s">
        <v>634</v>
      </c>
      <c r="O242" s="113"/>
      <c r="P242" s="113"/>
      <c r="Q242" s="113"/>
      <c r="R242" s="113"/>
      <c r="S242" s="113"/>
      <c r="T242" s="113"/>
      <c r="U242" s="113"/>
      <c r="V242" s="113"/>
      <c r="W242" s="113"/>
      <c r="X242" s="113"/>
      <c r="Y242" s="113"/>
      <c r="Z242" s="113"/>
      <c r="AA242" s="113"/>
      <c r="AB242" s="113"/>
    </row>
    <row r="243" spans="1:28" ht="49.5" customHeight="1" x14ac:dyDescent="0.25">
      <c r="A243" s="784" t="s">
        <v>434</v>
      </c>
      <c r="B243" s="175" t="s">
        <v>456</v>
      </c>
      <c r="C243" s="137" t="s">
        <v>457</v>
      </c>
      <c r="D243" s="136" t="s">
        <v>458</v>
      </c>
      <c r="E243" s="136" t="s">
        <v>459</v>
      </c>
      <c r="F243" s="138">
        <v>20</v>
      </c>
      <c r="G243" s="180">
        <v>24</v>
      </c>
      <c r="H243" s="181">
        <v>6</v>
      </c>
      <c r="I243" s="181">
        <v>0.24</v>
      </c>
      <c r="J243" s="182">
        <f t="shared" si="7"/>
        <v>0.04</v>
      </c>
      <c r="K243" s="181">
        <v>0</v>
      </c>
      <c r="L243" s="181">
        <v>0</v>
      </c>
      <c r="M243" s="181">
        <v>0</v>
      </c>
      <c r="N243" s="167" t="s">
        <v>635</v>
      </c>
      <c r="O243" s="113"/>
      <c r="P243" s="113"/>
      <c r="Q243" s="113"/>
      <c r="R243" s="113"/>
      <c r="S243" s="113"/>
      <c r="T243" s="113"/>
      <c r="U243" s="113"/>
      <c r="V243" s="113"/>
      <c r="W243" s="113"/>
      <c r="X243" s="113"/>
      <c r="Y243" s="113"/>
      <c r="Z243" s="113"/>
      <c r="AA243" s="113"/>
      <c r="AB243" s="113"/>
    </row>
    <row r="244" spans="1:28" ht="76.5" customHeight="1" x14ac:dyDescent="0.25">
      <c r="A244" s="579"/>
      <c r="B244" s="176" t="s">
        <v>461</v>
      </c>
      <c r="C244" s="144" t="s">
        <v>462</v>
      </c>
      <c r="D244" s="143" t="s">
        <v>463</v>
      </c>
      <c r="E244" s="143" t="s">
        <v>459</v>
      </c>
      <c r="F244" s="145">
        <v>20</v>
      </c>
      <c r="G244" s="145">
        <v>15</v>
      </c>
      <c r="H244" s="30">
        <v>5</v>
      </c>
      <c r="I244" s="177">
        <v>0.35</v>
      </c>
      <c r="J244" s="182">
        <f t="shared" si="7"/>
        <v>6.9999999999999993E-2</v>
      </c>
      <c r="K244" s="181">
        <v>0</v>
      </c>
      <c r="L244" s="181">
        <v>0</v>
      </c>
      <c r="M244" s="181">
        <v>0</v>
      </c>
      <c r="N244" s="167" t="s">
        <v>636</v>
      </c>
      <c r="O244" s="113"/>
      <c r="P244" s="113"/>
      <c r="Q244" s="113"/>
      <c r="R244" s="113"/>
      <c r="S244" s="113"/>
      <c r="T244" s="113"/>
      <c r="U244" s="113"/>
      <c r="V244" s="113"/>
      <c r="W244" s="113"/>
      <c r="X244" s="113"/>
      <c r="Y244" s="113"/>
      <c r="Z244" s="113"/>
      <c r="AA244" s="113"/>
      <c r="AB244" s="113"/>
    </row>
    <row r="245" spans="1:28" ht="58.5" customHeight="1" x14ac:dyDescent="0.25">
      <c r="A245" s="579"/>
      <c r="B245" s="176" t="s">
        <v>465</v>
      </c>
      <c r="C245" s="144" t="s">
        <v>466</v>
      </c>
      <c r="D245" s="143" t="s">
        <v>467</v>
      </c>
      <c r="E245" s="143" t="s">
        <v>468</v>
      </c>
      <c r="F245" s="145">
        <v>20</v>
      </c>
      <c r="G245" s="145">
        <v>15</v>
      </c>
      <c r="H245" s="30">
        <v>3</v>
      </c>
      <c r="I245" s="30">
        <v>0.21</v>
      </c>
      <c r="J245" s="182">
        <f t="shared" si="7"/>
        <v>6.9999999999999993E-2</v>
      </c>
      <c r="K245" s="181">
        <v>0</v>
      </c>
      <c r="L245" s="181">
        <v>0</v>
      </c>
      <c r="M245" s="181">
        <v>0</v>
      </c>
      <c r="N245" s="167" t="s">
        <v>637</v>
      </c>
      <c r="O245" s="113"/>
      <c r="P245" s="113"/>
      <c r="Q245" s="113"/>
      <c r="R245" s="113"/>
      <c r="S245" s="113"/>
      <c r="T245" s="113"/>
      <c r="U245" s="113"/>
      <c r="V245" s="113"/>
      <c r="W245" s="113"/>
      <c r="X245" s="113"/>
      <c r="Y245" s="113"/>
      <c r="Z245" s="113"/>
      <c r="AA245" s="113"/>
      <c r="AB245" s="113"/>
    </row>
    <row r="246" spans="1:28" ht="53.25" customHeight="1" x14ac:dyDescent="0.25">
      <c r="A246" s="579"/>
      <c r="B246" s="176" t="s">
        <v>470</v>
      </c>
      <c r="C246" s="144" t="s">
        <v>471</v>
      </c>
      <c r="D246" s="143" t="s">
        <v>472</v>
      </c>
      <c r="E246" s="143" t="s">
        <v>473</v>
      </c>
      <c r="F246" s="145">
        <v>20</v>
      </c>
      <c r="G246" s="149">
        <v>0.38</v>
      </c>
      <c r="H246" s="150">
        <v>0.09</v>
      </c>
      <c r="I246" s="147">
        <f>0.95%-L246</f>
        <v>7.7000000000000002E-3</v>
      </c>
      <c r="J246" s="182">
        <f t="shared" si="7"/>
        <v>8.5555555555555565E-2</v>
      </c>
      <c r="K246" s="147">
        <v>3.5999999999999999E-3</v>
      </c>
      <c r="L246" s="147">
        <v>1.8E-3</v>
      </c>
      <c r="M246" s="147">
        <f>L246/K246</f>
        <v>0.5</v>
      </c>
      <c r="N246" s="167" t="s">
        <v>638</v>
      </c>
      <c r="O246" s="113"/>
      <c r="P246" s="113"/>
      <c r="Q246" s="113"/>
      <c r="R246" s="113"/>
      <c r="S246" s="113"/>
      <c r="T246" s="113"/>
      <c r="U246" s="113"/>
      <c r="V246" s="113"/>
      <c r="W246" s="113"/>
      <c r="X246" s="113"/>
      <c r="Y246" s="113"/>
      <c r="Z246" s="113"/>
      <c r="AA246" s="113"/>
      <c r="AB246" s="113"/>
    </row>
    <row r="247" spans="1:28" ht="69.75" customHeight="1" x14ac:dyDescent="0.25">
      <c r="A247" s="785"/>
      <c r="B247" s="151" t="s">
        <v>475</v>
      </c>
      <c r="C247" s="152" t="s">
        <v>476</v>
      </c>
      <c r="D247" s="151" t="s">
        <v>477</v>
      </c>
      <c r="E247" s="151" t="s">
        <v>468</v>
      </c>
      <c r="F247" s="153">
        <v>20</v>
      </c>
      <c r="G247" s="153">
        <v>13</v>
      </c>
      <c r="H247" s="155">
        <v>3</v>
      </c>
      <c r="I247" s="183">
        <v>0.15</v>
      </c>
      <c r="J247" s="182">
        <f t="shared" si="7"/>
        <v>4.9999999999999996E-2</v>
      </c>
      <c r="K247" s="181">
        <v>0</v>
      </c>
      <c r="L247" s="181">
        <v>0</v>
      </c>
      <c r="M247" s="181">
        <v>0</v>
      </c>
      <c r="N247" s="179" t="s">
        <v>639</v>
      </c>
      <c r="O247" s="113"/>
      <c r="P247" s="113"/>
      <c r="Q247" s="113"/>
      <c r="R247" s="113"/>
      <c r="S247" s="113"/>
      <c r="T247" s="113"/>
      <c r="U247" s="113"/>
      <c r="V247" s="113"/>
      <c r="W247" s="113"/>
      <c r="X247" s="113"/>
      <c r="Y247" s="113"/>
      <c r="Z247" s="113"/>
      <c r="AA247" s="113"/>
      <c r="AB247" s="113"/>
    </row>
    <row r="248" spans="1:28" ht="56.25" customHeight="1" x14ac:dyDescent="0.25">
      <c r="A248" s="784" t="s">
        <v>435</v>
      </c>
      <c r="B248" s="175" t="s">
        <v>456</v>
      </c>
      <c r="C248" s="137" t="s">
        <v>457</v>
      </c>
      <c r="D248" s="136" t="s">
        <v>458</v>
      </c>
      <c r="E248" s="136" t="s">
        <v>459</v>
      </c>
      <c r="F248" s="138">
        <v>20</v>
      </c>
      <c r="G248" s="180">
        <v>24</v>
      </c>
      <c r="H248" s="181">
        <v>6</v>
      </c>
      <c r="I248" s="181">
        <v>0.54</v>
      </c>
      <c r="J248" s="182">
        <f t="shared" si="7"/>
        <v>9.0000000000000011E-2</v>
      </c>
      <c r="K248" s="181">
        <v>0</v>
      </c>
      <c r="L248" s="181">
        <v>0</v>
      </c>
      <c r="M248" s="181">
        <v>0</v>
      </c>
      <c r="N248" s="167" t="s">
        <v>640</v>
      </c>
      <c r="O248" s="113"/>
      <c r="P248" s="113"/>
      <c r="Q248" s="113"/>
      <c r="R248" s="113"/>
      <c r="S248" s="113"/>
      <c r="T248" s="113"/>
      <c r="U248" s="113"/>
      <c r="V248" s="113"/>
      <c r="W248" s="113"/>
      <c r="X248" s="113"/>
      <c r="Y248" s="113"/>
      <c r="Z248" s="113"/>
      <c r="AA248" s="113"/>
      <c r="AB248" s="113"/>
    </row>
    <row r="249" spans="1:28" ht="82.5" customHeight="1" x14ac:dyDescent="0.25">
      <c r="A249" s="579"/>
      <c r="B249" s="176" t="s">
        <v>461</v>
      </c>
      <c r="C249" s="144" t="s">
        <v>462</v>
      </c>
      <c r="D249" s="143" t="s">
        <v>463</v>
      </c>
      <c r="E249" s="143" t="s">
        <v>459</v>
      </c>
      <c r="F249" s="145">
        <v>20</v>
      </c>
      <c r="G249" s="145">
        <v>15</v>
      </c>
      <c r="H249" s="30">
        <v>5</v>
      </c>
      <c r="I249" s="177">
        <v>0.65</v>
      </c>
      <c r="J249" s="182">
        <f t="shared" si="7"/>
        <v>0.13</v>
      </c>
      <c r="K249" s="181">
        <v>0</v>
      </c>
      <c r="L249" s="181">
        <v>0</v>
      </c>
      <c r="M249" s="181">
        <v>0</v>
      </c>
      <c r="N249" s="167" t="s">
        <v>641</v>
      </c>
      <c r="O249" s="113"/>
      <c r="P249" s="113"/>
      <c r="Q249" s="113"/>
      <c r="R249" s="113"/>
      <c r="S249" s="113"/>
      <c r="T249" s="113"/>
      <c r="U249" s="113"/>
      <c r="V249" s="113"/>
      <c r="W249" s="113"/>
      <c r="X249" s="113"/>
      <c r="Y249" s="113"/>
      <c r="Z249" s="113"/>
      <c r="AA249" s="113"/>
      <c r="AB249" s="113"/>
    </row>
    <row r="250" spans="1:28" ht="63.75" customHeight="1" x14ac:dyDescent="0.25">
      <c r="A250" s="579"/>
      <c r="B250" s="176" t="s">
        <v>465</v>
      </c>
      <c r="C250" s="144" t="s">
        <v>466</v>
      </c>
      <c r="D250" s="143" t="s">
        <v>467</v>
      </c>
      <c r="E250" s="143" t="s">
        <v>468</v>
      </c>
      <c r="F250" s="145">
        <v>20</v>
      </c>
      <c r="G250" s="145">
        <v>15</v>
      </c>
      <c r="H250" s="30">
        <v>3</v>
      </c>
      <c r="I250" s="30">
        <v>0.39</v>
      </c>
      <c r="J250" s="182">
        <f t="shared" si="7"/>
        <v>0.13</v>
      </c>
      <c r="K250" s="181">
        <v>0</v>
      </c>
      <c r="L250" s="181">
        <v>0</v>
      </c>
      <c r="M250" s="181">
        <v>0</v>
      </c>
      <c r="N250" s="167" t="s">
        <v>577</v>
      </c>
      <c r="O250" s="113"/>
      <c r="P250" s="113"/>
      <c r="Q250" s="113"/>
      <c r="R250" s="113"/>
      <c r="S250" s="113"/>
      <c r="T250" s="113"/>
      <c r="U250" s="113"/>
      <c r="V250" s="113"/>
      <c r="W250" s="113"/>
      <c r="X250" s="113"/>
      <c r="Y250" s="113"/>
      <c r="Z250" s="113"/>
      <c r="AA250" s="113"/>
      <c r="AB250" s="113"/>
    </row>
    <row r="251" spans="1:28" ht="51.75" customHeight="1" x14ac:dyDescent="0.25">
      <c r="A251" s="579"/>
      <c r="B251" s="176" t="s">
        <v>470</v>
      </c>
      <c r="C251" s="144" t="s">
        <v>471</v>
      </c>
      <c r="D251" s="143" t="s">
        <v>472</v>
      </c>
      <c r="E251" s="143" t="s">
        <v>473</v>
      </c>
      <c r="F251" s="145">
        <v>20</v>
      </c>
      <c r="G251" s="149">
        <v>0.38</v>
      </c>
      <c r="H251" s="150">
        <v>0.09</v>
      </c>
      <c r="I251" s="147">
        <f>1.78%-L251</f>
        <v>1.54E-2</v>
      </c>
      <c r="J251" s="182">
        <f t="shared" si="7"/>
        <v>0.17111111111111113</v>
      </c>
      <c r="K251" s="147">
        <v>3.5999999999999999E-3</v>
      </c>
      <c r="L251" s="147">
        <v>2.3999999999999998E-3</v>
      </c>
      <c r="M251" s="147">
        <f>L251/K251</f>
        <v>0.66666666666666663</v>
      </c>
      <c r="N251" s="167" t="s">
        <v>642</v>
      </c>
      <c r="O251" s="113"/>
      <c r="P251" s="113"/>
      <c r="Q251" s="113"/>
      <c r="R251" s="113"/>
      <c r="S251" s="113"/>
      <c r="T251" s="113"/>
      <c r="U251" s="113"/>
      <c r="V251" s="113"/>
      <c r="W251" s="113"/>
      <c r="X251" s="113"/>
      <c r="Y251" s="113"/>
      <c r="Z251" s="113"/>
      <c r="AA251" s="113"/>
      <c r="AB251" s="113"/>
    </row>
    <row r="252" spans="1:28" ht="72.75" customHeight="1" x14ac:dyDescent="0.25">
      <c r="A252" s="785"/>
      <c r="B252" s="151" t="s">
        <v>475</v>
      </c>
      <c r="C252" s="152" t="s">
        <v>476</v>
      </c>
      <c r="D252" s="151" t="s">
        <v>477</v>
      </c>
      <c r="E252" s="151" t="s">
        <v>468</v>
      </c>
      <c r="F252" s="153">
        <v>20</v>
      </c>
      <c r="G252" s="153">
        <v>13</v>
      </c>
      <c r="H252" s="155">
        <v>3</v>
      </c>
      <c r="I252" s="183">
        <v>0.3</v>
      </c>
      <c r="J252" s="182">
        <f t="shared" si="7"/>
        <v>9.9999999999999992E-2</v>
      </c>
      <c r="K252" s="181">
        <v>0</v>
      </c>
      <c r="L252" s="181">
        <v>0</v>
      </c>
      <c r="M252" s="181">
        <v>0</v>
      </c>
      <c r="N252" s="179" t="s">
        <v>643</v>
      </c>
      <c r="O252" s="113"/>
      <c r="P252" s="113"/>
      <c r="Q252" s="113"/>
      <c r="R252" s="113"/>
      <c r="S252" s="113"/>
      <c r="T252" s="113"/>
      <c r="U252" s="113"/>
      <c r="V252" s="113"/>
      <c r="W252" s="113"/>
      <c r="X252" s="113"/>
      <c r="Y252" s="113"/>
      <c r="Z252" s="113"/>
      <c r="AA252" s="113"/>
      <c r="AB252" s="113"/>
    </row>
    <row r="253" spans="1:28" ht="59.25" customHeight="1" x14ac:dyDescent="0.25">
      <c r="A253" s="784" t="s">
        <v>436</v>
      </c>
      <c r="B253" s="175" t="s">
        <v>456</v>
      </c>
      <c r="C253" s="137" t="s">
        <v>457</v>
      </c>
      <c r="D253" s="136" t="s">
        <v>458</v>
      </c>
      <c r="E253" s="136" t="s">
        <v>459</v>
      </c>
      <c r="F253" s="138">
        <v>20</v>
      </c>
      <c r="G253" s="180">
        <v>24</v>
      </c>
      <c r="H253" s="181">
        <v>6</v>
      </c>
      <c r="I253" s="181">
        <v>1.1399999999999999</v>
      </c>
      <c r="J253" s="182">
        <f t="shared" si="7"/>
        <v>0.18999999999999997</v>
      </c>
      <c r="K253" s="181">
        <v>0</v>
      </c>
      <c r="L253" s="181">
        <v>0</v>
      </c>
      <c r="M253" s="181">
        <v>0</v>
      </c>
      <c r="N253" s="167" t="s">
        <v>644</v>
      </c>
      <c r="O253" s="113"/>
      <c r="P253" s="113"/>
      <c r="Q253" s="113"/>
      <c r="R253" s="113"/>
      <c r="S253" s="113"/>
      <c r="T253" s="113"/>
      <c r="U253" s="113"/>
      <c r="V253" s="113"/>
      <c r="W253" s="113"/>
      <c r="X253" s="113"/>
      <c r="Y253" s="113"/>
      <c r="Z253" s="113"/>
      <c r="AA253" s="113"/>
      <c r="AB253" s="113"/>
    </row>
    <row r="254" spans="1:28" ht="81.75" customHeight="1" x14ac:dyDescent="0.25">
      <c r="A254" s="579"/>
      <c r="B254" s="176" t="s">
        <v>461</v>
      </c>
      <c r="C254" s="144" t="s">
        <v>462</v>
      </c>
      <c r="D254" s="143" t="s">
        <v>463</v>
      </c>
      <c r="E254" s="143" t="s">
        <v>459</v>
      </c>
      <c r="F254" s="145">
        <v>20</v>
      </c>
      <c r="G254" s="145">
        <v>15</v>
      </c>
      <c r="H254" s="30">
        <v>5</v>
      </c>
      <c r="I254" s="177">
        <v>1</v>
      </c>
      <c r="J254" s="182">
        <f t="shared" si="7"/>
        <v>0.2</v>
      </c>
      <c r="K254" s="181">
        <v>0</v>
      </c>
      <c r="L254" s="181">
        <v>0</v>
      </c>
      <c r="M254" s="181">
        <v>0</v>
      </c>
      <c r="N254" s="167" t="s">
        <v>645</v>
      </c>
      <c r="O254" s="113"/>
      <c r="P254" s="113"/>
      <c r="Q254" s="113"/>
      <c r="R254" s="113"/>
      <c r="S254" s="113"/>
      <c r="T254" s="113"/>
      <c r="U254" s="113"/>
      <c r="V254" s="113"/>
      <c r="W254" s="113"/>
      <c r="X254" s="113"/>
      <c r="Y254" s="113"/>
      <c r="Z254" s="113"/>
      <c r="AA254" s="113"/>
      <c r="AB254" s="113"/>
    </row>
    <row r="255" spans="1:28" ht="71.25" customHeight="1" x14ac:dyDescent="0.25">
      <c r="A255" s="579"/>
      <c r="B255" s="176" t="s">
        <v>465</v>
      </c>
      <c r="C255" s="144" t="s">
        <v>466</v>
      </c>
      <c r="D255" s="143" t="s">
        <v>467</v>
      </c>
      <c r="E255" s="143" t="s">
        <v>468</v>
      </c>
      <c r="F255" s="145">
        <v>20</v>
      </c>
      <c r="G255" s="145">
        <v>15</v>
      </c>
      <c r="H255" s="30">
        <v>3</v>
      </c>
      <c r="I255" s="30">
        <v>0.59</v>
      </c>
      <c r="J255" s="182">
        <f t="shared" si="7"/>
        <v>0.19666666666666666</v>
      </c>
      <c r="K255" s="181">
        <v>0</v>
      </c>
      <c r="L255" s="181">
        <v>0</v>
      </c>
      <c r="M255" s="181">
        <v>0</v>
      </c>
      <c r="N255" s="167" t="s">
        <v>646</v>
      </c>
      <c r="O255" s="113"/>
      <c r="P255" s="113"/>
      <c r="Q255" s="113"/>
      <c r="R255" s="113"/>
      <c r="S255" s="113"/>
      <c r="T255" s="113"/>
      <c r="U255" s="113"/>
      <c r="V255" s="113"/>
      <c r="W255" s="113"/>
      <c r="X255" s="113"/>
      <c r="Y255" s="113"/>
      <c r="Z255" s="113"/>
      <c r="AA255" s="113"/>
      <c r="AB255" s="113"/>
    </row>
    <row r="256" spans="1:28" ht="71.25" customHeight="1" x14ac:dyDescent="0.25">
      <c r="A256" s="579"/>
      <c r="B256" s="176" t="s">
        <v>470</v>
      </c>
      <c r="C256" s="144" t="s">
        <v>471</v>
      </c>
      <c r="D256" s="143" t="s">
        <v>472</v>
      </c>
      <c r="E256" s="143" t="s">
        <v>473</v>
      </c>
      <c r="F256" s="145">
        <v>20</v>
      </c>
      <c r="G256" s="149">
        <v>0.38</v>
      </c>
      <c r="H256" s="150">
        <v>0.09</v>
      </c>
      <c r="I256" s="147">
        <f>2.61%-L256</f>
        <v>2.3099999999999999E-2</v>
      </c>
      <c r="J256" s="182">
        <f t="shared" si="7"/>
        <v>0.25666666666666665</v>
      </c>
      <c r="K256" s="147">
        <v>3.5999999999999999E-3</v>
      </c>
      <c r="L256" s="147">
        <v>3.0000000000000001E-3</v>
      </c>
      <c r="M256" s="147">
        <f>L256/K256</f>
        <v>0.83333333333333337</v>
      </c>
      <c r="N256" s="167" t="s">
        <v>647</v>
      </c>
      <c r="O256" s="113"/>
      <c r="P256" s="113"/>
      <c r="Q256" s="113"/>
      <c r="R256" s="113"/>
      <c r="S256" s="113"/>
      <c r="T256" s="113"/>
      <c r="U256" s="113"/>
      <c r="V256" s="113"/>
      <c r="W256" s="113"/>
      <c r="X256" s="113"/>
      <c r="Y256" s="113"/>
      <c r="Z256" s="113"/>
      <c r="AA256" s="113"/>
      <c r="AB256" s="113"/>
    </row>
    <row r="257" spans="1:28" ht="82.5" customHeight="1" x14ac:dyDescent="0.25">
      <c r="A257" s="785"/>
      <c r="B257" s="151" t="s">
        <v>475</v>
      </c>
      <c r="C257" s="152" t="s">
        <v>476</v>
      </c>
      <c r="D257" s="151" t="s">
        <v>477</v>
      </c>
      <c r="E257" s="151" t="s">
        <v>468</v>
      </c>
      <c r="F257" s="153">
        <v>20</v>
      </c>
      <c r="G257" s="153">
        <v>13</v>
      </c>
      <c r="H257" s="155">
        <v>3</v>
      </c>
      <c r="I257" s="183">
        <v>0.54</v>
      </c>
      <c r="J257" s="182">
        <f t="shared" si="7"/>
        <v>0.18000000000000002</v>
      </c>
      <c r="K257" s="181">
        <v>0</v>
      </c>
      <c r="L257" s="181">
        <v>0</v>
      </c>
      <c r="M257" s="181">
        <v>0</v>
      </c>
      <c r="N257" s="179" t="s">
        <v>648</v>
      </c>
      <c r="O257" s="113"/>
      <c r="P257" s="113"/>
      <c r="Q257" s="113"/>
      <c r="R257" s="113"/>
      <c r="S257" s="113"/>
      <c r="T257" s="113"/>
      <c r="U257" s="113"/>
      <c r="V257" s="113"/>
      <c r="W257" s="113"/>
      <c r="X257" s="113"/>
      <c r="Y257" s="113"/>
      <c r="Z257" s="113"/>
      <c r="AA257" s="113"/>
      <c r="AB257" s="113"/>
    </row>
    <row r="258" spans="1:28" ht="59.25" customHeight="1" x14ac:dyDescent="0.25">
      <c r="A258" s="784" t="s">
        <v>437</v>
      </c>
      <c r="B258" s="175" t="s">
        <v>456</v>
      </c>
      <c r="C258" s="137" t="s">
        <v>457</v>
      </c>
      <c r="D258" s="136" t="s">
        <v>458</v>
      </c>
      <c r="E258" s="136" t="s">
        <v>459</v>
      </c>
      <c r="F258" s="138">
        <v>20</v>
      </c>
      <c r="G258" s="180">
        <v>24</v>
      </c>
      <c r="H258" s="181">
        <v>6</v>
      </c>
      <c r="I258" s="181">
        <v>2.2400000000000002</v>
      </c>
      <c r="J258" s="182">
        <f t="shared" si="7"/>
        <v>0.37333333333333335</v>
      </c>
      <c r="K258" s="181">
        <v>0</v>
      </c>
      <c r="L258" s="181">
        <v>0</v>
      </c>
      <c r="M258" s="181">
        <v>0</v>
      </c>
      <c r="N258" s="167" t="s">
        <v>649</v>
      </c>
      <c r="O258" s="113"/>
      <c r="P258" s="113"/>
      <c r="Q258" s="113"/>
      <c r="R258" s="113"/>
      <c r="S258" s="113"/>
      <c r="T258" s="113"/>
      <c r="U258" s="113"/>
      <c r="V258" s="113"/>
      <c r="W258" s="113"/>
      <c r="X258" s="113"/>
      <c r="Y258" s="113"/>
      <c r="Z258" s="113"/>
      <c r="AA258" s="113"/>
      <c r="AB258" s="113"/>
    </row>
    <row r="259" spans="1:28" ht="61.5" customHeight="1" x14ac:dyDescent="0.25">
      <c r="A259" s="579"/>
      <c r="B259" s="176" t="s">
        <v>461</v>
      </c>
      <c r="C259" s="144" t="s">
        <v>462</v>
      </c>
      <c r="D259" s="143" t="s">
        <v>463</v>
      </c>
      <c r="E259" s="143" t="s">
        <v>459</v>
      </c>
      <c r="F259" s="145">
        <v>20</v>
      </c>
      <c r="G259" s="145">
        <v>15</v>
      </c>
      <c r="H259" s="30">
        <v>5</v>
      </c>
      <c r="I259" s="177">
        <v>1.55</v>
      </c>
      <c r="J259" s="182">
        <f t="shared" si="7"/>
        <v>0.31</v>
      </c>
      <c r="K259" s="181">
        <v>0</v>
      </c>
      <c r="L259" s="181">
        <v>0</v>
      </c>
      <c r="M259" s="181">
        <v>0</v>
      </c>
      <c r="N259" s="167" t="s">
        <v>650</v>
      </c>
      <c r="O259" s="113"/>
      <c r="P259" s="113"/>
      <c r="Q259" s="113"/>
      <c r="R259" s="113"/>
      <c r="S259" s="113"/>
      <c r="T259" s="113"/>
      <c r="U259" s="113"/>
      <c r="V259" s="113"/>
      <c r="W259" s="113"/>
      <c r="X259" s="113"/>
      <c r="Y259" s="113"/>
      <c r="Z259" s="113"/>
      <c r="AA259" s="113"/>
      <c r="AB259" s="113"/>
    </row>
    <row r="260" spans="1:28" ht="66.75" customHeight="1" x14ac:dyDescent="0.25">
      <c r="A260" s="579"/>
      <c r="B260" s="176" t="s">
        <v>465</v>
      </c>
      <c r="C260" s="144" t="s">
        <v>466</v>
      </c>
      <c r="D260" s="143" t="s">
        <v>467</v>
      </c>
      <c r="E260" s="143" t="s">
        <v>468</v>
      </c>
      <c r="F260" s="145">
        <v>20</v>
      </c>
      <c r="G260" s="145">
        <v>15</v>
      </c>
      <c r="H260" s="30">
        <v>3</v>
      </c>
      <c r="I260" s="30">
        <v>0.83</v>
      </c>
      <c r="J260" s="182">
        <f t="shared" si="7"/>
        <v>0.27666666666666667</v>
      </c>
      <c r="K260" s="181">
        <v>0</v>
      </c>
      <c r="L260" s="181">
        <v>0</v>
      </c>
      <c r="M260" s="181">
        <v>0</v>
      </c>
      <c r="N260" s="167" t="s">
        <v>651</v>
      </c>
      <c r="O260" s="113"/>
      <c r="P260" s="113"/>
      <c r="Q260" s="113"/>
      <c r="R260" s="113"/>
      <c r="S260" s="113"/>
      <c r="T260" s="113"/>
      <c r="U260" s="113"/>
      <c r="V260" s="113"/>
      <c r="W260" s="113"/>
      <c r="X260" s="113"/>
      <c r="Y260" s="113"/>
      <c r="Z260" s="113"/>
      <c r="AA260" s="113"/>
      <c r="AB260" s="113"/>
    </row>
    <row r="261" spans="1:28" ht="73.5" customHeight="1" x14ac:dyDescent="0.25">
      <c r="A261" s="579"/>
      <c r="B261" s="176" t="s">
        <v>470</v>
      </c>
      <c r="C261" s="144" t="s">
        <v>471</v>
      </c>
      <c r="D261" s="143" t="s">
        <v>472</v>
      </c>
      <c r="E261" s="143" t="s">
        <v>473</v>
      </c>
      <c r="F261" s="145">
        <v>20</v>
      </c>
      <c r="G261" s="149">
        <v>0.38</v>
      </c>
      <c r="H261" s="150">
        <v>0.09</v>
      </c>
      <c r="I261" s="147">
        <f>3.44%-L261</f>
        <v>3.0800000000000001E-2</v>
      </c>
      <c r="J261" s="182">
        <f t="shared" si="7"/>
        <v>0.34222222222222226</v>
      </c>
      <c r="K261" s="147">
        <v>3.5999999999999999E-3</v>
      </c>
      <c r="L261" s="147">
        <v>3.5999999999999999E-3</v>
      </c>
      <c r="M261" s="147">
        <f>L261/K261</f>
        <v>1</v>
      </c>
      <c r="N261" s="167" t="s">
        <v>652</v>
      </c>
      <c r="O261" s="113"/>
      <c r="P261" s="113"/>
      <c r="Q261" s="113"/>
      <c r="R261" s="113"/>
      <c r="S261" s="113"/>
      <c r="T261" s="113"/>
      <c r="U261" s="113"/>
      <c r="V261" s="113"/>
      <c r="W261" s="113"/>
      <c r="X261" s="113"/>
      <c r="Y261" s="113"/>
      <c r="Z261" s="113"/>
      <c r="AA261" s="113"/>
      <c r="AB261" s="113"/>
    </row>
    <row r="262" spans="1:28" ht="77.25" customHeight="1" x14ac:dyDescent="0.25">
      <c r="A262" s="785"/>
      <c r="B262" s="151" t="s">
        <v>475</v>
      </c>
      <c r="C262" s="152" t="s">
        <v>476</v>
      </c>
      <c r="D262" s="151" t="s">
        <v>477</v>
      </c>
      <c r="E262" s="151" t="s">
        <v>468</v>
      </c>
      <c r="F262" s="153">
        <v>20</v>
      </c>
      <c r="G262" s="153">
        <v>13</v>
      </c>
      <c r="H262" s="155">
        <v>3</v>
      </c>
      <c r="I262" s="183">
        <v>0.9</v>
      </c>
      <c r="J262" s="182">
        <f t="shared" si="7"/>
        <v>0.3</v>
      </c>
      <c r="K262" s="181">
        <v>0</v>
      </c>
      <c r="L262" s="181">
        <v>0</v>
      </c>
      <c r="M262" s="181">
        <v>0</v>
      </c>
      <c r="N262" s="179" t="s">
        <v>653</v>
      </c>
      <c r="O262" s="113"/>
      <c r="P262" s="113"/>
      <c r="Q262" s="113"/>
      <c r="R262" s="113"/>
      <c r="S262" s="113"/>
      <c r="T262" s="113"/>
      <c r="U262" s="113"/>
      <c r="V262" s="113"/>
      <c r="W262" s="113"/>
      <c r="X262" s="113"/>
      <c r="Y262" s="113"/>
      <c r="Z262" s="113"/>
      <c r="AA262" s="113"/>
      <c r="AB262" s="113"/>
    </row>
    <row r="263" spans="1:28" ht="69" customHeight="1" x14ac:dyDescent="0.25">
      <c r="A263" s="784" t="s">
        <v>438</v>
      </c>
      <c r="B263" s="175" t="s">
        <v>456</v>
      </c>
      <c r="C263" s="137" t="s">
        <v>457</v>
      </c>
      <c r="D263" s="136" t="s">
        <v>458</v>
      </c>
      <c r="E263" s="136" t="s">
        <v>459</v>
      </c>
      <c r="F263" s="138">
        <v>20</v>
      </c>
      <c r="G263" s="180">
        <v>24</v>
      </c>
      <c r="H263" s="181">
        <v>6</v>
      </c>
      <c r="I263" s="181">
        <v>2.94</v>
      </c>
      <c r="J263" s="182">
        <f t="shared" si="7"/>
        <v>0.49</v>
      </c>
      <c r="K263" s="181">
        <v>0</v>
      </c>
      <c r="L263" s="181">
        <v>0</v>
      </c>
      <c r="M263" s="181">
        <v>0</v>
      </c>
      <c r="N263" s="167" t="s">
        <v>654</v>
      </c>
      <c r="O263" s="113"/>
      <c r="P263" s="113"/>
      <c r="Q263" s="113"/>
      <c r="R263" s="113"/>
      <c r="S263" s="113"/>
      <c r="T263" s="113"/>
      <c r="U263" s="113"/>
      <c r="V263" s="113"/>
      <c r="W263" s="113"/>
      <c r="X263" s="113"/>
      <c r="Y263" s="113"/>
      <c r="Z263" s="113"/>
      <c r="AA263" s="113"/>
      <c r="AB263" s="113"/>
    </row>
    <row r="264" spans="1:28" ht="102" customHeight="1" x14ac:dyDescent="0.25">
      <c r="A264" s="579"/>
      <c r="B264" s="176" t="s">
        <v>461</v>
      </c>
      <c r="C264" s="144" t="s">
        <v>462</v>
      </c>
      <c r="D264" s="143" t="s">
        <v>463</v>
      </c>
      <c r="E264" s="143" t="s">
        <v>459</v>
      </c>
      <c r="F264" s="145">
        <v>20</v>
      </c>
      <c r="G264" s="145">
        <v>15</v>
      </c>
      <c r="H264" s="30">
        <v>5</v>
      </c>
      <c r="I264" s="177">
        <v>2.35</v>
      </c>
      <c r="J264" s="182">
        <f t="shared" si="7"/>
        <v>0.47000000000000003</v>
      </c>
      <c r="K264" s="181">
        <v>0</v>
      </c>
      <c r="L264" s="181">
        <v>0</v>
      </c>
      <c r="M264" s="181">
        <v>0</v>
      </c>
      <c r="N264" s="167" t="s">
        <v>655</v>
      </c>
      <c r="O264" s="113"/>
      <c r="P264" s="113"/>
      <c r="Q264" s="113"/>
      <c r="R264" s="113"/>
      <c r="S264" s="113"/>
      <c r="T264" s="113"/>
      <c r="U264" s="113"/>
      <c r="V264" s="113"/>
      <c r="W264" s="113"/>
      <c r="X264" s="113"/>
      <c r="Y264" s="113"/>
      <c r="Z264" s="113"/>
      <c r="AA264" s="113"/>
      <c r="AB264" s="113"/>
    </row>
    <row r="265" spans="1:28" ht="61.5" customHeight="1" x14ac:dyDescent="0.25">
      <c r="A265" s="579"/>
      <c r="B265" s="176" t="s">
        <v>465</v>
      </c>
      <c r="C265" s="144" t="s">
        <v>466</v>
      </c>
      <c r="D265" s="143" t="s">
        <v>467</v>
      </c>
      <c r="E265" s="143" t="s">
        <v>468</v>
      </c>
      <c r="F265" s="145">
        <v>20</v>
      </c>
      <c r="G265" s="145">
        <v>15</v>
      </c>
      <c r="H265" s="30">
        <v>3</v>
      </c>
      <c r="I265" s="30">
        <v>1.1200000000000001</v>
      </c>
      <c r="J265" s="182">
        <f t="shared" si="7"/>
        <v>0.37333333333333335</v>
      </c>
      <c r="K265" s="181">
        <v>0</v>
      </c>
      <c r="L265" s="181">
        <v>0</v>
      </c>
      <c r="M265" s="181">
        <v>0</v>
      </c>
      <c r="N265" s="167" t="s">
        <v>656</v>
      </c>
      <c r="O265" s="113"/>
      <c r="P265" s="113"/>
      <c r="Q265" s="113"/>
      <c r="R265" s="113"/>
      <c r="S265" s="113"/>
      <c r="T265" s="113"/>
      <c r="U265" s="113"/>
      <c r="V265" s="113"/>
      <c r="W265" s="113"/>
      <c r="X265" s="113"/>
      <c r="Y265" s="113"/>
      <c r="Z265" s="113"/>
      <c r="AA265" s="113"/>
      <c r="AB265" s="113"/>
    </row>
    <row r="266" spans="1:28" ht="59.25" customHeight="1" x14ac:dyDescent="0.25">
      <c r="A266" s="579"/>
      <c r="B266" s="176" t="s">
        <v>470</v>
      </c>
      <c r="C266" s="144" t="s">
        <v>471</v>
      </c>
      <c r="D266" s="143" t="s">
        <v>472</v>
      </c>
      <c r="E266" s="143" t="s">
        <v>473</v>
      </c>
      <c r="F266" s="145">
        <v>20</v>
      </c>
      <c r="G266" s="149">
        <v>0.38</v>
      </c>
      <c r="H266" s="150">
        <v>0.09</v>
      </c>
      <c r="I266" s="147">
        <f>4.25%-L266</f>
        <v>3.8900000000000004E-2</v>
      </c>
      <c r="J266" s="182">
        <f t="shared" si="7"/>
        <v>0.43222222222222229</v>
      </c>
      <c r="K266" s="147">
        <v>3.5999999999999999E-3</v>
      </c>
      <c r="L266" s="147">
        <v>3.5999999999999999E-3</v>
      </c>
      <c r="M266" s="147">
        <f>L266/K266</f>
        <v>1</v>
      </c>
      <c r="N266" s="167" t="s">
        <v>657</v>
      </c>
      <c r="O266" s="113"/>
      <c r="P266" s="113"/>
      <c r="Q266" s="113"/>
      <c r="R266" s="113"/>
      <c r="S266" s="113"/>
      <c r="T266" s="113"/>
      <c r="U266" s="113"/>
      <c r="V266" s="113"/>
      <c r="W266" s="113"/>
      <c r="X266" s="113"/>
      <c r="Y266" s="113"/>
      <c r="Z266" s="113"/>
      <c r="AA266" s="113"/>
      <c r="AB266" s="113"/>
    </row>
    <row r="267" spans="1:28" ht="76.5" customHeight="1" x14ac:dyDescent="0.25">
      <c r="A267" s="785"/>
      <c r="B267" s="151" t="s">
        <v>475</v>
      </c>
      <c r="C267" s="152" t="s">
        <v>476</v>
      </c>
      <c r="D267" s="151" t="s">
        <v>477</v>
      </c>
      <c r="E267" s="151" t="s">
        <v>468</v>
      </c>
      <c r="F267" s="153">
        <v>20</v>
      </c>
      <c r="G267" s="153">
        <v>13</v>
      </c>
      <c r="H267" s="155">
        <v>3</v>
      </c>
      <c r="I267" s="183">
        <v>1.41</v>
      </c>
      <c r="J267" s="182">
        <f t="shared" si="7"/>
        <v>0.47</v>
      </c>
      <c r="K267" s="181">
        <v>0</v>
      </c>
      <c r="L267" s="181">
        <v>0</v>
      </c>
      <c r="M267" s="181">
        <v>0</v>
      </c>
      <c r="N267" s="179" t="s">
        <v>658</v>
      </c>
      <c r="O267" s="113"/>
      <c r="P267" s="113"/>
      <c r="Q267" s="113"/>
      <c r="R267" s="113"/>
      <c r="S267" s="113"/>
      <c r="T267" s="113"/>
      <c r="U267" s="113"/>
      <c r="V267" s="113"/>
      <c r="W267" s="113"/>
      <c r="X267" s="113"/>
      <c r="Y267" s="113"/>
      <c r="Z267" s="113"/>
      <c r="AA267" s="113"/>
      <c r="AB267" s="113"/>
    </row>
    <row r="268" spans="1:28" ht="75.75" customHeight="1" x14ac:dyDescent="0.25">
      <c r="A268" s="786" t="s">
        <v>425</v>
      </c>
      <c r="B268" s="175" t="s">
        <v>456</v>
      </c>
      <c r="C268" s="137" t="s">
        <v>457</v>
      </c>
      <c r="D268" s="136" t="s">
        <v>458</v>
      </c>
      <c r="E268" s="136" t="s">
        <v>459</v>
      </c>
      <c r="F268" s="138">
        <v>20</v>
      </c>
      <c r="G268" s="180">
        <v>24</v>
      </c>
      <c r="H268" s="181">
        <v>6</v>
      </c>
      <c r="I268" s="181">
        <v>3.84</v>
      </c>
      <c r="J268" s="182">
        <f t="shared" si="7"/>
        <v>0.64</v>
      </c>
      <c r="K268" s="181">
        <v>0</v>
      </c>
      <c r="L268" s="181">
        <v>0</v>
      </c>
      <c r="M268" s="181">
        <v>0</v>
      </c>
      <c r="N268" s="167" t="s">
        <v>659</v>
      </c>
      <c r="O268" s="113"/>
      <c r="P268" s="113"/>
      <c r="Q268" s="113"/>
      <c r="R268" s="113"/>
      <c r="S268" s="113"/>
      <c r="T268" s="113"/>
      <c r="U268" s="113"/>
      <c r="V268" s="113"/>
      <c r="W268" s="113"/>
      <c r="X268" s="113"/>
      <c r="Y268" s="113"/>
      <c r="Z268" s="113"/>
      <c r="AA268" s="113"/>
      <c r="AB268" s="113"/>
    </row>
    <row r="269" spans="1:28" ht="73.5" customHeight="1" x14ac:dyDescent="0.25">
      <c r="A269" s="787"/>
      <c r="B269" s="176" t="s">
        <v>461</v>
      </c>
      <c r="C269" s="144" t="s">
        <v>462</v>
      </c>
      <c r="D269" s="143" t="s">
        <v>463</v>
      </c>
      <c r="E269" s="143" t="s">
        <v>459</v>
      </c>
      <c r="F269" s="145">
        <v>20</v>
      </c>
      <c r="G269" s="145">
        <v>15</v>
      </c>
      <c r="H269" s="30">
        <v>5</v>
      </c>
      <c r="I269" s="177">
        <v>3.2</v>
      </c>
      <c r="J269" s="182">
        <f t="shared" si="7"/>
        <v>0.64</v>
      </c>
      <c r="K269" s="181">
        <v>0</v>
      </c>
      <c r="L269" s="181">
        <v>0</v>
      </c>
      <c r="M269" s="181">
        <v>0</v>
      </c>
      <c r="N269" s="167" t="s">
        <v>660</v>
      </c>
      <c r="O269" s="113"/>
      <c r="P269" s="113"/>
      <c r="Q269" s="113"/>
      <c r="R269" s="113"/>
      <c r="S269" s="113"/>
      <c r="T269" s="113"/>
      <c r="U269" s="113"/>
      <c r="V269" s="113"/>
      <c r="W269" s="113"/>
      <c r="X269" s="113"/>
      <c r="Y269" s="113"/>
      <c r="Z269" s="113"/>
      <c r="AA269" s="113"/>
      <c r="AB269" s="113"/>
    </row>
    <row r="270" spans="1:28" ht="89.25" customHeight="1" x14ac:dyDescent="0.25">
      <c r="A270" s="787"/>
      <c r="B270" s="176" t="s">
        <v>465</v>
      </c>
      <c r="C270" s="144" t="s">
        <v>466</v>
      </c>
      <c r="D270" s="143" t="s">
        <v>467</v>
      </c>
      <c r="E270" s="143" t="s">
        <v>468</v>
      </c>
      <c r="F270" s="145">
        <v>20</v>
      </c>
      <c r="G270" s="145">
        <v>15</v>
      </c>
      <c r="H270" s="30">
        <v>3</v>
      </c>
      <c r="I270" s="30">
        <v>1.42</v>
      </c>
      <c r="J270" s="182">
        <f t="shared" si="7"/>
        <v>0.47333333333333333</v>
      </c>
      <c r="K270" s="181">
        <v>0</v>
      </c>
      <c r="L270" s="181">
        <v>0</v>
      </c>
      <c r="M270" s="181">
        <v>0</v>
      </c>
      <c r="N270" s="167" t="s">
        <v>661</v>
      </c>
      <c r="O270" s="113"/>
      <c r="P270" s="113"/>
      <c r="Q270" s="113"/>
      <c r="R270" s="113"/>
      <c r="S270" s="113"/>
      <c r="T270" s="113"/>
      <c r="U270" s="113"/>
      <c r="V270" s="113"/>
      <c r="W270" s="113"/>
      <c r="X270" s="113"/>
      <c r="Y270" s="113"/>
      <c r="Z270" s="113"/>
      <c r="AA270" s="113"/>
      <c r="AB270" s="113"/>
    </row>
    <row r="271" spans="1:28" ht="66.75" customHeight="1" x14ac:dyDescent="0.25">
      <c r="A271" s="787"/>
      <c r="B271" s="176" t="s">
        <v>470</v>
      </c>
      <c r="C271" s="144" t="s">
        <v>471</v>
      </c>
      <c r="D271" s="143" t="s">
        <v>472</v>
      </c>
      <c r="E271" s="143" t="s">
        <v>473</v>
      </c>
      <c r="F271" s="145">
        <v>20</v>
      </c>
      <c r="G271" s="149">
        <v>0.38</v>
      </c>
      <c r="H271" s="150">
        <v>0.09</v>
      </c>
      <c r="I271" s="147">
        <f>5.1%-L271</f>
        <v>4.7399999999999998E-2</v>
      </c>
      <c r="J271" s="182">
        <f t="shared" si="7"/>
        <v>0.52666666666666662</v>
      </c>
      <c r="K271" s="147">
        <v>3.5999999999999999E-3</v>
      </c>
      <c r="L271" s="147">
        <v>3.5999999999999999E-3</v>
      </c>
      <c r="M271" s="147">
        <f>L271/K271</f>
        <v>1</v>
      </c>
      <c r="N271" s="167" t="s">
        <v>662</v>
      </c>
      <c r="O271" s="113"/>
      <c r="P271" s="113"/>
      <c r="Q271" s="113"/>
      <c r="R271" s="113"/>
      <c r="S271" s="113"/>
      <c r="T271" s="113"/>
      <c r="U271" s="113"/>
      <c r="V271" s="113"/>
      <c r="W271" s="113"/>
      <c r="X271" s="113"/>
      <c r="Y271" s="113"/>
      <c r="Z271" s="113"/>
      <c r="AA271" s="113"/>
      <c r="AB271" s="113"/>
    </row>
    <row r="272" spans="1:28" ht="87.75" customHeight="1" x14ac:dyDescent="0.25">
      <c r="A272" s="788"/>
      <c r="B272" s="151" t="s">
        <v>475</v>
      </c>
      <c r="C272" s="152" t="s">
        <v>476</v>
      </c>
      <c r="D272" s="151" t="s">
        <v>477</v>
      </c>
      <c r="E272" s="151" t="s">
        <v>468</v>
      </c>
      <c r="F272" s="153">
        <v>20</v>
      </c>
      <c r="G272" s="153">
        <v>13</v>
      </c>
      <c r="H272" s="155">
        <v>3</v>
      </c>
      <c r="I272" s="183">
        <v>1.95</v>
      </c>
      <c r="J272" s="182">
        <f t="shared" si="7"/>
        <v>0.65</v>
      </c>
      <c r="K272" s="181">
        <v>0</v>
      </c>
      <c r="L272" s="181">
        <v>0</v>
      </c>
      <c r="M272" s="181">
        <v>0</v>
      </c>
      <c r="N272" s="179" t="s">
        <v>663</v>
      </c>
      <c r="O272" s="113"/>
      <c r="P272" s="113"/>
      <c r="Q272" s="113"/>
      <c r="R272" s="113"/>
      <c r="S272" s="113"/>
      <c r="T272" s="113"/>
      <c r="U272" s="113"/>
      <c r="V272" s="113"/>
      <c r="W272" s="113"/>
      <c r="X272" s="113"/>
      <c r="Y272" s="113"/>
      <c r="Z272" s="113"/>
      <c r="AA272" s="113"/>
      <c r="AB272" s="113"/>
    </row>
    <row r="273" spans="1:28" ht="79.5" customHeight="1" x14ac:dyDescent="0.25">
      <c r="A273" s="786" t="s">
        <v>426</v>
      </c>
      <c r="B273" s="175" t="s">
        <v>456</v>
      </c>
      <c r="C273" s="137" t="s">
        <v>457</v>
      </c>
      <c r="D273" s="136" t="s">
        <v>458</v>
      </c>
      <c r="E273" s="136" t="s">
        <v>459</v>
      </c>
      <c r="F273" s="138">
        <v>20</v>
      </c>
      <c r="G273" s="180">
        <v>24</v>
      </c>
      <c r="H273" s="181">
        <v>6</v>
      </c>
      <c r="I273" s="181">
        <v>4.4400000000000004</v>
      </c>
      <c r="J273" s="182">
        <f t="shared" si="7"/>
        <v>0.7400000000000001</v>
      </c>
      <c r="K273" s="181">
        <v>0</v>
      </c>
      <c r="L273" s="181">
        <v>0</v>
      </c>
      <c r="M273" s="181">
        <v>0</v>
      </c>
      <c r="N273" s="167" t="s">
        <v>664</v>
      </c>
      <c r="O273" s="113"/>
      <c r="P273" s="113"/>
      <c r="Q273" s="113"/>
      <c r="R273" s="113"/>
      <c r="S273" s="113"/>
      <c r="T273" s="113"/>
      <c r="U273" s="113"/>
      <c r="V273" s="113"/>
      <c r="W273" s="113"/>
      <c r="X273" s="113"/>
      <c r="Y273" s="113"/>
      <c r="Z273" s="113"/>
      <c r="AA273" s="113"/>
      <c r="AB273" s="113"/>
    </row>
    <row r="274" spans="1:28" ht="89.25" customHeight="1" x14ac:dyDescent="0.25">
      <c r="A274" s="787"/>
      <c r="B274" s="176" t="s">
        <v>461</v>
      </c>
      <c r="C274" s="144" t="s">
        <v>462</v>
      </c>
      <c r="D274" s="143" t="s">
        <v>463</v>
      </c>
      <c r="E274" s="143" t="s">
        <v>459</v>
      </c>
      <c r="F274" s="145">
        <v>20</v>
      </c>
      <c r="G274" s="145">
        <v>15</v>
      </c>
      <c r="H274" s="30">
        <v>5</v>
      </c>
      <c r="I274" s="177">
        <v>3.8</v>
      </c>
      <c r="J274" s="182">
        <f t="shared" si="7"/>
        <v>0.76</v>
      </c>
      <c r="K274" s="181">
        <v>0</v>
      </c>
      <c r="L274" s="181">
        <v>0</v>
      </c>
      <c r="M274" s="181">
        <v>0</v>
      </c>
      <c r="N274" s="167" t="s">
        <v>665</v>
      </c>
      <c r="O274" s="113"/>
      <c r="P274" s="113"/>
      <c r="Q274" s="113"/>
      <c r="R274" s="113"/>
      <c r="S274" s="113"/>
      <c r="T274" s="113"/>
      <c r="U274" s="113"/>
      <c r="V274" s="113"/>
      <c r="W274" s="113"/>
      <c r="X274" s="113"/>
      <c r="Y274" s="113"/>
      <c r="Z274" s="113"/>
      <c r="AA274" s="113"/>
      <c r="AB274" s="113"/>
    </row>
    <row r="275" spans="1:28" ht="88.5" customHeight="1" x14ac:dyDescent="0.25">
      <c r="A275" s="787"/>
      <c r="B275" s="176" t="s">
        <v>465</v>
      </c>
      <c r="C275" s="144" t="s">
        <v>466</v>
      </c>
      <c r="D275" s="143" t="s">
        <v>467</v>
      </c>
      <c r="E275" s="143" t="s">
        <v>468</v>
      </c>
      <c r="F275" s="145">
        <v>20</v>
      </c>
      <c r="G275" s="145">
        <v>15</v>
      </c>
      <c r="H275" s="30">
        <v>3</v>
      </c>
      <c r="I275" s="30">
        <v>1.72</v>
      </c>
      <c r="J275" s="182">
        <f t="shared" si="7"/>
        <v>0.57333333333333336</v>
      </c>
      <c r="K275" s="181">
        <v>0</v>
      </c>
      <c r="L275" s="181">
        <v>0</v>
      </c>
      <c r="M275" s="181">
        <v>0</v>
      </c>
      <c r="N275" s="167" t="s">
        <v>666</v>
      </c>
      <c r="O275" s="113"/>
      <c r="P275" s="113"/>
      <c r="Q275" s="113"/>
      <c r="R275" s="113"/>
      <c r="S275" s="113"/>
      <c r="T275" s="113"/>
      <c r="U275" s="113"/>
      <c r="V275" s="113"/>
      <c r="W275" s="113"/>
      <c r="X275" s="113"/>
      <c r="Y275" s="113"/>
      <c r="Z275" s="113"/>
      <c r="AA275" s="113"/>
      <c r="AB275" s="113"/>
    </row>
    <row r="276" spans="1:28" ht="88.5" customHeight="1" x14ac:dyDescent="0.25">
      <c r="A276" s="787"/>
      <c r="B276" s="176" t="s">
        <v>470</v>
      </c>
      <c r="C276" s="144" t="s">
        <v>471</v>
      </c>
      <c r="D276" s="143" t="s">
        <v>472</v>
      </c>
      <c r="E276" s="143" t="s">
        <v>473</v>
      </c>
      <c r="F276" s="145">
        <v>20</v>
      </c>
      <c r="G276" s="149">
        <v>0.38</v>
      </c>
      <c r="H276" s="150">
        <v>0.09</v>
      </c>
      <c r="I276" s="147">
        <f>5.95%-L276</f>
        <v>5.5900000000000005E-2</v>
      </c>
      <c r="J276" s="182">
        <f t="shared" si="7"/>
        <v>0.62111111111111117</v>
      </c>
      <c r="K276" s="147">
        <v>3.5999999999999999E-3</v>
      </c>
      <c r="L276" s="147">
        <v>3.5999999999999999E-3</v>
      </c>
      <c r="M276" s="147">
        <f>L276/K276</f>
        <v>1</v>
      </c>
      <c r="N276" s="167" t="s">
        <v>667</v>
      </c>
      <c r="O276" s="113"/>
      <c r="P276" s="113"/>
      <c r="Q276" s="113"/>
      <c r="R276" s="113"/>
      <c r="S276" s="113"/>
      <c r="T276" s="113"/>
      <c r="U276" s="113"/>
      <c r="V276" s="113"/>
      <c r="W276" s="113"/>
      <c r="X276" s="113"/>
      <c r="Y276" s="113"/>
      <c r="Z276" s="113"/>
      <c r="AA276" s="113"/>
      <c r="AB276" s="113"/>
    </row>
    <row r="277" spans="1:28" ht="88.5" customHeight="1" thickBot="1" x14ac:dyDescent="0.3">
      <c r="A277" s="788"/>
      <c r="B277" s="151" t="s">
        <v>475</v>
      </c>
      <c r="C277" s="152" t="s">
        <v>476</v>
      </c>
      <c r="D277" s="151" t="s">
        <v>477</v>
      </c>
      <c r="E277" s="151" t="s">
        <v>468</v>
      </c>
      <c r="F277" s="153">
        <v>20</v>
      </c>
      <c r="G277" s="153">
        <v>13</v>
      </c>
      <c r="H277" s="155">
        <v>3</v>
      </c>
      <c r="I277" s="183">
        <v>2.34</v>
      </c>
      <c r="J277" s="182">
        <f t="shared" si="7"/>
        <v>0.77999999999999992</v>
      </c>
      <c r="K277" s="181">
        <v>0</v>
      </c>
      <c r="L277" s="181">
        <v>0</v>
      </c>
      <c r="M277" s="181">
        <v>0</v>
      </c>
      <c r="N277" s="179" t="s">
        <v>668</v>
      </c>
      <c r="O277" s="113"/>
      <c r="P277" s="113"/>
      <c r="Q277" s="113"/>
      <c r="R277" s="113"/>
      <c r="S277" s="113"/>
      <c r="T277" s="113"/>
      <c r="U277" s="113"/>
      <c r="V277" s="113"/>
      <c r="W277" s="113"/>
      <c r="X277" s="113"/>
      <c r="Y277" s="113"/>
      <c r="Z277" s="113"/>
      <c r="AA277" s="113"/>
      <c r="AB277" s="113"/>
    </row>
    <row r="278" spans="1:28" ht="54.75" customHeight="1" x14ac:dyDescent="0.25">
      <c r="A278" s="786" t="s">
        <v>427</v>
      </c>
      <c r="B278" s="175" t="s">
        <v>456</v>
      </c>
      <c r="C278" s="137" t="s">
        <v>457</v>
      </c>
      <c r="D278" s="136" t="s">
        <v>458</v>
      </c>
      <c r="E278" s="136" t="s">
        <v>459</v>
      </c>
      <c r="F278" s="138">
        <v>20</v>
      </c>
      <c r="G278" s="180">
        <v>24</v>
      </c>
      <c r="H278" s="181">
        <v>6</v>
      </c>
      <c r="I278" s="181">
        <v>5.04</v>
      </c>
      <c r="J278" s="182">
        <f t="shared" ref="J278:J298" si="8">I278/H278</f>
        <v>0.84</v>
      </c>
      <c r="K278" s="181">
        <v>0</v>
      </c>
      <c r="L278" s="181">
        <v>0</v>
      </c>
      <c r="M278" s="181">
        <v>0</v>
      </c>
      <c r="N278" s="249" t="s">
        <v>822</v>
      </c>
      <c r="O278" s="113"/>
      <c r="P278" s="113"/>
      <c r="Q278" s="113"/>
      <c r="R278" s="113"/>
      <c r="S278" s="113"/>
      <c r="T278" s="113"/>
      <c r="U278" s="113"/>
      <c r="V278" s="113"/>
      <c r="W278" s="113"/>
      <c r="X278" s="113"/>
      <c r="Y278" s="113"/>
      <c r="Z278" s="113"/>
      <c r="AA278" s="113"/>
      <c r="AB278" s="113"/>
    </row>
    <row r="279" spans="1:28" ht="99.75" customHeight="1" x14ac:dyDescent="0.25">
      <c r="A279" s="787"/>
      <c r="B279" s="176" t="s">
        <v>461</v>
      </c>
      <c r="C279" s="144" t="s">
        <v>462</v>
      </c>
      <c r="D279" s="143" t="s">
        <v>463</v>
      </c>
      <c r="E279" s="143" t="s">
        <v>459</v>
      </c>
      <c r="F279" s="145">
        <v>20</v>
      </c>
      <c r="G279" s="145">
        <v>15</v>
      </c>
      <c r="H279" s="30">
        <v>5</v>
      </c>
      <c r="I279" s="177">
        <v>4.2</v>
      </c>
      <c r="J279" s="182">
        <f t="shared" si="8"/>
        <v>0.84000000000000008</v>
      </c>
      <c r="K279" s="181">
        <v>0</v>
      </c>
      <c r="L279" s="181">
        <v>0</v>
      </c>
      <c r="M279" s="181">
        <v>0</v>
      </c>
      <c r="N279" s="249" t="s">
        <v>823</v>
      </c>
      <c r="O279" s="113"/>
      <c r="P279" s="113"/>
      <c r="Q279" s="113"/>
      <c r="R279" s="113"/>
      <c r="S279" s="113"/>
      <c r="T279" s="113"/>
      <c r="U279" s="113"/>
      <c r="V279" s="113"/>
      <c r="W279" s="113"/>
      <c r="X279" s="113"/>
      <c r="Y279" s="113"/>
      <c r="Z279" s="113"/>
      <c r="AA279" s="113"/>
      <c r="AB279" s="113"/>
    </row>
    <row r="280" spans="1:28" ht="69.75" customHeight="1" x14ac:dyDescent="0.25">
      <c r="A280" s="787"/>
      <c r="B280" s="176" t="s">
        <v>465</v>
      </c>
      <c r="C280" s="144" t="s">
        <v>466</v>
      </c>
      <c r="D280" s="143" t="s">
        <v>467</v>
      </c>
      <c r="E280" s="143" t="s">
        <v>468</v>
      </c>
      <c r="F280" s="145">
        <v>20</v>
      </c>
      <c r="G280" s="145">
        <v>15</v>
      </c>
      <c r="H280" s="30">
        <v>3</v>
      </c>
      <c r="I280" s="30">
        <v>2</v>
      </c>
      <c r="J280" s="182">
        <f t="shared" si="8"/>
        <v>0.66666666666666663</v>
      </c>
      <c r="K280" s="181">
        <v>0</v>
      </c>
      <c r="L280" s="181">
        <v>0</v>
      </c>
      <c r="M280" s="181">
        <v>0</v>
      </c>
      <c r="N280" s="249" t="s">
        <v>824</v>
      </c>
      <c r="O280" s="113"/>
      <c r="P280" s="113"/>
      <c r="Q280" s="113"/>
      <c r="R280" s="113"/>
      <c r="S280" s="113"/>
      <c r="T280" s="113"/>
      <c r="U280" s="113"/>
      <c r="V280" s="113"/>
      <c r="W280" s="113"/>
      <c r="X280" s="113"/>
      <c r="Y280" s="113"/>
      <c r="Z280" s="113"/>
      <c r="AA280" s="113"/>
      <c r="AB280" s="113"/>
    </row>
    <row r="281" spans="1:28" ht="60.75" customHeight="1" x14ac:dyDescent="0.25">
      <c r="A281" s="787"/>
      <c r="B281" s="176" t="s">
        <v>470</v>
      </c>
      <c r="C281" s="144" t="s">
        <v>471</v>
      </c>
      <c r="D281" s="143" t="s">
        <v>472</v>
      </c>
      <c r="E281" s="143" t="s">
        <v>473</v>
      </c>
      <c r="F281" s="145">
        <v>20</v>
      </c>
      <c r="G281" s="149">
        <v>0.38</v>
      </c>
      <c r="H281" s="150">
        <v>0.09</v>
      </c>
      <c r="I281" s="147">
        <f>6.8%-L281</f>
        <v>6.4399999999999999E-2</v>
      </c>
      <c r="J281" s="182">
        <f t="shared" si="8"/>
        <v>0.71555555555555561</v>
      </c>
      <c r="K281" s="147">
        <v>3.5999999999999999E-3</v>
      </c>
      <c r="L281" s="147">
        <v>3.5999999999999999E-3</v>
      </c>
      <c r="M281" s="147">
        <f>L281/K281</f>
        <v>1</v>
      </c>
      <c r="N281" s="249" t="s">
        <v>825</v>
      </c>
      <c r="O281" s="113"/>
      <c r="P281" s="113"/>
      <c r="Q281" s="113"/>
      <c r="R281" s="113"/>
      <c r="S281" s="113"/>
      <c r="T281" s="113"/>
      <c r="U281" s="113"/>
      <c r="V281" s="113"/>
      <c r="W281" s="113"/>
      <c r="X281" s="113"/>
      <c r="Y281" s="113"/>
      <c r="Z281" s="113"/>
      <c r="AA281" s="113"/>
      <c r="AB281" s="113"/>
    </row>
    <row r="282" spans="1:28" ht="75.75" customHeight="1" thickBot="1" x14ac:dyDescent="0.3">
      <c r="A282" s="788"/>
      <c r="B282" s="151" t="s">
        <v>475</v>
      </c>
      <c r="C282" s="152" t="s">
        <v>476</v>
      </c>
      <c r="D282" s="151" t="s">
        <v>477</v>
      </c>
      <c r="E282" s="151" t="s">
        <v>468</v>
      </c>
      <c r="F282" s="153">
        <v>20</v>
      </c>
      <c r="G282" s="153">
        <v>13</v>
      </c>
      <c r="H282" s="155">
        <v>3</v>
      </c>
      <c r="I282" s="183">
        <v>2.61</v>
      </c>
      <c r="J282" s="182">
        <f t="shared" si="8"/>
        <v>0.87</v>
      </c>
      <c r="K282" s="181">
        <v>0</v>
      </c>
      <c r="L282" s="181">
        <v>0</v>
      </c>
      <c r="M282" s="181">
        <v>0</v>
      </c>
      <c r="N282" s="250" t="s">
        <v>826</v>
      </c>
      <c r="O282" s="113"/>
      <c r="P282" s="113"/>
      <c r="Q282" s="113"/>
      <c r="R282" s="113"/>
      <c r="S282" s="113"/>
      <c r="T282" s="113"/>
      <c r="U282" s="113"/>
      <c r="V282" s="113"/>
      <c r="W282" s="113"/>
      <c r="X282" s="113"/>
      <c r="Y282" s="113"/>
      <c r="Z282" s="113"/>
      <c r="AA282" s="113"/>
      <c r="AB282" s="113"/>
    </row>
    <row r="283" spans="1:28" ht="94.5" customHeight="1" x14ac:dyDescent="0.25">
      <c r="A283" s="786" t="s">
        <v>428</v>
      </c>
      <c r="B283" s="175" t="s">
        <v>456</v>
      </c>
      <c r="C283" s="137" t="s">
        <v>457</v>
      </c>
      <c r="D283" s="136" t="s">
        <v>458</v>
      </c>
      <c r="E283" s="136" t="s">
        <v>459</v>
      </c>
      <c r="F283" s="138">
        <v>20</v>
      </c>
      <c r="G283" s="180">
        <v>24</v>
      </c>
      <c r="H283" s="181">
        <v>6</v>
      </c>
      <c r="I283" s="181">
        <v>5.4</v>
      </c>
      <c r="J283" s="182">
        <f t="shared" si="8"/>
        <v>0.9</v>
      </c>
      <c r="K283" s="181">
        <v>0</v>
      </c>
      <c r="L283" s="181">
        <v>0</v>
      </c>
      <c r="M283" s="181">
        <v>0</v>
      </c>
      <c r="N283" s="167" t="s">
        <v>827</v>
      </c>
      <c r="O283" s="113"/>
      <c r="P283" s="113"/>
      <c r="Q283" s="113"/>
      <c r="R283" s="113"/>
      <c r="S283" s="113"/>
      <c r="T283" s="113"/>
      <c r="U283" s="113"/>
      <c r="V283" s="113"/>
      <c r="W283" s="113"/>
      <c r="X283" s="113"/>
      <c r="Y283" s="113"/>
      <c r="Z283" s="113"/>
      <c r="AA283" s="113"/>
      <c r="AB283" s="113"/>
    </row>
    <row r="284" spans="1:28" ht="102" customHeight="1" x14ac:dyDescent="0.25">
      <c r="A284" s="787"/>
      <c r="B284" s="176" t="s">
        <v>461</v>
      </c>
      <c r="C284" s="144" t="s">
        <v>462</v>
      </c>
      <c r="D284" s="143" t="s">
        <v>463</v>
      </c>
      <c r="E284" s="143" t="s">
        <v>459</v>
      </c>
      <c r="F284" s="145">
        <v>20</v>
      </c>
      <c r="G284" s="145">
        <v>15</v>
      </c>
      <c r="H284" s="30">
        <v>5</v>
      </c>
      <c r="I284" s="177">
        <v>4.55</v>
      </c>
      <c r="J284" s="182">
        <f t="shared" si="8"/>
        <v>0.90999999999999992</v>
      </c>
      <c r="K284" s="181">
        <v>0</v>
      </c>
      <c r="L284" s="181">
        <v>0</v>
      </c>
      <c r="M284" s="181">
        <v>0</v>
      </c>
      <c r="N284" s="167" t="s">
        <v>828</v>
      </c>
      <c r="O284" s="113"/>
      <c r="P284" s="113"/>
      <c r="Q284" s="113"/>
      <c r="R284" s="113"/>
      <c r="S284" s="113"/>
      <c r="T284" s="113"/>
      <c r="U284" s="113"/>
      <c r="V284" s="113"/>
      <c r="W284" s="113"/>
      <c r="X284" s="113"/>
      <c r="Y284" s="113"/>
      <c r="Z284" s="113"/>
      <c r="AA284" s="113"/>
      <c r="AB284" s="113"/>
    </row>
    <row r="285" spans="1:28" ht="72" customHeight="1" x14ac:dyDescent="0.25">
      <c r="A285" s="787"/>
      <c r="B285" s="176" t="s">
        <v>465</v>
      </c>
      <c r="C285" s="144" t="s">
        <v>466</v>
      </c>
      <c r="D285" s="143" t="s">
        <v>467</v>
      </c>
      <c r="E285" s="143" t="s">
        <v>468</v>
      </c>
      <c r="F285" s="145">
        <v>20</v>
      </c>
      <c r="G285" s="145">
        <v>15</v>
      </c>
      <c r="H285" s="30">
        <v>3</v>
      </c>
      <c r="I285" s="30">
        <v>2.31</v>
      </c>
      <c r="J285" s="182">
        <f t="shared" si="8"/>
        <v>0.77</v>
      </c>
      <c r="K285" s="181">
        <v>0</v>
      </c>
      <c r="L285" s="181">
        <v>0</v>
      </c>
      <c r="M285" s="181">
        <v>0</v>
      </c>
      <c r="N285" s="167" t="s">
        <v>829</v>
      </c>
      <c r="O285" s="113"/>
      <c r="P285" s="113"/>
      <c r="Q285" s="113"/>
      <c r="R285" s="113"/>
      <c r="S285" s="113"/>
      <c r="T285" s="113"/>
      <c r="U285" s="113"/>
      <c r="V285" s="113"/>
      <c r="W285" s="113"/>
      <c r="X285" s="113"/>
      <c r="Y285" s="113"/>
      <c r="Z285" s="113"/>
      <c r="AA285" s="113"/>
      <c r="AB285" s="113"/>
    </row>
    <row r="286" spans="1:28" ht="73.5" customHeight="1" x14ac:dyDescent="0.25">
      <c r="A286" s="787"/>
      <c r="B286" s="176" t="s">
        <v>470</v>
      </c>
      <c r="C286" s="144" t="s">
        <v>471</v>
      </c>
      <c r="D286" s="143" t="s">
        <v>472</v>
      </c>
      <c r="E286" s="143" t="s">
        <v>473</v>
      </c>
      <c r="F286" s="145">
        <v>20</v>
      </c>
      <c r="G286" s="149">
        <v>0.38</v>
      </c>
      <c r="H286" s="150">
        <v>0.09</v>
      </c>
      <c r="I286" s="147">
        <f>7.65%-L286</f>
        <v>7.2899999999999993E-2</v>
      </c>
      <c r="J286" s="182">
        <f t="shared" si="8"/>
        <v>0.80999999999999994</v>
      </c>
      <c r="K286" s="147">
        <v>3.5999999999999999E-3</v>
      </c>
      <c r="L286" s="147">
        <v>3.5999999999999999E-3</v>
      </c>
      <c r="M286" s="147">
        <f>L286/K286</f>
        <v>1</v>
      </c>
      <c r="N286" s="167" t="s">
        <v>830</v>
      </c>
      <c r="O286" s="113"/>
      <c r="P286" s="113"/>
      <c r="Q286" s="113"/>
      <c r="R286" s="113"/>
      <c r="S286" s="113"/>
      <c r="T286" s="113"/>
      <c r="U286" s="113"/>
      <c r="V286" s="113"/>
      <c r="W286" s="113"/>
      <c r="X286" s="113"/>
      <c r="Y286" s="113"/>
      <c r="Z286" s="113"/>
      <c r="AA286" s="113"/>
      <c r="AB286" s="113"/>
    </row>
    <row r="287" spans="1:28" ht="77.25" customHeight="1" thickBot="1" x14ac:dyDescent="0.3">
      <c r="A287" s="788"/>
      <c r="B287" s="151" t="s">
        <v>475</v>
      </c>
      <c r="C287" s="152" t="s">
        <v>476</v>
      </c>
      <c r="D287" s="151" t="s">
        <v>477</v>
      </c>
      <c r="E287" s="151" t="s">
        <v>468</v>
      </c>
      <c r="F287" s="153">
        <v>20</v>
      </c>
      <c r="G287" s="153">
        <v>13</v>
      </c>
      <c r="H287" s="155">
        <v>3</v>
      </c>
      <c r="I287" s="183">
        <v>2.79</v>
      </c>
      <c r="J287" s="182">
        <f t="shared" si="8"/>
        <v>0.93</v>
      </c>
      <c r="K287" s="181">
        <v>0</v>
      </c>
      <c r="L287" s="181">
        <v>0</v>
      </c>
      <c r="M287" s="181">
        <v>0</v>
      </c>
      <c r="N287" s="179" t="s">
        <v>831</v>
      </c>
      <c r="O287" s="113"/>
      <c r="P287" s="113"/>
      <c r="Q287" s="113"/>
      <c r="R287" s="113"/>
      <c r="S287" s="113"/>
      <c r="T287" s="113"/>
      <c r="U287" s="113"/>
      <c r="V287" s="113"/>
      <c r="W287" s="113"/>
      <c r="X287" s="113"/>
      <c r="Y287" s="113"/>
      <c r="Z287" s="113"/>
      <c r="AA287" s="113"/>
      <c r="AB287" s="113"/>
    </row>
    <row r="288" spans="1:28" ht="54.75" customHeight="1" x14ac:dyDescent="0.25">
      <c r="A288" s="786" t="s">
        <v>429</v>
      </c>
      <c r="B288" s="175" t="s">
        <v>456</v>
      </c>
      <c r="C288" s="137" t="s">
        <v>457</v>
      </c>
      <c r="D288" s="136" t="s">
        <v>458</v>
      </c>
      <c r="E288" s="136" t="s">
        <v>459</v>
      </c>
      <c r="F288" s="138">
        <v>20</v>
      </c>
      <c r="G288" s="180">
        <v>24</v>
      </c>
      <c r="H288" s="181">
        <v>6</v>
      </c>
      <c r="I288" s="181">
        <v>5.7</v>
      </c>
      <c r="J288" s="182">
        <f t="shared" si="8"/>
        <v>0.95000000000000007</v>
      </c>
      <c r="K288" s="181">
        <v>0</v>
      </c>
      <c r="L288" s="181">
        <v>0</v>
      </c>
      <c r="M288" s="181">
        <v>0</v>
      </c>
      <c r="N288" s="167" t="s">
        <v>832</v>
      </c>
      <c r="O288" s="113"/>
      <c r="P288" s="113"/>
      <c r="Q288" s="113"/>
      <c r="R288" s="113"/>
      <c r="S288" s="113"/>
      <c r="T288" s="113"/>
      <c r="U288" s="113"/>
      <c r="V288" s="113"/>
      <c r="W288" s="113"/>
      <c r="X288" s="113"/>
      <c r="Y288" s="113"/>
      <c r="Z288" s="113"/>
      <c r="AA288" s="113"/>
      <c r="AB288" s="113"/>
    </row>
    <row r="289" spans="1:28" ht="75" x14ac:dyDescent="0.25">
      <c r="A289" s="787"/>
      <c r="B289" s="176" t="s">
        <v>461</v>
      </c>
      <c r="C289" s="144" t="s">
        <v>462</v>
      </c>
      <c r="D289" s="143" t="s">
        <v>463</v>
      </c>
      <c r="E289" s="143" t="s">
        <v>459</v>
      </c>
      <c r="F289" s="145">
        <v>20</v>
      </c>
      <c r="G289" s="145">
        <v>15</v>
      </c>
      <c r="H289" s="30">
        <v>5</v>
      </c>
      <c r="I289" s="177">
        <v>4.8</v>
      </c>
      <c r="J289" s="182">
        <f t="shared" si="8"/>
        <v>0.96</v>
      </c>
      <c r="K289" s="181">
        <v>0</v>
      </c>
      <c r="L289" s="181">
        <v>0</v>
      </c>
      <c r="M289" s="181">
        <v>0</v>
      </c>
      <c r="N289" s="167" t="s">
        <v>833</v>
      </c>
      <c r="O289" s="113"/>
      <c r="P289" s="113"/>
      <c r="Q289" s="113"/>
      <c r="R289" s="113"/>
      <c r="S289" s="113"/>
      <c r="T289" s="113"/>
      <c r="U289" s="113"/>
      <c r="V289" s="113"/>
      <c r="W289" s="113"/>
      <c r="X289" s="113"/>
      <c r="Y289" s="113"/>
      <c r="Z289" s="113"/>
      <c r="AA289" s="113"/>
      <c r="AB289" s="113"/>
    </row>
    <row r="290" spans="1:28" ht="45" x14ac:dyDescent="0.25">
      <c r="A290" s="787"/>
      <c r="B290" s="176" t="s">
        <v>465</v>
      </c>
      <c r="C290" s="144" t="s">
        <v>466</v>
      </c>
      <c r="D290" s="143" t="s">
        <v>467</v>
      </c>
      <c r="E290" s="143" t="s">
        <v>468</v>
      </c>
      <c r="F290" s="145">
        <v>20</v>
      </c>
      <c r="G290" s="145">
        <v>15</v>
      </c>
      <c r="H290" s="30">
        <v>3</v>
      </c>
      <c r="I290" s="30">
        <v>2.64</v>
      </c>
      <c r="J290" s="182">
        <f t="shared" si="8"/>
        <v>0.88</v>
      </c>
      <c r="K290" s="181">
        <v>0</v>
      </c>
      <c r="L290" s="181">
        <v>0</v>
      </c>
      <c r="M290" s="181">
        <v>0</v>
      </c>
      <c r="N290" s="167" t="s">
        <v>834</v>
      </c>
      <c r="O290" s="113"/>
      <c r="P290" s="113"/>
      <c r="Q290" s="113"/>
      <c r="R290" s="113"/>
      <c r="S290" s="113"/>
      <c r="T290" s="113"/>
      <c r="U290" s="113"/>
      <c r="V290" s="113"/>
      <c r="W290" s="113"/>
      <c r="X290" s="113"/>
      <c r="Y290" s="113"/>
      <c r="Z290" s="113"/>
      <c r="AA290" s="113"/>
      <c r="AB290" s="113"/>
    </row>
    <row r="291" spans="1:28" ht="45" x14ac:dyDescent="0.25">
      <c r="A291" s="787"/>
      <c r="B291" s="176" t="s">
        <v>470</v>
      </c>
      <c r="C291" s="144" t="s">
        <v>471</v>
      </c>
      <c r="D291" s="143" t="s">
        <v>472</v>
      </c>
      <c r="E291" s="143" t="s">
        <v>473</v>
      </c>
      <c r="F291" s="145">
        <v>20</v>
      </c>
      <c r="G291" s="149">
        <v>0.38</v>
      </c>
      <c r="H291" s="150">
        <v>0.09</v>
      </c>
      <c r="I291" s="147">
        <f>8.5%-L291</f>
        <v>8.14E-2</v>
      </c>
      <c r="J291" s="182">
        <f t="shared" si="8"/>
        <v>0.9044444444444445</v>
      </c>
      <c r="K291" s="147">
        <v>3.5999999999999999E-3</v>
      </c>
      <c r="L291" s="147">
        <v>3.5999999999999999E-3</v>
      </c>
      <c r="M291" s="147">
        <f>L291/K291</f>
        <v>1</v>
      </c>
      <c r="N291" s="167" t="s">
        <v>835</v>
      </c>
      <c r="O291" s="113"/>
      <c r="P291" s="113"/>
      <c r="Q291" s="113"/>
      <c r="R291" s="113"/>
      <c r="S291" s="113"/>
      <c r="T291" s="113"/>
      <c r="U291" s="113"/>
      <c r="V291" s="113"/>
      <c r="W291" s="113"/>
      <c r="X291" s="113"/>
      <c r="Y291" s="113"/>
      <c r="Z291" s="113"/>
      <c r="AA291" s="113"/>
      <c r="AB291" s="113"/>
    </row>
    <row r="292" spans="1:28" ht="60.75" thickBot="1" x14ac:dyDescent="0.3">
      <c r="A292" s="788"/>
      <c r="B292" s="151" t="s">
        <v>475</v>
      </c>
      <c r="C292" s="152" t="s">
        <v>476</v>
      </c>
      <c r="D292" s="151" t="s">
        <v>477</v>
      </c>
      <c r="E292" s="151" t="s">
        <v>468</v>
      </c>
      <c r="F292" s="153">
        <v>20</v>
      </c>
      <c r="G292" s="153">
        <v>13</v>
      </c>
      <c r="H292" s="155">
        <v>3</v>
      </c>
      <c r="I292" s="183">
        <v>2.91</v>
      </c>
      <c r="J292" s="182">
        <f t="shared" si="8"/>
        <v>0.97000000000000008</v>
      </c>
      <c r="K292" s="181">
        <v>0</v>
      </c>
      <c r="L292" s="181">
        <v>0</v>
      </c>
      <c r="M292" s="181">
        <v>0</v>
      </c>
      <c r="N292" s="179" t="s">
        <v>836</v>
      </c>
      <c r="O292" s="113"/>
      <c r="P292" s="113"/>
      <c r="Q292" s="113"/>
      <c r="R292" s="113"/>
      <c r="S292" s="113"/>
      <c r="T292" s="113"/>
      <c r="U292" s="113"/>
      <c r="V292" s="113"/>
      <c r="W292" s="113"/>
      <c r="X292" s="113"/>
      <c r="Y292" s="113"/>
      <c r="Z292" s="113"/>
      <c r="AA292" s="113"/>
      <c r="AB292" s="113"/>
    </row>
    <row r="293" spans="1:28" ht="45" x14ac:dyDescent="0.25">
      <c r="A293" s="786" t="s">
        <v>430</v>
      </c>
      <c r="B293" s="175" t="s">
        <v>456</v>
      </c>
      <c r="C293" s="137" t="s">
        <v>457</v>
      </c>
      <c r="D293" s="136" t="s">
        <v>458</v>
      </c>
      <c r="E293" s="136" t="s">
        <v>459</v>
      </c>
      <c r="F293" s="138">
        <v>20</v>
      </c>
      <c r="G293" s="180">
        <v>24</v>
      </c>
      <c r="H293" s="181">
        <v>6</v>
      </c>
      <c r="I293" s="181">
        <v>6</v>
      </c>
      <c r="J293" s="182">
        <f t="shared" si="8"/>
        <v>1</v>
      </c>
      <c r="K293" s="181">
        <v>0</v>
      </c>
      <c r="L293" s="181">
        <v>0</v>
      </c>
      <c r="M293" s="181">
        <v>0</v>
      </c>
      <c r="N293" s="167" t="s">
        <v>837</v>
      </c>
      <c r="O293" s="113"/>
      <c r="P293" s="113"/>
      <c r="Q293" s="113"/>
      <c r="R293" s="113"/>
      <c r="S293" s="113"/>
      <c r="T293" s="113"/>
      <c r="U293" s="113"/>
      <c r="V293" s="113"/>
      <c r="W293" s="113"/>
      <c r="X293" s="113"/>
      <c r="Y293" s="113"/>
      <c r="Z293" s="113"/>
      <c r="AA293" s="113"/>
      <c r="AB293" s="113"/>
    </row>
    <row r="294" spans="1:28" ht="75" x14ac:dyDescent="0.25">
      <c r="A294" s="787"/>
      <c r="B294" s="176" t="s">
        <v>461</v>
      </c>
      <c r="C294" s="144" t="s">
        <v>462</v>
      </c>
      <c r="D294" s="143" t="s">
        <v>463</v>
      </c>
      <c r="E294" s="143" t="s">
        <v>459</v>
      </c>
      <c r="F294" s="145">
        <v>20</v>
      </c>
      <c r="G294" s="145">
        <v>15</v>
      </c>
      <c r="H294" s="30">
        <v>5</v>
      </c>
      <c r="I294" s="177">
        <v>5</v>
      </c>
      <c r="J294" s="182">
        <f t="shared" si="8"/>
        <v>1</v>
      </c>
      <c r="K294" s="181">
        <v>0</v>
      </c>
      <c r="L294" s="181">
        <v>0</v>
      </c>
      <c r="M294" s="181">
        <v>0</v>
      </c>
      <c r="N294" s="167" t="s">
        <v>838</v>
      </c>
      <c r="O294" s="113"/>
      <c r="P294" s="113"/>
      <c r="Q294" s="113"/>
      <c r="R294" s="113"/>
      <c r="S294" s="113"/>
      <c r="T294" s="113"/>
      <c r="U294" s="113"/>
      <c r="V294" s="113"/>
      <c r="W294" s="113"/>
      <c r="X294" s="113"/>
      <c r="Y294" s="113"/>
      <c r="Z294" s="113"/>
      <c r="AA294" s="113"/>
      <c r="AB294" s="113"/>
    </row>
    <row r="295" spans="1:28" ht="45" x14ac:dyDescent="0.25">
      <c r="A295" s="787"/>
      <c r="B295" s="176" t="s">
        <v>465</v>
      </c>
      <c r="C295" s="144" t="s">
        <v>466</v>
      </c>
      <c r="D295" s="143" t="s">
        <v>467</v>
      </c>
      <c r="E295" s="143" t="s">
        <v>468</v>
      </c>
      <c r="F295" s="145">
        <v>20</v>
      </c>
      <c r="G295" s="145">
        <v>15</v>
      </c>
      <c r="H295" s="30">
        <v>3</v>
      </c>
      <c r="I295" s="30">
        <v>3</v>
      </c>
      <c r="J295" s="182">
        <f t="shared" si="8"/>
        <v>1</v>
      </c>
      <c r="K295" s="181">
        <v>0</v>
      </c>
      <c r="L295" s="181">
        <v>0</v>
      </c>
      <c r="M295" s="181">
        <v>0</v>
      </c>
      <c r="N295" s="167" t="s">
        <v>622</v>
      </c>
      <c r="O295" s="113"/>
      <c r="P295" s="113"/>
      <c r="Q295" s="113"/>
      <c r="R295" s="113"/>
      <c r="S295" s="113"/>
      <c r="T295" s="113"/>
      <c r="U295" s="113"/>
      <c r="V295" s="113"/>
      <c r="W295" s="113"/>
      <c r="X295" s="113"/>
      <c r="Y295" s="113"/>
      <c r="Z295" s="113"/>
      <c r="AA295" s="113"/>
      <c r="AB295" s="113"/>
    </row>
    <row r="296" spans="1:28" ht="45" x14ac:dyDescent="0.25">
      <c r="A296" s="787"/>
      <c r="B296" s="176" t="s">
        <v>470</v>
      </c>
      <c r="C296" s="144" t="s">
        <v>471</v>
      </c>
      <c r="D296" s="143" t="s">
        <v>472</v>
      </c>
      <c r="E296" s="143" t="s">
        <v>473</v>
      </c>
      <c r="F296" s="145">
        <v>20</v>
      </c>
      <c r="G296" s="149">
        <v>0.38</v>
      </c>
      <c r="H296" s="150">
        <v>0.09</v>
      </c>
      <c r="I296" s="147">
        <f>8.93%-L296</f>
        <v>8.5699999999999985E-2</v>
      </c>
      <c r="J296" s="182">
        <f t="shared" si="8"/>
        <v>0.95222222222222208</v>
      </c>
      <c r="K296" s="147">
        <v>3.5999999999999999E-3</v>
      </c>
      <c r="L296" s="147">
        <v>3.5999999999999999E-3</v>
      </c>
      <c r="M296" s="147">
        <f>L296/K296</f>
        <v>1</v>
      </c>
      <c r="N296" s="167" t="s">
        <v>840</v>
      </c>
      <c r="O296" s="113"/>
      <c r="P296" s="113"/>
      <c r="Q296" s="113"/>
      <c r="R296" s="113"/>
      <c r="S296" s="113"/>
      <c r="T296" s="113"/>
      <c r="U296" s="113"/>
      <c r="V296" s="113"/>
      <c r="W296" s="113"/>
      <c r="X296" s="113"/>
      <c r="Y296" s="113"/>
      <c r="Z296" s="113"/>
      <c r="AA296" s="113"/>
      <c r="AB296" s="113"/>
    </row>
    <row r="297" spans="1:28" ht="60.75" thickBot="1" x14ac:dyDescent="0.3">
      <c r="A297" s="788"/>
      <c r="B297" s="151" t="s">
        <v>475</v>
      </c>
      <c r="C297" s="152" t="s">
        <v>476</v>
      </c>
      <c r="D297" s="151" t="s">
        <v>477</v>
      </c>
      <c r="E297" s="151" t="s">
        <v>468</v>
      </c>
      <c r="F297" s="153">
        <v>20</v>
      </c>
      <c r="G297" s="153">
        <v>13</v>
      </c>
      <c r="H297" s="155">
        <v>3</v>
      </c>
      <c r="I297" s="183">
        <v>3</v>
      </c>
      <c r="J297" s="182">
        <f t="shared" si="8"/>
        <v>1</v>
      </c>
      <c r="K297" s="181">
        <v>0</v>
      </c>
      <c r="L297" s="181">
        <v>0</v>
      </c>
      <c r="M297" s="181">
        <v>0</v>
      </c>
      <c r="N297" s="179" t="s">
        <v>839</v>
      </c>
      <c r="O297" s="113"/>
      <c r="P297" s="113"/>
      <c r="Q297" s="113"/>
      <c r="R297" s="113"/>
      <c r="S297" s="113"/>
      <c r="T297" s="113"/>
      <c r="U297" s="113"/>
      <c r="V297" s="113"/>
      <c r="W297" s="113"/>
      <c r="X297" s="113"/>
      <c r="Y297" s="113"/>
      <c r="Z297" s="113"/>
      <c r="AA297" s="113"/>
      <c r="AB297" s="113"/>
    </row>
    <row r="298" spans="1:28" ht="15.75" customHeight="1" thickBot="1" x14ac:dyDescent="0.3">
      <c r="A298" s="256"/>
      <c r="B298" s="123"/>
      <c r="C298" s="123"/>
      <c r="D298" s="123"/>
      <c r="E298" s="123"/>
      <c r="F298" s="123"/>
      <c r="G298" s="123"/>
      <c r="H298" s="123"/>
      <c r="I298" s="123"/>
      <c r="J298" s="123" t="e">
        <f t="shared" si="8"/>
        <v>#DIV/0!</v>
      </c>
      <c r="K298" s="123"/>
      <c r="L298" s="123"/>
      <c r="M298" s="123" t="e">
        <f>L298/K298</f>
        <v>#DIV/0!</v>
      </c>
      <c r="N298" s="184"/>
      <c r="O298" s="113"/>
      <c r="P298" s="113"/>
      <c r="Q298" s="113"/>
      <c r="R298" s="113"/>
      <c r="S298" s="113"/>
      <c r="T298" s="113"/>
      <c r="U298" s="113"/>
      <c r="V298" s="113"/>
      <c r="W298" s="113"/>
      <c r="X298" s="113"/>
      <c r="Y298" s="113"/>
      <c r="Z298" s="113"/>
      <c r="AA298" s="113"/>
      <c r="AB298" s="113"/>
    </row>
    <row r="299" spans="1:28" ht="15.75" customHeight="1" thickBot="1" x14ac:dyDescent="0.3">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row>
    <row r="300" spans="1:28" ht="15.75" customHeight="1" x14ac:dyDescent="0.25">
      <c r="A300" s="770" t="s">
        <v>669</v>
      </c>
      <c r="B300" s="592"/>
      <c r="C300" s="592"/>
      <c r="D300" s="592"/>
      <c r="E300" s="592"/>
      <c r="F300" s="592"/>
      <c r="G300" s="592"/>
      <c r="H300" s="592"/>
      <c r="I300" s="592"/>
      <c r="J300" s="592"/>
      <c r="K300" s="592"/>
      <c r="L300" s="592"/>
      <c r="M300" s="592"/>
      <c r="N300" s="689"/>
      <c r="O300" s="113"/>
      <c r="P300" s="113"/>
      <c r="Q300" s="113"/>
      <c r="R300" s="113"/>
      <c r="S300" s="113"/>
      <c r="T300" s="113"/>
      <c r="U300" s="113"/>
      <c r="V300" s="113"/>
      <c r="W300" s="113"/>
      <c r="X300" s="113"/>
      <c r="Y300" s="113"/>
      <c r="Z300" s="113"/>
      <c r="AA300" s="113"/>
      <c r="AB300" s="113"/>
    </row>
    <row r="301" spans="1:28" ht="44.25" customHeight="1" thickBot="1" x14ac:dyDescent="0.3">
      <c r="A301" s="114" t="s">
        <v>29</v>
      </c>
      <c r="B301" s="115" t="s">
        <v>443</v>
      </c>
      <c r="C301" s="115" t="s">
        <v>444</v>
      </c>
      <c r="D301" s="115" t="s">
        <v>445</v>
      </c>
      <c r="E301" s="115" t="s">
        <v>446</v>
      </c>
      <c r="F301" s="115" t="s">
        <v>670</v>
      </c>
      <c r="G301" s="115" t="s">
        <v>448</v>
      </c>
      <c r="H301" s="115" t="s">
        <v>671</v>
      </c>
      <c r="I301" s="115" t="s">
        <v>672</v>
      </c>
      <c r="J301" s="164" t="s">
        <v>673</v>
      </c>
      <c r="K301" s="115" t="s">
        <v>452</v>
      </c>
      <c r="L301" s="115" t="s">
        <v>453</v>
      </c>
      <c r="M301" s="115" t="s">
        <v>454</v>
      </c>
      <c r="N301" s="116" t="s">
        <v>564</v>
      </c>
      <c r="O301" s="113"/>
      <c r="P301" s="113"/>
      <c r="Q301" s="113"/>
      <c r="R301" s="113"/>
      <c r="S301" s="113"/>
      <c r="T301" s="113"/>
      <c r="U301" s="113"/>
      <c r="V301" s="113"/>
      <c r="W301" s="113"/>
      <c r="X301" s="113"/>
      <c r="Y301" s="113"/>
      <c r="Z301" s="113"/>
      <c r="AA301" s="113"/>
      <c r="AB301" s="113"/>
    </row>
    <row r="302" spans="1:28" ht="45" x14ac:dyDescent="0.25">
      <c r="A302" s="786" t="s">
        <v>432</v>
      </c>
      <c r="B302" s="175" t="s">
        <v>456</v>
      </c>
      <c r="C302" s="137" t="s">
        <v>457</v>
      </c>
      <c r="D302" s="136" t="s">
        <v>458</v>
      </c>
      <c r="E302" s="136" t="s">
        <v>459</v>
      </c>
      <c r="F302" s="138">
        <v>20</v>
      </c>
      <c r="G302" s="180">
        <v>24</v>
      </c>
      <c r="H302" s="181">
        <v>4</v>
      </c>
      <c r="I302" s="181">
        <v>0.4</v>
      </c>
      <c r="J302" s="182">
        <f t="shared" ref="J302:J326" si="9">I302/H302</f>
        <v>0.1</v>
      </c>
      <c r="K302" s="181">
        <v>0</v>
      </c>
      <c r="L302" s="181">
        <v>0</v>
      </c>
      <c r="M302" s="181">
        <v>0</v>
      </c>
      <c r="N302" s="167" t="s">
        <v>845</v>
      </c>
      <c r="O302" s="113"/>
      <c r="P302" s="113"/>
      <c r="Q302" s="113"/>
      <c r="R302" s="113"/>
      <c r="S302" s="113"/>
      <c r="T302" s="113"/>
      <c r="U302" s="113"/>
      <c r="V302" s="113"/>
      <c r="W302" s="113"/>
      <c r="X302" s="113"/>
      <c r="Y302" s="113"/>
      <c r="Z302" s="113"/>
      <c r="AA302" s="113"/>
      <c r="AB302" s="113"/>
    </row>
    <row r="303" spans="1:28" ht="75" x14ac:dyDescent="0.25">
      <c r="A303" s="787"/>
      <c r="B303" s="176" t="s">
        <v>461</v>
      </c>
      <c r="C303" s="144" t="s">
        <v>462</v>
      </c>
      <c r="D303" s="143" t="s">
        <v>463</v>
      </c>
      <c r="E303" s="143" t="s">
        <v>459</v>
      </c>
      <c r="F303" s="145">
        <v>20</v>
      </c>
      <c r="G303" s="145">
        <v>15</v>
      </c>
      <c r="H303" s="30">
        <v>2</v>
      </c>
      <c r="I303" s="177">
        <v>0.2</v>
      </c>
      <c r="J303" s="182">
        <f t="shared" si="9"/>
        <v>0.1</v>
      </c>
      <c r="K303" s="181">
        <v>0</v>
      </c>
      <c r="L303" s="181">
        <v>0</v>
      </c>
      <c r="M303" s="181">
        <v>0</v>
      </c>
      <c r="N303" s="167" t="s">
        <v>846</v>
      </c>
      <c r="O303" s="113"/>
      <c r="P303" s="113"/>
      <c r="Q303" s="113"/>
      <c r="R303" s="113"/>
      <c r="S303" s="113"/>
      <c r="T303" s="113"/>
      <c r="U303" s="113"/>
      <c r="V303" s="113"/>
      <c r="W303" s="113"/>
      <c r="X303" s="113"/>
      <c r="Y303" s="113"/>
      <c r="Z303" s="113"/>
      <c r="AA303" s="113"/>
      <c r="AB303" s="113"/>
    </row>
    <row r="304" spans="1:28" ht="45" x14ac:dyDescent="0.25">
      <c r="A304" s="787"/>
      <c r="B304" s="176" t="s">
        <v>465</v>
      </c>
      <c r="C304" s="144" t="s">
        <v>466</v>
      </c>
      <c r="D304" s="143" t="s">
        <v>467</v>
      </c>
      <c r="E304" s="143" t="s">
        <v>468</v>
      </c>
      <c r="F304" s="145">
        <v>20</v>
      </c>
      <c r="G304" s="145">
        <v>15</v>
      </c>
      <c r="H304" s="30">
        <v>2</v>
      </c>
      <c r="I304" s="30">
        <v>0.17</v>
      </c>
      <c r="J304" s="182">
        <f t="shared" si="9"/>
        <v>8.5000000000000006E-2</v>
      </c>
      <c r="K304" s="181">
        <v>0</v>
      </c>
      <c r="L304" s="181">
        <v>0</v>
      </c>
      <c r="M304" s="181">
        <v>0</v>
      </c>
      <c r="N304" s="167" t="s">
        <v>847</v>
      </c>
      <c r="O304" s="113"/>
      <c r="P304" s="113"/>
      <c r="Q304" s="113"/>
      <c r="R304" s="113"/>
      <c r="S304" s="113"/>
      <c r="T304" s="113"/>
      <c r="U304" s="113"/>
      <c r="V304" s="113"/>
      <c r="W304" s="113"/>
      <c r="X304" s="113"/>
      <c r="Y304" s="113"/>
      <c r="Z304" s="113"/>
      <c r="AA304" s="113"/>
      <c r="AB304" s="113"/>
    </row>
    <row r="305" spans="1:28" ht="45" x14ac:dyDescent="0.25">
      <c r="A305" s="787"/>
      <c r="B305" s="176" t="s">
        <v>470</v>
      </c>
      <c r="C305" s="144" t="s">
        <v>471</v>
      </c>
      <c r="D305" s="143" t="s">
        <v>472</v>
      </c>
      <c r="E305" s="143" t="s">
        <v>473</v>
      </c>
      <c r="F305" s="145">
        <v>20</v>
      </c>
      <c r="G305" s="149">
        <v>0.38</v>
      </c>
      <c r="H305" s="150">
        <v>5.4300000000000001E-2</v>
      </c>
      <c r="I305" s="147">
        <v>1.0800000000000001E-2</v>
      </c>
      <c r="J305" s="182">
        <f t="shared" si="9"/>
        <v>0.19889502762430941</v>
      </c>
      <c r="K305" s="147">
        <v>0</v>
      </c>
      <c r="L305" s="147">
        <v>0</v>
      </c>
      <c r="M305" s="147" t="e">
        <f>L305/K305</f>
        <v>#DIV/0!</v>
      </c>
      <c r="N305" s="167" t="s">
        <v>848</v>
      </c>
      <c r="O305" s="113"/>
      <c r="P305" s="113"/>
      <c r="Q305" s="113"/>
      <c r="R305" s="113"/>
      <c r="S305" s="113"/>
      <c r="T305" s="113"/>
      <c r="U305" s="113"/>
      <c r="V305" s="113"/>
      <c r="W305" s="113"/>
      <c r="X305" s="113"/>
      <c r="Y305" s="113"/>
      <c r="Z305" s="113"/>
      <c r="AA305" s="113"/>
      <c r="AB305" s="113"/>
    </row>
    <row r="306" spans="1:28" ht="60.75" thickBot="1" x14ac:dyDescent="0.3">
      <c r="A306" s="788"/>
      <c r="B306" s="151" t="s">
        <v>475</v>
      </c>
      <c r="C306" s="152" t="s">
        <v>476</v>
      </c>
      <c r="D306" s="151" t="s">
        <v>477</v>
      </c>
      <c r="E306" s="151" t="s">
        <v>468</v>
      </c>
      <c r="F306" s="153">
        <v>20</v>
      </c>
      <c r="G306" s="153">
        <v>13</v>
      </c>
      <c r="H306" s="155">
        <v>2</v>
      </c>
      <c r="I306" s="183">
        <v>0.2</v>
      </c>
      <c r="J306" s="182">
        <f t="shared" si="9"/>
        <v>0.1</v>
      </c>
      <c r="K306" s="181">
        <v>0</v>
      </c>
      <c r="L306" s="181">
        <v>0</v>
      </c>
      <c r="M306" s="181">
        <v>0</v>
      </c>
      <c r="N306" s="179" t="s">
        <v>849</v>
      </c>
      <c r="O306" s="113"/>
      <c r="P306" s="113"/>
      <c r="Q306" s="113"/>
      <c r="R306" s="113"/>
      <c r="S306" s="113"/>
      <c r="T306" s="113"/>
      <c r="U306" s="113"/>
      <c r="V306" s="113"/>
      <c r="W306" s="113"/>
      <c r="X306" s="113"/>
      <c r="Y306" s="113"/>
      <c r="Z306" s="113"/>
      <c r="AA306" s="113"/>
      <c r="AB306" s="113"/>
    </row>
    <row r="307" spans="1:28" ht="50.25" customHeight="1" x14ac:dyDescent="0.25">
      <c r="A307" s="786" t="s">
        <v>434</v>
      </c>
      <c r="B307" s="175" t="s">
        <v>456</v>
      </c>
      <c r="C307" s="137" t="s">
        <v>457</v>
      </c>
      <c r="D307" s="136" t="s">
        <v>458</v>
      </c>
      <c r="E307" s="136" t="s">
        <v>459</v>
      </c>
      <c r="F307" s="138">
        <v>20</v>
      </c>
      <c r="G307" s="180">
        <v>24</v>
      </c>
      <c r="H307" s="181">
        <v>4</v>
      </c>
      <c r="I307" s="181">
        <v>1</v>
      </c>
      <c r="J307" s="182">
        <f t="shared" si="9"/>
        <v>0.25</v>
      </c>
      <c r="K307" s="181">
        <v>0</v>
      </c>
      <c r="L307" s="181">
        <v>0</v>
      </c>
      <c r="M307" s="181">
        <v>0</v>
      </c>
      <c r="N307" s="167" t="s">
        <v>857</v>
      </c>
      <c r="O307" s="113"/>
      <c r="P307" s="113"/>
      <c r="Q307" s="113"/>
      <c r="R307" s="113"/>
      <c r="S307" s="113"/>
      <c r="T307" s="113"/>
      <c r="U307" s="113"/>
      <c r="V307" s="113"/>
      <c r="W307" s="113"/>
      <c r="X307" s="113"/>
      <c r="Y307" s="113"/>
      <c r="Z307" s="113"/>
      <c r="AA307" s="113"/>
      <c r="AB307" s="113"/>
    </row>
    <row r="308" spans="1:28" ht="75" x14ac:dyDescent="0.25">
      <c r="A308" s="787"/>
      <c r="B308" s="176" t="s">
        <v>461</v>
      </c>
      <c r="C308" s="144" t="s">
        <v>462</v>
      </c>
      <c r="D308" s="143" t="s">
        <v>463</v>
      </c>
      <c r="E308" s="143" t="s">
        <v>459</v>
      </c>
      <c r="F308" s="145">
        <v>20</v>
      </c>
      <c r="G308" s="145">
        <v>15</v>
      </c>
      <c r="H308" s="30">
        <v>2</v>
      </c>
      <c r="I308" s="177">
        <v>0.5</v>
      </c>
      <c r="J308" s="182">
        <f t="shared" si="9"/>
        <v>0.25</v>
      </c>
      <c r="K308" s="181">
        <v>0</v>
      </c>
      <c r="L308" s="181">
        <v>0</v>
      </c>
      <c r="M308" s="181">
        <v>0</v>
      </c>
      <c r="N308" s="167" t="s">
        <v>858</v>
      </c>
      <c r="O308" s="113"/>
      <c r="P308" s="113"/>
      <c r="Q308" s="113"/>
      <c r="R308" s="113"/>
      <c r="S308" s="113"/>
      <c r="T308" s="113"/>
      <c r="U308" s="113"/>
      <c r="V308" s="113"/>
      <c r="W308" s="113"/>
      <c r="X308" s="113"/>
      <c r="Y308" s="113"/>
      <c r="Z308" s="113"/>
      <c r="AA308" s="113"/>
      <c r="AB308" s="113"/>
    </row>
    <row r="309" spans="1:28" ht="45" x14ac:dyDescent="0.25">
      <c r="A309" s="787"/>
      <c r="B309" s="176" t="s">
        <v>465</v>
      </c>
      <c r="C309" s="144" t="s">
        <v>466</v>
      </c>
      <c r="D309" s="143" t="s">
        <v>467</v>
      </c>
      <c r="E309" s="143" t="s">
        <v>468</v>
      </c>
      <c r="F309" s="145">
        <v>20</v>
      </c>
      <c r="G309" s="145">
        <v>15</v>
      </c>
      <c r="H309" s="30">
        <v>2</v>
      </c>
      <c r="I309" s="30">
        <v>0.47</v>
      </c>
      <c r="J309" s="182">
        <f t="shared" si="9"/>
        <v>0.23499999999999999</v>
      </c>
      <c r="K309" s="181">
        <v>0</v>
      </c>
      <c r="L309" s="181">
        <v>0</v>
      </c>
      <c r="M309" s="181">
        <v>0</v>
      </c>
      <c r="N309" s="167" t="s">
        <v>859</v>
      </c>
      <c r="O309" s="113"/>
      <c r="P309" s="113"/>
      <c r="Q309" s="113"/>
      <c r="R309" s="113"/>
      <c r="S309" s="113"/>
      <c r="T309" s="113"/>
      <c r="U309" s="113"/>
      <c r="V309" s="113"/>
      <c r="W309" s="113"/>
      <c r="X309" s="113"/>
      <c r="Y309" s="113"/>
      <c r="Z309" s="113"/>
      <c r="AA309" s="113"/>
      <c r="AB309" s="113"/>
    </row>
    <row r="310" spans="1:28" ht="45" x14ac:dyDescent="0.25">
      <c r="A310" s="787"/>
      <c r="B310" s="176" t="s">
        <v>470</v>
      </c>
      <c r="C310" s="144" t="s">
        <v>471</v>
      </c>
      <c r="D310" s="143" t="s">
        <v>472</v>
      </c>
      <c r="E310" s="143" t="s">
        <v>473</v>
      </c>
      <c r="F310" s="145">
        <v>20</v>
      </c>
      <c r="G310" s="149">
        <v>0.38</v>
      </c>
      <c r="H310" s="150">
        <v>5.4300000000000001E-2</v>
      </c>
      <c r="I310" s="147">
        <v>2.1600000000000001E-2</v>
      </c>
      <c r="J310" s="182">
        <f t="shared" si="9"/>
        <v>0.39779005524861882</v>
      </c>
      <c r="K310" s="147">
        <v>0</v>
      </c>
      <c r="L310" s="147">
        <v>0</v>
      </c>
      <c r="M310" s="147" t="e">
        <f>L310/K310</f>
        <v>#DIV/0!</v>
      </c>
      <c r="N310" s="167" t="s">
        <v>860</v>
      </c>
      <c r="O310" s="113"/>
      <c r="P310" s="113"/>
      <c r="Q310" s="113"/>
      <c r="R310" s="113"/>
      <c r="S310" s="113"/>
      <c r="T310" s="113"/>
      <c r="U310" s="113"/>
      <c r="V310" s="113"/>
      <c r="W310" s="113"/>
      <c r="X310" s="113"/>
      <c r="Y310" s="113"/>
      <c r="Z310" s="113"/>
      <c r="AA310" s="113"/>
      <c r="AB310" s="113"/>
    </row>
    <row r="311" spans="1:28" ht="60.75" thickBot="1" x14ac:dyDescent="0.3">
      <c r="A311" s="788"/>
      <c r="B311" s="151" t="s">
        <v>475</v>
      </c>
      <c r="C311" s="152" t="s">
        <v>476</v>
      </c>
      <c r="D311" s="151" t="s">
        <v>477</v>
      </c>
      <c r="E311" s="151" t="s">
        <v>468</v>
      </c>
      <c r="F311" s="153">
        <v>20</v>
      </c>
      <c r="G311" s="153">
        <v>13</v>
      </c>
      <c r="H311" s="155">
        <v>2</v>
      </c>
      <c r="I311" s="183">
        <v>0.5</v>
      </c>
      <c r="J311" s="182">
        <f t="shared" si="9"/>
        <v>0.25</v>
      </c>
      <c r="K311" s="181">
        <v>0</v>
      </c>
      <c r="L311" s="181">
        <v>0</v>
      </c>
      <c r="M311" s="181">
        <v>0</v>
      </c>
      <c r="N311" s="179" t="s">
        <v>861</v>
      </c>
      <c r="O311" s="113"/>
      <c r="P311" s="113"/>
      <c r="Q311" s="113"/>
      <c r="R311" s="113"/>
      <c r="S311" s="113"/>
      <c r="T311" s="113"/>
      <c r="U311" s="113"/>
      <c r="V311" s="113"/>
      <c r="W311" s="113"/>
      <c r="X311" s="113"/>
      <c r="Y311" s="113"/>
      <c r="Z311" s="113"/>
      <c r="AA311" s="113"/>
      <c r="AB311" s="113"/>
    </row>
    <row r="312" spans="1:28" ht="55.5" customHeight="1" x14ac:dyDescent="0.25">
      <c r="A312" s="794" t="s">
        <v>435</v>
      </c>
      <c r="B312" s="317" t="s">
        <v>456</v>
      </c>
      <c r="C312" s="318" t="s">
        <v>457</v>
      </c>
      <c r="D312" s="304" t="s">
        <v>458</v>
      </c>
      <c r="E312" s="304" t="s">
        <v>459</v>
      </c>
      <c r="F312" s="289">
        <v>20</v>
      </c>
      <c r="G312" s="319">
        <v>24</v>
      </c>
      <c r="H312" s="291">
        <v>4</v>
      </c>
      <c r="I312" s="291">
        <v>2</v>
      </c>
      <c r="J312" s="292">
        <f t="shared" si="9"/>
        <v>0.5</v>
      </c>
      <c r="K312" s="291">
        <v>0</v>
      </c>
      <c r="L312" s="291">
        <v>0</v>
      </c>
      <c r="M312" s="291">
        <v>0</v>
      </c>
      <c r="N312" s="320" t="s">
        <v>862</v>
      </c>
      <c r="O312" s="113"/>
      <c r="P312" s="113"/>
      <c r="Q312" s="113"/>
      <c r="R312" s="113"/>
      <c r="S312" s="113"/>
      <c r="T312" s="113"/>
      <c r="U312" s="113"/>
      <c r="V312" s="113"/>
      <c r="W312" s="113"/>
      <c r="X312" s="113"/>
      <c r="Y312" s="113"/>
      <c r="Z312" s="113"/>
      <c r="AA312" s="113"/>
      <c r="AB312" s="113"/>
    </row>
    <row r="313" spans="1:28" ht="46.5" customHeight="1" x14ac:dyDescent="0.25">
      <c r="A313" s="795"/>
      <c r="B313" s="321" t="s">
        <v>461</v>
      </c>
      <c r="C313" s="322" t="s">
        <v>462</v>
      </c>
      <c r="D313" s="310" t="s">
        <v>463</v>
      </c>
      <c r="E313" s="310" t="s">
        <v>459</v>
      </c>
      <c r="F313" s="294">
        <v>20</v>
      </c>
      <c r="G313" s="294">
        <v>15</v>
      </c>
      <c r="H313" s="296">
        <v>2</v>
      </c>
      <c r="I313" s="323">
        <v>1</v>
      </c>
      <c r="J313" s="292">
        <f t="shared" si="9"/>
        <v>0.5</v>
      </c>
      <c r="K313" s="291">
        <v>0</v>
      </c>
      <c r="L313" s="291">
        <v>0</v>
      </c>
      <c r="M313" s="291">
        <v>0</v>
      </c>
      <c r="N313" s="320" t="s">
        <v>863</v>
      </c>
      <c r="O313" s="113"/>
      <c r="P313" s="113"/>
      <c r="Q313" s="113"/>
      <c r="R313" s="113"/>
      <c r="S313" s="113"/>
      <c r="T313" s="113"/>
      <c r="U313" s="113"/>
      <c r="V313" s="113"/>
      <c r="W313" s="113"/>
      <c r="X313" s="113"/>
      <c r="Y313" s="113"/>
      <c r="Z313" s="113"/>
      <c r="AA313" s="113"/>
      <c r="AB313" s="113"/>
    </row>
    <row r="314" spans="1:28" ht="61.5" customHeight="1" x14ac:dyDescent="0.25">
      <c r="A314" s="795"/>
      <c r="B314" s="321" t="s">
        <v>465</v>
      </c>
      <c r="C314" s="322" t="s">
        <v>466</v>
      </c>
      <c r="D314" s="310" t="s">
        <v>467</v>
      </c>
      <c r="E314" s="310" t="s">
        <v>468</v>
      </c>
      <c r="F314" s="294">
        <v>20</v>
      </c>
      <c r="G314" s="294">
        <v>15</v>
      </c>
      <c r="H314" s="296">
        <v>2</v>
      </c>
      <c r="I314" s="296">
        <v>0.92</v>
      </c>
      <c r="J314" s="292">
        <f t="shared" si="9"/>
        <v>0.46</v>
      </c>
      <c r="K314" s="291">
        <v>0</v>
      </c>
      <c r="L314" s="291">
        <v>0</v>
      </c>
      <c r="M314" s="291">
        <v>0</v>
      </c>
      <c r="N314" s="320" t="s">
        <v>864</v>
      </c>
      <c r="O314" s="113"/>
      <c r="P314" s="113"/>
      <c r="Q314" s="113"/>
      <c r="R314" s="113"/>
      <c r="S314" s="113"/>
      <c r="T314" s="113"/>
      <c r="U314" s="113"/>
      <c r="V314" s="113"/>
      <c r="W314" s="113"/>
      <c r="X314" s="113"/>
      <c r="Y314" s="113"/>
      <c r="Z314" s="113"/>
      <c r="AA314" s="113"/>
      <c r="AB314" s="113"/>
    </row>
    <row r="315" spans="1:28" ht="78.75" customHeight="1" x14ac:dyDescent="0.25">
      <c r="A315" s="795"/>
      <c r="B315" s="321" t="s">
        <v>470</v>
      </c>
      <c r="C315" s="322" t="s">
        <v>471</v>
      </c>
      <c r="D315" s="310" t="s">
        <v>472</v>
      </c>
      <c r="E315" s="310" t="s">
        <v>473</v>
      </c>
      <c r="F315" s="294">
        <v>20</v>
      </c>
      <c r="G315" s="324">
        <v>0.38</v>
      </c>
      <c r="H315" s="325">
        <v>5.4300000000000001E-2</v>
      </c>
      <c r="I315" s="299">
        <v>3.2500000000000001E-2</v>
      </c>
      <c r="J315" s="292">
        <f t="shared" si="9"/>
        <v>0.59852670349907922</v>
      </c>
      <c r="K315" s="299">
        <v>0</v>
      </c>
      <c r="L315" s="299">
        <v>0</v>
      </c>
      <c r="M315" s="299" t="e">
        <f>L315/K315</f>
        <v>#DIV/0!</v>
      </c>
      <c r="N315" s="320" t="s">
        <v>865</v>
      </c>
      <c r="O315" s="113"/>
      <c r="P315" s="113"/>
      <c r="Q315" s="113"/>
      <c r="R315" s="113"/>
      <c r="S315" s="113"/>
      <c r="T315" s="113"/>
      <c r="U315" s="113"/>
      <c r="V315" s="113"/>
      <c r="W315" s="113"/>
      <c r="X315" s="113"/>
      <c r="Y315" s="113"/>
      <c r="Z315" s="113"/>
      <c r="AA315" s="113"/>
      <c r="AB315" s="113"/>
    </row>
    <row r="316" spans="1:28" ht="75" customHeight="1" thickBot="1" x14ac:dyDescent="0.3">
      <c r="A316" s="796"/>
      <c r="B316" s="314" t="s">
        <v>475</v>
      </c>
      <c r="C316" s="326" t="s">
        <v>476</v>
      </c>
      <c r="D316" s="314" t="s">
        <v>477</v>
      </c>
      <c r="E316" s="314" t="s">
        <v>468</v>
      </c>
      <c r="F316" s="300">
        <v>20</v>
      </c>
      <c r="G316" s="300">
        <v>13</v>
      </c>
      <c r="H316" s="302">
        <v>2</v>
      </c>
      <c r="I316" s="327">
        <v>1</v>
      </c>
      <c r="J316" s="292">
        <f t="shared" si="9"/>
        <v>0.5</v>
      </c>
      <c r="K316" s="291">
        <v>0</v>
      </c>
      <c r="L316" s="291">
        <v>0</v>
      </c>
      <c r="M316" s="291">
        <v>0</v>
      </c>
      <c r="N316" s="328" t="s">
        <v>866</v>
      </c>
      <c r="O316" s="113"/>
      <c r="P316" s="113"/>
      <c r="Q316" s="113"/>
      <c r="R316" s="113"/>
      <c r="S316" s="113"/>
      <c r="T316" s="113"/>
      <c r="U316" s="113"/>
      <c r="V316" s="113"/>
      <c r="W316" s="113"/>
      <c r="X316" s="113"/>
      <c r="Y316" s="113"/>
      <c r="Z316" s="113"/>
      <c r="AA316" s="113"/>
      <c r="AB316" s="113"/>
    </row>
    <row r="317" spans="1:28" ht="59.25" customHeight="1" x14ac:dyDescent="0.25">
      <c r="A317" s="791" t="s">
        <v>436</v>
      </c>
      <c r="B317" s="175" t="s">
        <v>456</v>
      </c>
      <c r="C317" s="137" t="s">
        <v>457</v>
      </c>
      <c r="D317" s="136" t="s">
        <v>458</v>
      </c>
      <c r="E317" s="136" t="s">
        <v>459</v>
      </c>
      <c r="F317" s="138">
        <v>20</v>
      </c>
      <c r="G317" s="180">
        <v>24</v>
      </c>
      <c r="H317" s="181">
        <v>4</v>
      </c>
      <c r="I317" s="181">
        <v>3</v>
      </c>
      <c r="J317" s="182">
        <f t="shared" si="9"/>
        <v>0.75</v>
      </c>
      <c r="K317" s="181">
        <v>0</v>
      </c>
      <c r="L317" s="181">
        <v>0</v>
      </c>
      <c r="M317" s="181">
        <v>0</v>
      </c>
      <c r="N317" s="167" t="s">
        <v>882</v>
      </c>
      <c r="O317" s="113"/>
      <c r="P317" s="113"/>
      <c r="Q317" s="113"/>
      <c r="R317" s="113"/>
      <c r="S317" s="113"/>
      <c r="T317" s="113"/>
      <c r="U317" s="113"/>
      <c r="V317" s="113"/>
      <c r="W317" s="113"/>
      <c r="X317" s="113"/>
      <c r="Y317" s="113"/>
      <c r="Z317" s="113"/>
      <c r="AA317" s="113"/>
      <c r="AB317" s="113"/>
    </row>
    <row r="318" spans="1:28" ht="75" x14ac:dyDescent="0.25">
      <c r="A318" s="800"/>
      <c r="B318" s="176" t="s">
        <v>461</v>
      </c>
      <c r="C318" s="144" t="s">
        <v>462</v>
      </c>
      <c r="D318" s="143" t="s">
        <v>463</v>
      </c>
      <c r="E318" s="143" t="s">
        <v>459</v>
      </c>
      <c r="F318" s="145">
        <v>20</v>
      </c>
      <c r="G318" s="145">
        <v>15</v>
      </c>
      <c r="H318" s="30">
        <v>2</v>
      </c>
      <c r="I318" s="177">
        <v>1.5</v>
      </c>
      <c r="J318" s="182">
        <f t="shared" si="9"/>
        <v>0.75</v>
      </c>
      <c r="K318" s="181">
        <v>0</v>
      </c>
      <c r="L318" s="181">
        <v>0</v>
      </c>
      <c r="M318" s="181">
        <v>0</v>
      </c>
      <c r="N318" s="167" t="s">
        <v>883</v>
      </c>
      <c r="O318" s="113"/>
      <c r="P318" s="113"/>
      <c r="Q318" s="113"/>
      <c r="R318" s="113"/>
      <c r="S318" s="113"/>
      <c r="T318" s="113"/>
      <c r="U318" s="113"/>
      <c r="V318" s="113"/>
      <c r="W318" s="113"/>
      <c r="X318" s="113"/>
      <c r="Y318" s="113"/>
      <c r="Z318" s="113"/>
      <c r="AA318" s="113"/>
      <c r="AB318" s="113"/>
    </row>
    <row r="319" spans="1:28" ht="45" x14ac:dyDescent="0.25">
      <c r="A319" s="800"/>
      <c r="B319" s="176" t="s">
        <v>465</v>
      </c>
      <c r="C319" s="144" t="s">
        <v>466</v>
      </c>
      <c r="D319" s="143" t="s">
        <v>467</v>
      </c>
      <c r="E319" s="143" t="s">
        <v>468</v>
      </c>
      <c r="F319" s="145">
        <v>20</v>
      </c>
      <c r="G319" s="145">
        <v>15</v>
      </c>
      <c r="H319" s="30">
        <v>2</v>
      </c>
      <c r="I319" s="30">
        <v>1.4</v>
      </c>
      <c r="J319" s="182">
        <f t="shared" si="9"/>
        <v>0.7</v>
      </c>
      <c r="K319" s="181">
        <v>0</v>
      </c>
      <c r="L319" s="181">
        <v>0</v>
      </c>
      <c r="M319" s="181">
        <v>0</v>
      </c>
      <c r="N319" s="167" t="s">
        <v>884</v>
      </c>
      <c r="O319" s="113"/>
      <c r="P319" s="113"/>
      <c r="Q319" s="113"/>
      <c r="R319" s="113"/>
      <c r="S319" s="113"/>
      <c r="T319" s="113"/>
      <c r="U319" s="113"/>
      <c r="V319" s="113"/>
      <c r="W319" s="113"/>
      <c r="X319" s="113"/>
      <c r="Y319" s="113"/>
      <c r="Z319" s="113"/>
      <c r="AA319" s="113"/>
      <c r="AB319" s="113"/>
    </row>
    <row r="320" spans="1:28" ht="45" x14ac:dyDescent="0.25">
      <c r="A320" s="800"/>
      <c r="B320" s="176" t="s">
        <v>470</v>
      </c>
      <c r="C320" s="144" t="s">
        <v>471</v>
      </c>
      <c r="D320" s="143" t="s">
        <v>472</v>
      </c>
      <c r="E320" s="143" t="s">
        <v>473</v>
      </c>
      <c r="F320" s="145">
        <v>20</v>
      </c>
      <c r="G320" s="149">
        <v>0.38</v>
      </c>
      <c r="H320" s="150">
        <v>5.4300000000000001E-2</v>
      </c>
      <c r="I320" s="147">
        <v>4.3400000000000001E-2</v>
      </c>
      <c r="J320" s="182">
        <f t="shared" si="9"/>
        <v>0.79926335174953955</v>
      </c>
      <c r="K320" s="147">
        <v>0</v>
      </c>
      <c r="L320" s="147">
        <v>0</v>
      </c>
      <c r="M320" s="147">
        <f>IFERROR(L320/K320,0)</f>
        <v>0</v>
      </c>
      <c r="N320" s="167" t="s">
        <v>885</v>
      </c>
      <c r="O320" s="113"/>
      <c r="P320" s="113"/>
      <c r="Q320" s="113"/>
      <c r="R320" s="113"/>
      <c r="S320" s="113"/>
      <c r="T320" s="113"/>
      <c r="U320" s="113"/>
      <c r="V320" s="113"/>
      <c r="W320" s="113"/>
      <c r="X320" s="113"/>
      <c r="Y320" s="113"/>
      <c r="Z320" s="113"/>
      <c r="AA320" s="113"/>
      <c r="AB320" s="113"/>
    </row>
    <row r="321" spans="1:28" ht="60.75" thickBot="1" x14ac:dyDescent="0.3">
      <c r="A321" s="801"/>
      <c r="B321" s="151" t="s">
        <v>475</v>
      </c>
      <c r="C321" s="152" t="s">
        <v>476</v>
      </c>
      <c r="D321" s="151" t="s">
        <v>477</v>
      </c>
      <c r="E321" s="151" t="s">
        <v>468</v>
      </c>
      <c r="F321" s="153">
        <v>20</v>
      </c>
      <c r="G321" s="153">
        <v>13</v>
      </c>
      <c r="H321" s="155">
        <v>2</v>
      </c>
      <c r="I321" s="183">
        <v>1.5</v>
      </c>
      <c r="J321" s="182">
        <f t="shared" si="9"/>
        <v>0.75</v>
      </c>
      <c r="K321" s="181">
        <v>0</v>
      </c>
      <c r="L321" s="181">
        <v>0</v>
      </c>
      <c r="M321" s="181">
        <v>0</v>
      </c>
      <c r="N321" s="179" t="s">
        <v>886</v>
      </c>
      <c r="O321" s="113"/>
      <c r="P321" s="113"/>
      <c r="Q321" s="113"/>
      <c r="R321" s="113"/>
      <c r="S321" s="113"/>
      <c r="T321" s="113"/>
      <c r="U321" s="113"/>
      <c r="V321" s="113"/>
      <c r="W321" s="113"/>
      <c r="X321" s="113"/>
      <c r="Y321" s="113"/>
      <c r="Z321" s="113"/>
      <c r="AA321" s="113"/>
      <c r="AB321" s="113"/>
    </row>
    <row r="322" spans="1:28" ht="45" x14ac:dyDescent="0.25">
      <c r="A322" s="805" t="s">
        <v>437</v>
      </c>
      <c r="B322" s="175" t="s">
        <v>456</v>
      </c>
      <c r="C322" s="137" t="s">
        <v>457</v>
      </c>
      <c r="D322" s="136" t="s">
        <v>458</v>
      </c>
      <c r="E322" s="136" t="s">
        <v>459</v>
      </c>
      <c r="F322" s="138">
        <v>20</v>
      </c>
      <c r="G322" s="180">
        <v>24</v>
      </c>
      <c r="H322" s="181">
        <v>4</v>
      </c>
      <c r="I322" s="181">
        <v>4</v>
      </c>
      <c r="J322" s="182">
        <f t="shared" si="9"/>
        <v>1</v>
      </c>
      <c r="K322" s="181">
        <v>0</v>
      </c>
      <c r="L322" s="181">
        <v>0</v>
      </c>
      <c r="M322" s="181">
        <v>0</v>
      </c>
      <c r="N322" s="167" t="s">
        <v>911</v>
      </c>
      <c r="O322" s="113"/>
      <c r="P322" s="113"/>
      <c r="Q322" s="113"/>
      <c r="R322" s="113"/>
      <c r="S322" s="113"/>
      <c r="T322" s="113"/>
      <c r="U322" s="113"/>
      <c r="V322" s="113"/>
      <c r="W322" s="113"/>
      <c r="X322" s="113"/>
      <c r="Y322" s="113"/>
      <c r="Z322" s="113"/>
      <c r="AA322" s="113"/>
      <c r="AB322" s="113"/>
    </row>
    <row r="323" spans="1:28" ht="75" x14ac:dyDescent="0.25">
      <c r="A323" s="806"/>
      <c r="B323" s="176" t="s">
        <v>461</v>
      </c>
      <c r="C323" s="144" t="s">
        <v>462</v>
      </c>
      <c r="D323" s="143" t="s">
        <v>463</v>
      </c>
      <c r="E323" s="143" t="s">
        <v>459</v>
      </c>
      <c r="F323" s="145">
        <v>20</v>
      </c>
      <c r="G323" s="145">
        <v>15</v>
      </c>
      <c r="H323" s="30">
        <v>2</v>
      </c>
      <c r="I323" s="177">
        <v>2</v>
      </c>
      <c r="J323" s="182">
        <f t="shared" si="9"/>
        <v>1</v>
      </c>
      <c r="K323" s="181">
        <v>0</v>
      </c>
      <c r="L323" s="181">
        <v>0</v>
      </c>
      <c r="M323" s="181">
        <v>0</v>
      </c>
      <c r="N323" s="167" t="s">
        <v>912</v>
      </c>
      <c r="O323" s="113"/>
      <c r="P323" s="113"/>
      <c r="Q323" s="113"/>
      <c r="R323" s="113"/>
      <c r="S323" s="113"/>
      <c r="T323" s="113"/>
      <c r="U323" s="113"/>
      <c r="V323" s="113"/>
      <c r="W323" s="113"/>
      <c r="X323" s="113"/>
      <c r="Y323" s="113"/>
      <c r="Z323" s="113"/>
      <c r="AA323" s="113"/>
      <c r="AB323" s="113"/>
    </row>
    <row r="324" spans="1:28" ht="45" x14ac:dyDescent="0.25">
      <c r="A324" s="806"/>
      <c r="B324" s="176" t="s">
        <v>465</v>
      </c>
      <c r="C324" s="144" t="s">
        <v>466</v>
      </c>
      <c r="D324" s="143" t="s">
        <v>467</v>
      </c>
      <c r="E324" s="143" t="s">
        <v>468</v>
      </c>
      <c r="F324" s="145">
        <v>20</v>
      </c>
      <c r="G324" s="145">
        <v>15</v>
      </c>
      <c r="H324" s="30">
        <v>2</v>
      </c>
      <c r="I324" s="30">
        <v>2</v>
      </c>
      <c r="J324" s="182">
        <f t="shared" si="9"/>
        <v>1</v>
      </c>
      <c r="K324" s="181">
        <v>0</v>
      </c>
      <c r="L324" s="181">
        <v>0</v>
      </c>
      <c r="M324" s="181">
        <v>0</v>
      </c>
      <c r="N324" s="167" t="s">
        <v>913</v>
      </c>
      <c r="O324" s="113"/>
      <c r="P324" s="113"/>
      <c r="Q324" s="113"/>
      <c r="R324" s="113"/>
      <c r="S324" s="113"/>
      <c r="T324" s="113"/>
      <c r="U324" s="113"/>
      <c r="V324" s="113"/>
      <c r="W324" s="113"/>
      <c r="X324" s="113"/>
      <c r="Y324" s="113"/>
      <c r="Z324" s="113"/>
      <c r="AA324" s="113"/>
      <c r="AB324" s="113"/>
    </row>
    <row r="325" spans="1:28" ht="45" x14ac:dyDescent="0.25">
      <c r="A325" s="806"/>
      <c r="B325" s="176" t="s">
        <v>470</v>
      </c>
      <c r="C325" s="144" t="s">
        <v>471</v>
      </c>
      <c r="D325" s="143" t="s">
        <v>472</v>
      </c>
      <c r="E325" s="143" t="s">
        <v>473</v>
      </c>
      <c r="F325" s="145">
        <v>20</v>
      </c>
      <c r="G325" s="149">
        <v>0.38</v>
      </c>
      <c r="H325" s="150">
        <v>5.4300000000000001E-2</v>
      </c>
      <c r="I325" s="147">
        <v>5.4300000000000001E-2</v>
      </c>
      <c r="J325" s="182">
        <f t="shared" si="9"/>
        <v>1</v>
      </c>
      <c r="K325" s="147">
        <v>0</v>
      </c>
      <c r="L325" s="147">
        <v>0</v>
      </c>
      <c r="M325" s="147">
        <f>IFERROR(L325/K325,0)</f>
        <v>0</v>
      </c>
      <c r="N325" s="167" t="s">
        <v>914</v>
      </c>
      <c r="O325" s="113"/>
      <c r="P325" s="113"/>
      <c r="Q325" s="113"/>
      <c r="R325" s="113"/>
      <c r="S325" s="113"/>
      <c r="T325" s="113"/>
      <c r="U325" s="113"/>
      <c r="V325" s="113"/>
      <c r="W325" s="113"/>
      <c r="X325" s="113"/>
      <c r="Y325" s="113"/>
      <c r="Z325" s="113"/>
      <c r="AA325" s="113"/>
      <c r="AB325" s="113"/>
    </row>
    <row r="326" spans="1:28" ht="60.75" thickBot="1" x14ac:dyDescent="0.3">
      <c r="A326" s="807"/>
      <c r="B326" s="151" t="s">
        <v>475</v>
      </c>
      <c r="C326" s="152" t="s">
        <v>476</v>
      </c>
      <c r="D326" s="151" t="s">
        <v>477</v>
      </c>
      <c r="E326" s="151" t="s">
        <v>468</v>
      </c>
      <c r="F326" s="153">
        <v>20</v>
      </c>
      <c r="G326" s="153">
        <v>13</v>
      </c>
      <c r="H326" s="155">
        <v>2</v>
      </c>
      <c r="I326" s="183">
        <v>2</v>
      </c>
      <c r="J326" s="182">
        <f t="shared" si="9"/>
        <v>1</v>
      </c>
      <c r="K326" s="181">
        <v>0</v>
      </c>
      <c r="L326" s="181">
        <v>0</v>
      </c>
      <c r="M326" s="181">
        <v>0</v>
      </c>
      <c r="N326" s="179" t="s">
        <v>915</v>
      </c>
      <c r="O326" s="113"/>
      <c r="P326" s="113"/>
      <c r="Q326" s="113"/>
      <c r="R326" s="113"/>
      <c r="S326" s="113"/>
      <c r="T326" s="113"/>
      <c r="U326" s="113"/>
      <c r="V326" s="113"/>
      <c r="W326" s="113"/>
      <c r="X326" s="113"/>
      <c r="Y326" s="113"/>
      <c r="Z326" s="113"/>
      <c r="AA326" s="113"/>
      <c r="AB326" s="113"/>
    </row>
    <row r="327" spans="1:28" ht="15.75" hidden="1" customHeight="1" x14ac:dyDescent="0.25">
      <c r="A327" s="126" t="s">
        <v>438</v>
      </c>
      <c r="B327" s="118"/>
      <c r="C327" s="118"/>
      <c r="D327" s="118"/>
      <c r="E327" s="118"/>
      <c r="F327" s="118"/>
      <c r="G327" s="118"/>
      <c r="H327" s="118"/>
      <c r="I327" s="118"/>
      <c r="J327" s="118" t="e">
        <f t="shared" ref="J327:J333" si="10">I327/H327</f>
        <v>#DIV/0!</v>
      </c>
      <c r="K327" s="118"/>
      <c r="L327" s="118"/>
      <c r="M327" s="118" t="e">
        <f t="shared" ref="M327:M333" si="11">L327/K327</f>
        <v>#DIV/0!</v>
      </c>
      <c r="N327" s="133"/>
      <c r="O327" s="113"/>
      <c r="P327" s="113"/>
      <c r="Q327" s="113"/>
      <c r="R327" s="113"/>
      <c r="S327" s="113"/>
      <c r="T327" s="113"/>
      <c r="U327" s="113"/>
      <c r="V327" s="113"/>
      <c r="W327" s="113"/>
      <c r="X327" s="113"/>
      <c r="Y327" s="113"/>
      <c r="Z327" s="113"/>
      <c r="AA327" s="113"/>
      <c r="AB327" s="113"/>
    </row>
    <row r="328" spans="1:28" ht="15.75" hidden="1" customHeight="1" x14ac:dyDescent="0.25">
      <c r="A328" s="126" t="s">
        <v>425</v>
      </c>
      <c r="B328" s="118"/>
      <c r="C328" s="118"/>
      <c r="D328" s="118"/>
      <c r="E328" s="118"/>
      <c r="F328" s="118"/>
      <c r="G328" s="118"/>
      <c r="H328" s="118"/>
      <c r="I328" s="118"/>
      <c r="J328" s="118" t="e">
        <f t="shared" si="10"/>
        <v>#DIV/0!</v>
      </c>
      <c r="K328" s="118"/>
      <c r="L328" s="118"/>
      <c r="M328" s="118" t="e">
        <f t="shared" si="11"/>
        <v>#DIV/0!</v>
      </c>
      <c r="N328" s="133"/>
      <c r="O328" s="113"/>
      <c r="P328" s="113"/>
      <c r="Q328" s="113"/>
      <c r="R328" s="113"/>
      <c r="S328" s="113"/>
      <c r="T328" s="113"/>
      <c r="U328" s="113"/>
      <c r="V328" s="113"/>
      <c r="W328" s="113"/>
      <c r="X328" s="113"/>
      <c r="Y328" s="113"/>
      <c r="Z328" s="113"/>
      <c r="AA328" s="113"/>
      <c r="AB328" s="113"/>
    </row>
    <row r="329" spans="1:28" ht="15.75" hidden="1" customHeight="1" x14ac:dyDescent="0.25">
      <c r="A329" s="126" t="s">
        <v>426</v>
      </c>
      <c r="B329" s="118"/>
      <c r="C329" s="118"/>
      <c r="D329" s="118"/>
      <c r="E329" s="118"/>
      <c r="F329" s="118"/>
      <c r="G329" s="118"/>
      <c r="H329" s="118"/>
      <c r="I329" s="118"/>
      <c r="J329" s="118" t="e">
        <f t="shared" si="10"/>
        <v>#DIV/0!</v>
      </c>
      <c r="K329" s="118"/>
      <c r="L329" s="118"/>
      <c r="M329" s="118" t="e">
        <f t="shared" si="11"/>
        <v>#DIV/0!</v>
      </c>
      <c r="N329" s="133"/>
      <c r="O329" s="113"/>
      <c r="P329" s="113"/>
      <c r="Q329" s="113"/>
      <c r="R329" s="113"/>
      <c r="S329" s="113"/>
      <c r="T329" s="113"/>
      <c r="U329" s="113"/>
      <c r="V329" s="113"/>
      <c r="W329" s="113"/>
      <c r="X329" s="113"/>
      <c r="Y329" s="113"/>
      <c r="Z329" s="113"/>
      <c r="AA329" s="113"/>
      <c r="AB329" s="113"/>
    </row>
    <row r="330" spans="1:28" ht="15.75" hidden="1" customHeight="1" x14ac:dyDescent="0.25">
      <c r="A330" s="126" t="s">
        <v>427</v>
      </c>
      <c r="B330" s="118"/>
      <c r="C330" s="118"/>
      <c r="D330" s="118"/>
      <c r="E330" s="118"/>
      <c r="F330" s="118"/>
      <c r="G330" s="118"/>
      <c r="H330" s="118"/>
      <c r="I330" s="118"/>
      <c r="J330" s="118" t="e">
        <f t="shared" si="10"/>
        <v>#DIV/0!</v>
      </c>
      <c r="K330" s="118"/>
      <c r="L330" s="118"/>
      <c r="M330" s="118" t="e">
        <f t="shared" si="11"/>
        <v>#DIV/0!</v>
      </c>
      <c r="N330" s="133"/>
      <c r="O330" s="113"/>
      <c r="P330" s="113"/>
      <c r="Q330" s="113"/>
      <c r="R330" s="113"/>
      <c r="S330" s="113"/>
      <c r="T330" s="113"/>
      <c r="U330" s="113"/>
      <c r="V330" s="113"/>
      <c r="W330" s="113"/>
      <c r="X330" s="113"/>
      <c r="Y330" s="113"/>
      <c r="Z330" s="113"/>
      <c r="AA330" s="113"/>
      <c r="AB330" s="113"/>
    </row>
    <row r="331" spans="1:28" ht="15.75" hidden="1" customHeight="1" x14ac:dyDescent="0.25">
      <c r="A331" s="126" t="s">
        <v>428</v>
      </c>
      <c r="B331" s="118"/>
      <c r="C331" s="118"/>
      <c r="D331" s="118"/>
      <c r="E331" s="118"/>
      <c r="F331" s="118"/>
      <c r="G331" s="118"/>
      <c r="H331" s="118"/>
      <c r="I331" s="118"/>
      <c r="J331" s="118" t="e">
        <f t="shared" si="10"/>
        <v>#DIV/0!</v>
      </c>
      <c r="K331" s="118"/>
      <c r="L331" s="118"/>
      <c r="M331" s="118" t="e">
        <f t="shared" si="11"/>
        <v>#DIV/0!</v>
      </c>
      <c r="N331" s="133"/>
      <c r="O331" s="113"/>
      <c r="P331" s="113"/>
      <c r="Q331" s="113"/>
      <c r="R331" s="113"/>
      <c r="S331" s="113"/>
      <c r="T331" s="113"/>
      <c r="U331" s="113"/>
      <c r="V331" s="113"/>
      <c r="W331" s="113"/>
      <c r="X331" s="113"/>
      <c r="Y331" s="113"/>
      <c r="Z331" s="113"/>
      <c r="AA331" s="113"/>
      <c r="AB331" s="113"/>
    </row>
    <row r="332" spans="1:28" ht="15.75" hidden="1" customHeight="1" x14ac:dyDescent="0.25">
      <c r="A332" s="126" t="s">
        <v>429</v>
      </c>
      <c r="B332" s="118"/>
      <c r="C332" s="118"/>
      <c r="D332" s="118"/>
      <c r="E332" s="118"/>
      <c r="F332" s="118"/>
      <c r="G332" s="118"/>
      <c r="H332" s="118"/>
      <c r="I332" s="118"/>
      <c r="J332" s="118" t="e">
        <f t="shared" si="10"/>
        <v>#DIV/0!</v>
      </c>
      <c r="K332" s="118"/>
      <c r="L332" s="118"/>
      <c r="M332" s="118" t="e">
        <f t="shared" si="11"/>
        <v>#DIV/0!</v>
      </c>
      <c r="N332" s="133"/>
      <c r="O332" s="113"/>
      <c r="P332" s="113"/>
      <c r="Q332" s="113"/>
      <c r="R332" s="113"/>
      <c r="S332" s="113"/>
      <c r="T332" s="113"/>
      <c r="U332" s="113"/>
      <c r="V332" s="113"/>
      <c r="W332" s="113"/>
      <c r="X332" s="113"/>
      <c r="Y332" s="113"/>
      <c r="Z332" s="113"/>
      <c r="AA332" s="113"/>
      <c r="AB332" s="113"/>
    </row>
    <row r="333" spans="1:28" ht="10.5" hidden="1" customHeight="1" thickBot="1" x14ac:dyDescent="0.3">
      <c r="A333" s="129" t="s">
        <v>430</v>
      </c>
      <c r="B333" s="123"/>
      <c r="C333" s="123"/>
      <c r="D333" s="123"/>
      <c r="E333" s="123"/>
      <c r="F333" s="123"/>
      <c r="G333" s="123"/>
      <c r="H333" s="123"/>
      <c r="I333" s="123"/>
      <c r="J333" s="123" t="e">
        <f t="shared" si="10"/>
        <v>#DIV/0!</v>
      </c>
      <c r="K333" s="123"/>
      <c r="L333" s="123"/>
      <c r="M333" s="123" t="e">
        <f t="shared" si="11"/>
        <v>#DIV/0!</v>
      </c>
      <c r="N333" s="184"/>
      <c r="O333" s="113"/>
      <c r="P333" s="113"/>
      <c r="Q333" s="113"/>
      <c r="R333" s="113"/>
      <c r="S333" s="113"/>
      <c r="T333" s="113"/>
      <c r="U333" s="113"/>
      <c r="V333" s="113"/>
      <c r="W333" s="113"/>
      <c r="X333" s="113"/>
      <c r="Y333" s="113"/>
      <c r="Z333" s="113"/>
      <c r="AA333" s="113"/>
      <c r="AB333" s="113"/>
    </row>
    <row r="334" spans="1:28" ht="15.75" customHeight="1" x14ac:dyDescent="0.25">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row>
    <row r="335" spans="1:28" ht="15.75" customHeight="1" x14ac:dyDescent="0.25">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row>
    <row r="336" spans="1:28" ht="15.75" customHeight="1" x14ac:dyDescent="0.25">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row>
    <row r="337" spans="1:28" ht="29.25" customHeight="1" x14ac:dyDescent="0.25">
      <c r="A337" s="113"/>
      <c r="B337" s="113"/>
      <c r="C337" s="113"/>
      <c r="D337" s="113"/>
      <c r="E337" s="113"/>
      <c r="F337" s="113"/>
      <c r="G337" s="113"/>
      <c r="H337" s="113"/>
      <c r="I337" s="185"/>
      <c r="J337" s="185"/>
      <c r="K337" s="113"/>
      <c r="L337" s="113"/>
      <c r="M337" s="113"/>
      <c r="N337" s="113"/>
      <c r="O337" s="113"/>
      <c r="P337" s="113"/>
      <c r="Q337" s="113"/>
      <c r="R337" s="113"/>
      <c r="S337" s="113"/>
      <c r="T337" s="113"/>
      <c r="U337" s="113"/>
      <c r="V337" s="113"/>
      <c r="W337" s="113"/>
      <c r="X337" s="113"/>
      <c r="Y337" s="113"/>
      <c r="Z337" s="113"/>
      <c r="AA337" s="113"/>
      <c r="AB337" s="113"/>
    </row>
    <row r="338" spans="1:28" ht="20.25" customHeight="1" x14ac:dyDescent="0.3">
      <c r="A338" s="789" t="s">
        <v>674</v>
      </c>
      <c r="B338" s="592"/>
      <c r="C338" s="592"/>
      <c r="D338" s="592"/>
      <c r="E338" s="592"/>
      <c r="F338" s="592"/>
      <c r="G338" s="689"/>
      <c r="H338" s="113"/>
      <c r="I338" s="113"/>
      <c r="J338" s="113"/>
      <c r="K338" s="113"/>
      <c r="L338" s="113"/>
      <c r="M338" s="113"/>
      <c r="N338" s="113"/>
      <c r="O338" s="113"/>
      <c r="P338" s="113"/>
      <c r="Q338" s="113"/>
      <c r="R338" s="113"/>
      <c r="S338" s="113"/>
      <c r="T338" s="113"/>
      <c r="U338" s="113"/>
      <c r="V338" s="113"/>
      <c r="W338" s="113"/>
      <c r="X338" s="113"/>
      <c r="Y338" s="113"/>
      <c r="Z338" s="113"/>
      <c r="AA338" s="113"/>
      <c r="AB338" s="113"/>
    </row>
    <row r="339" spans="1:28" ht="39" customHeight="1" x14ac:dyDescent="0.25">
      <c r="A339" s="114" t="s">
        <v>26</v>
      </c>
      <c r="B339" s="78" t="s">
        <v>443</v>
      </c>
      <c r="C339" s="78" t="s">
        <v>444</v>
      </c>
      <c r="D339" s="78" t="s">
        <v>675</v>
      </c>
      <c r="E339" s="78" t="s">
        <v>676</v>
      </c>
      <c r="F339" s="78" t="s">
        <v>677</v>
      </c>
      <c r="G339" s="186" t="s">
        <v>678</v>
      </c>
      <c r="H339" s="113"/>
      <c r="I339" s="113"/>
      <c r="J339" s="113"/>
      <c r="K339" s="113"/>
      <c r="L339" s="113"/>
      <c r="M339" s="113"/>
      <c r="N339" s="113"/>
      <c r="O339" s="113"/>
      <c r="P339" s="113"/>
      <c r="Q339" s="113"/>
      <c r="R339" s="113"/>
      <c r="S339" s="113"/>
      <c r="T339" s="113"/>
      <c r="U339" s="113"/>
      <c r="V339" s="113"/>
      <c r="W339" s="113"/>
      <c r="X339" s="113"/>
      <c r="Y339" s="113"/>
      <c r="Z339" s="113"/>
      <c r="AA339" s="113"/>
      <c r="AB339" s="113"/>
    </row>
    <row r="340" spans="1:28" ht="93.75" customHeight="1" x14ac:dyDescent="0.25">
      <c r="A340" s="790" t="s">
        <v>432</v>
      </c>
      <c r="B340" s="136" t="s">
        <v>456</v>
      </c>
      <c r="C340" s="187" t="s">
        <v>457</v>
      </c>
      <c r="D340" s="187" t="s">
        <v>321</v>
      </c>
      <c r="E340" s="188">
        <f>+INVERSIÓN!AC11</f>
        <v>0</v>
      </c>
      <c r="F340" s="189">
        <v>0</v>
      </c>
      <c r="G340" s="190" t="s">
        <v>679</v>
      </c>
      <c r="H340" s="113"/>
      <c r="I340" s="113"/>
      <c r="J340" s="113"/>
      <c r="K340" s="113"/>
      <c r="L340" s="113"/>
      <c r="M340" s="113"/>
      <c r="N340" s="113"/>
      <c r="O340" s="113"/>
      <c r="P340" s="113"/>
      <c r="Q340" s="113"/>
      <c r="R340" s="113"/>
      <c r="S340" s="113"/>
      <c r="T340" s="113"/>
      <c r="U340" s="113"/>
      <c r="V340" s="113"/>
      <c r="W340" s="113"/>
      <c r="X340" s="113"/>
      <c r="Y340" s="113"/>
      <c r="Z340" s="113"/>
      <c r="AA340" s="113"/>
      <c r="AB340" s="113"/>
    </row>
    <row r="341" spans="1:28" ht="109.5" customHeight="1" x14ac:dyDescent="0.25">
      <c r="A341" s="740"/>
      <c r="B341" s="143" t="s">
        <v>461</v>
      </c>
      <c r="C341" s="191" t="s">
        <v>462</v>
      </c>
      <c r="D341" s="191" t="s">
        <v>680</v>
      </c>
      <c r="E341" s="192">
        <f>+INVERSIÓN!AC18</f>
        <v>0</v>
      </c>
      <c r="F341" s="30">
        <v>0</v>
      </c>
      <c r="G341" s="191" t="s">
        <v>679</v>
      </c>
      <c r="H341" s="113"/>
      <c r="I341" s="113"/>
      <c r="J341" s="113"/>
      <c r="K341" s="113"/>
      <c r="L341" s="113"/>
      <c r="M341" s="113"/>
      <c r="N341" s="113"/>
      <c r="O341" s="113"/>
      <c r="P341" s="113"/>
      <c r="Q341" s="113"/>
      <c r="R341" s="113"/>
      <c r="S341" s="113"/>
      <c r="T341" s="113"/>
      <c r="U341" s="113"/>
      <c r="V341" s="113"/>
      <c r="W341" s="113"/>
      <c r="X341" s="113"/>
      <c r="Y341" s="113"/>
      <c r="Z341" s="113"/>
      <c r="AA341" s="113"/>
      <c r="AB341" s="113"/>
    </row>
    <row r="342" spans="1:28" ht="81" customHeight="1" x14ac:dyDescent="0.25">
      <c r="A342" s="740"/>
      <c r="B342" s="143" t="s">
        <v>465</v>
      </c>
      <c r="C342" s="191" t="s">
        <v>466</v>
      </c>
      <c r="D342" s="191" t="s">
        <v>332</v>
      </c>
      <c r="E342" s="192">
        <f>+INVERSIÓN!AC25</f>
        <v>0</v>
      </c>
      <c r="F342" s="30">
        <v>0</v>
      </c>
      <c r="G342" s="191" t="s">
        <v>679</v>
      </c>
      <c r="H342" s="113"/>
      <c r="I342" s="113"/>
      <c r="J342" s="113"/>
      <c r="K342" s="113"/>
      <c r="L342" s="113"/>
      <c r="M342" s="113"/>
      <c r="N342" s="113"/>
      <c r="O342" s="113"/>
      <c r="P342" s="113"/>
      <c r="Q342" s="113"/>
      <c r="R342" s="113"/>
      <c r="S342" s="113"/>
      <c r="T342" s="113"/>
      <c r="U342" s="113"/>
      <c r="V342" s="113"/>
      <c r="W342" s="113"/>
      <c r="X342" s="113"/>
      <c r="Y342" s="113"/>
      <c r="Z342" s="113"/>
      <c r="AA342" s="113"/>
      <c r="AB342" s="113"/>
    </row>
    <row r="343" spans="1:28" ht="88.5" customHeight="1" x14ac:dyDescent="0.25">
      <c r="A343" s="740"/>
      <c r="B343" s="143" t="s">
        <v>470</v>
      </c>
      <c r="C343" s="191" t="s">
        <v>471</v>
      </c>
      <c r="D343" s="191" t="s">
        <v>681</v>
      </c>
      <c r="E343" s="193">
        <f>+INVERSIÓN!AC32</f>
        <v>0</v>
      </c>
      <c r="F343" s="194">
        <v>0</v>
      </c>
      <c r="G343" s="195" t="s">
        <v>679</v>
      </c>
      <c r="H343" s="113"/>
      <c r="I343" s="113"/>
      <c r="J343" s="113"/>
      <c r="K343" s="113"/>
      <c r="L343" s="113"/>
      <c r="M343" s="113"/>
      <c r="N343" s="113"/>
      <c r="O343" s="113"/>
      <c r="P343" s="113"/>
      <c r="Q343" s="113"/>
      <c r="R343" s="113"/>
      <c r="S343" s="113"/>
      <c r="T343" s="113"/>
      <c r="U343" s="113"/>
      <c r="V343" s="113"/>
      <c r="W343" s="113"/>
      <c r="X343" s="113"/>
      <c r="Y343" s="113"/>
      <c r="Z343" s="113"/>
      <c r="AA343" s="113"/>
      <c r="AB343" s="113"/>
    </row>
    <row r="344" spans="1:28" ht="94.5" customHeight="1" x14ac:dyDescent="0.25">
      <c r="A344" s="744"/>
      <c r="B344" s="151" t="s">
        <v>475</v>
      </c>
      <c r="C344" s="196" t="s">
        <v>476</v>
      </c>
      <c r="D344" s="196" t="s">
        <v>336</v>
      </c>
      <c r="E344" s="197">
        <f>+INVERSIÓN!AC39</f>
        <v>0</v>
      </c>
      <c r="F344" s="155">
        <v>0</v>
      </c>
      <c r="G344" s="196" t="s">
        <v>679</v>
      </c>
      <c r="H344" s="113"/>
      <c r="I344" s="113"/>
      <c r="J344" s="113"/>
      <c r="K344" s="113"/>
      <c r="L344" s="113"/>
      <c r="M344" s="113"/>
      <c r="N344" s="113"/>
      <c r="O344" s="113"/>
      <c r="P344" s="113"/>
      <c r="Q344" s="113"/>
      <c r="R344" s="113"/>
      <c r="S344" s="113"/>
      <c r="T344" s="113"/>
      <c r="U344" s="113"/>
      <c r="V344" s="113"/>
      <c r="W344" s="113"/>
      <c r="X344" s="113"/>
      <c r="Y344" s="113"/>
      <c r="Z344" s="113"/>
      <c r="AA344" s="113"/>
      <c r="AB344" s="113"/>
    </row>
    <row r="345" spans="1:28" ht="60" customHeight="1" x14ac:dyDescent="0.25">
      <c r="A345" s="790" t="s">
        <v>682</v>
      </c>
      <c r="B345" s="136" t="s">
        <v>456</v>
      </c>
      <c r="C345" s="187" t="s">
        <v>457</v>
      </c>
      <c r="D345" s="187" t="s">
        <v>321</v>
      </c>
      <c r="E345" s="188">
        <v>1279585000</v>
      </c>
      <c r="F345" s="189">
        <v>0</v>
      </c>
      <c r="G345" s="190" t="s">
        <v>679</v>
      </c>
      <c r="H345" s="113"/>
      <c r="I345" s="113"/>
      <c r="J345" s="113"/>
      <c r="K345" s="113"/>
      <c r="L345" s="113"/>
      <c r="M345" s="113"/>
      <c r="N345" s="113"/>
      <c r="O345" s="113"/>
      <c r="P345" s="113"/>
      <c r="Q345" s="113"/>
      <c r="R345" s="113"/>
      <c r="S345" s="113"/>
      <c r="T345" s="113"/>
      <c r="U345" s="113"/>
      <c r="V345" s="113"/>
      <c r="W345" s="113"/>
      <c r="X345" s="113"/>
      <c r="Y345" s="113"/>
      <c r="Z345" s="113"/>
      <c r="AA345" s="113"/>
      <c r="AB345" s="113"/>
    </row>
    <row r="346" spans="1:28" ht="59.25" customHeight="1" x14ac:dyDescent="0.25">
      <c r="A346" s="740"/>
      <c r="B346" s="143" t="s">
        <v>461</v>
      </c>
      <c r="C346" s="191" t="s">
        <v>462</v>
      </c>
      <c r="D346" s="191" t="s">
        <v>680</v>
      </c>
      <c r="E346" s="192">
        <v>389090000</v>
      </c>
      <c r="F346" s="30">
        <v>0</v>
      </c>
      <c r="G346" s="191" t="s">
        <v>679</v>
      </c>
      <c r="H346" s="113"/>
      <c r="I346" s="113"/>
      <c r="J346" s="113"/>
      <c r="K346" s="113"/>
      <c r="L346" s="113"/>
      <c r="M346" s="113"/>
      <c r="N346" s="113"/>
      <c r="O346" s="113"/>
      <c r="P346" s="113"/>
      <c r="Q346" s="113"/>
      <c r="R346" s="113"/>
      <c r="S346" s="113"/>
      <c r="T346" s="113"/>
      <c r="U346" s="113"/>
      <c r="V346" s="113"/>
      <c r="W346" s="113"/>
      <c r="X346" s="113"/>
      <c r="Y346" s="113"/>
      <c r="Z346" s="113"/>
      <c r="AA346" s="113"/>
      <c r="AB346" s="113"/>
    </row>
    <row r="347" spans="1:28" ht="63.75" customHeight="1" x14ac:dyDescent="0.25">
      <c r="A347" s="740"/>
      <c r="B347" s="143" t="s">
        <v>465</v>
      </c>
      <c r="C347" s="191" t="s">
        <v>466</v>
      </c>
      <c r="D347" s="191" t="s">
        <v>332</v>
      </c>
      <c r="E347" s="192">
        <v>155507000</v>
      </c>
      <c r="F347" s="30">
        <v>0</v>
      </c>
      <c r="G347" s="191" t="s">
        <v>679</v>
      </c>
      <c r="H347" s="113"/>
      <c r="I347" s="113"/>
      <c r="J347" s="113"/>
      <c r="K347" s="113"/>
      <c r="L347" s="113"/>
      <c r="M347" s="113"/>
      <c r="N347" s="113"/>
      <c r="O347" s="113"/>
      <c r="P347" s="113"/>
      <c r="Q347" s="113"/>
      <c r="R347" s="113"/>
      <c r="S347" s="113"/>
      <c r="T347" s="113"/>
      <c r="U347" s="113"/>
      <c r="V347" s="113"/>
      <c r="W347" s="113"/>
      <c r="X347" s="113"/>
      <c r="Y347" s="113"/>
      <c r="Z347" s="113"/>
      <c r="AA347" s="113"/>
      <c r="AB347" s="113"/>
    </row>
    <row r="348" spans="1:28" ht="63.75" customHeight="1" x14ac:dyDescent="0.25">
      <c r="A348" s="740"/>
      <c r="B348" s="143" t="s">
        <v>470</v>
      </c>
      <c r="C348" s="191" t="s">
        <v>471</v>
      </c>
      <c r="D348" s="191" t="s">
        <v>681</v>
      </c>
      <c r="E348" s="193">
        <v>2615358000</v>
      </c>
      <c r="F348" s="193">
        <v>5846000</v>
      </c>
      <c r="G348" s="195" t="s">
        <v>683</v>
      </c>
      <c r="H348" s="113"/>
      <c r="I348" s="113"/>
      <c r="J348" s="113"/>
      <c r="K348" s="113"/>
      <c r="L348" s="113"/>
      <c r="M348" s="113"/>
      <c r="N348" s="113"/>
      <c r="O348" s="113"/>
      <c r="P348" s="113"/>
      <c r="Q348" s="113"/>
      <c r="R348" s="113"/>
      <c r="S348" s="113"/>
      <c r="T348" s="113"/>
      <c r="U348" s="113"/>
      <c r="V348" s="113"/>
      <c r="W348" s="113"/>
      <c r="X348" s="113"/>
      <c r="Y348" s="113"/>
      <c r="Z348" s="113"/>
      <c r="AA348" s="113"/>
      <c r="AB348" s="113"/>
    </row>
    <row r="349" spans="1:28" ht="63.75" customHeight="1" x14ac:dyDescent="0.25">
      <c r="A349" s="744"/>
      <c r="B349" s="198" t="s">
        <v>475</v>
      </c>
      <c r="C349" s="196" t="s">
        <v>476</v>
      </c>
      <c r="D349" s="196" t="s">
        <v>336</v>
      </c>
      <c r="E349" s="197">
        <v>232232000</v>
      </c>
      <c r="F349" s="155">
        <v>0</v>
      </c>
      <c r="G349" s="196" t="s">
        <v>679</v>
      </c>
      <c r="H349" s="113"/>
      <c r="I349" s="113"/>
      <c r="J349" s="113"/>
      <c r="K349" s="113"/>
      <c r="L349" s="113"/>
      <c r="M349" s="113"/>
      <c r="N349" s="113"/>
      <c r="O349" s="113"/>
      <c r="P349" s="113"/>
      <c r="Q349" s="113"/>
      <c r="R349" s="113"/>
      <c r="S349" s="113"/>
      <c r="T349" s="113"/>
      <c r="U349" s="113"/>
      <c r="V349" s="113"/>
      <c r="W349" s="113"/>
      <c r="X349" s="113"/>
      <c r="Y349" s="113"/>
      <c r="Z349" s="113"/>
      <c r="AA349" s="113"/>
      <c r="AB349" s="113"/>
    </row>
    <row r="350" spans="1:28" ht="52.5" customHeight="1" x14ac:dyDescent="0.25">
      <c r="A350" s="790" t="s">
        <v>435</v>
      </c>
      <c r="B350" s="136" t="s">
        <v>456</v>
      </c>
      <c r="C350" s="187" t="s">
        <v>457</v>
      </c>
      <c r="D350" s="187" t="s">
        <v>321</v>
      </c>
      <c r="E350" s="188">
        <v>1279585000</v>
      </c>
      <c r="F350" s="193">
        <v>16760400</v>
      </c>
      <c r="G350" s="199" t="s">
        <v>684</v>
      </c>
      <c r="H350" s="113"/>
      <c r="I350" s="113"/>
      <c r="J350" s="113"/>
      <c r="K350" s="113"/>
      <c r="L350" s="113"/>
      <c r="M350" s="113"/>
      <c r="N350" s="113"/>
      <c r="O350" s="113"/>
      <c r="P350" s="113"/>
      <c r="Q350" s="113"/>
      <c r="R350" s="113"/>
      <c r="S350" s="113"/>
      <c r="T350" s="113"/>
      <c r="U350" s="113"/>
      <c r="V350" s="113"/>
      <c r="W350" s="113"/>
      <c r="X350" s="113"/>
      <c r="Y350" s="113"/>
      <c r="Z350" s="113"/>
      <c r="AA350" s="113"/>
      <c r="AB350" s="113"/>
    </row>
    <row r="351" spans="1:28" ht="45" customHeight="1" x14ac:dyDescent="0.25">
      <c r="A351" s="740"/>
      <c r="B351" s="143" t="s">
        <v>461</v>
      </c>
      <c r="C351" s="191" t="s">
        <v>462</v>
      </c>
      <c r="D351" s="191" t="s">
        <v>680</v>
      </c>
      <c r="E351" s="192">
        <v>389090000</v>
      </c>
      <c r="F351" s="30">
        <v>0</v>
      </c>
      <c r="G351" s="191" t="s">
        <v>679</v>
      </c>
      <c r="H351" s="113"/>
      <c r="I351" s="113"/>
      <c r="J351" s="113"/>
      <c r="K351" s="113"/>
      <c r="L351" s="113"/>
      <c r="M351" s="113"/>
      <c r="N351" s="113"/>
      <c r="O351" s="113"/>
      <c r="P351" s="113"/>
      <c r="Q351" s="113"/>
      <c r="R351" s="113"/>
      <c r="S351" s="113"/>
      <c r="T351" s="113"/>
      <c r="U351" s="113"/>
      <c r="V351" s="113"/>
      <c r="W351" s="113"/>
      <c r="X351" s="113"/>
      <c r="Y351" s="113"/>
      <c r="Z351" s="113"/>
      <c r="AA351" s="113"/>
      <c r="AB351" s="113"/>
    </row>
    <row r="352" spans="1:28" ht="55.5" customHeight="1" x14ac:dyDescent="0.25">
      <c r="A352" s="740"/>
      <c r="B352" s="143" t="s">
        <v>465</v>
      </c>
      <c r="C352" s="191" t="s">
        <v>466</v>
      </c>
      <c r="D352" s="191" t="s">
        <v>332</v>
      </c>
      <c r="E352" s="192">
        <v>155507000</v>
      </c>
      <c r="F352" s="30">
        <v>0</v>
      </c>
      <c r="G352" s="191" t="s">
        <v>679</v>
      </c>
      <c r="H352" s="113"/>
      <c r="I352" s="113"/>
      <c r="J352" s="113"/>
      <c r="K352" s="113"/>
      <c r="L352" s="113"/>
      <c r="M352" s="113"/>
      <c r="N352" s="113"/>
      <c r="O352" s="113"/>
      <c r="P352" s="113"/>
      <c r="Q352" s="113"/>
      <c r="R352" s="113"/>
      <c r="S352" s="113"/>
      <c r="T352" s="113"/>
      <c r="U352" s="113"/>
      <c r="V352" s="113"/>
      <c r="W352" s="113"/>
      <c r="X352" s="113"/>
      <c r="Y352" s="113"/>
      <c r="Z352" s="113"/>
      <c r="AA352" s="113"/>
      <c r="AB352" s="113"/>
    </row>
    <row r="353" spans="1:28" ht="60" customHeight="1" x14ac:dyDescent="0.25">
      <c r="A353" s="740"/>
      <c r="B353" s="143" t="s">
        <v>470</v>
      </c>
      <c r="C353" s="191" t="s">
        <v>471</v>
      </c>
      <c r="D353" s="191" t="s">
        <v>681</v>
      </c>
      <c r="E353" s="193">
        <v>2615358000</v>
      </c>
      <c r="F353" s="193">
        <v>14641617</v>
      </c>
      <c r="G353" s="195" t="s">
        <v>685</v>
      </c>
      <c r="H353" s="113"/>
      <c r="I353" s="113"/>
      <c r="J353" s="113"/>
      <c r="K353" s="113"/>
      <c r="L353" s="113"/>
      <c r="M353" s="113"/>
      <c r="N353" s="113"/>
      <c r="O353" s="113"/>
      <c r="P353" s="113"/>
      <c r="Q353" s="113"/>
      <c r="R353" s="113"/>
      <c r="S353" s="113"/>
      <c r="T353" s="113"/>
      <c r="U353" s="113"/>
      <c r="V353" s="113"/>
      <c r="W353" s="113"/>
      <c r="X353" s="113"/>
      <c r="Y353" s="113"/>
      <c r="Z353" s="113"/>
      <c r="AA353" s="113"/>
      <c r="AB353" s="113"/>
    </row>
    <row r="354" spans="1:28" ht="51" customHeight="1" x14ac:dyDescent="0.25">
      <c r="A354" s="744"/>
      <c r="B354" s="198" t="s">
        <v>475</v>
      </c>
      <c r="C354" s="196" t="s">
        <v>476</v>
      </c>
      <c r="D354" s="196" t="s">
        <v>336</v>
      </c>
      <c r="E354" s="197">
        <v>232232000</v>
      </c>
      <c r="F354" s="155">
        <v>0</v>
      </c>
      <c r="G354" s="196" t="s">
        <v>679</v>
      </c>
      <c r="H354" s="113"/>
      <c r="I354" s="113"/>
      <c r="J354" s="113"/>
      <c r="K354" s="113"/>
      <c r="L354" s="113"/>
      <c r="M354" s="113"/>
      <c r="N354" s="113"/>
      <c r="O354" s="113"/>
      <c r="P354" s="113"/>
      <c r="Q354" s="113"/>
      <c r="R354" s="113"/>
      <c r="S354" s="113"/>
      <c r="T354" s="113"/>
      <c r="U354" s="113"/>
      <c r="V354" s="113"/>
      <c r="W354" s="113"/>
      <c r="X354" s="113"/>
      <c r="Y354" s="113"/>
      <c r="Z354" s="113"/>
      <c r="AA354" s="113"/>
      <c r="AB354" s="113"/>
    </row>
    <row r="355" spans="1:28" ht="43.5" customHeight="1" x14ac:dyDescent="0.25">
      <c r="A355" s="790" t="s">
        <v>436</v>
      </c>
      <c r="B355" s="136" t="s">
        <v>456</v>
      </c>
      <c r="C355" s="187" t="s">
        <v>457</v>
      </c>
      <c r="D355" s="187" t="s">
        <v>321</v>
      </c>
      <c r="E355" s="188">
        <v>1279585000</v>
      </c>
      <c r="F355" s="193">
        <v>105643156</v>
      </c>
      <c r="G355" s="199" t="s">
        <v>686</v>
      </c>
      <c r="H355" s="113"/>
      <c r="I355" s="113"/>
      <c r="J355" s="113"/>
      <c r="K355" s="113"/>
      <c r="L355" s="113"/>
      <c r="M355" s="113"/>
      <c r="N355" s="113"/>
      <c r="O355" s="113"/>
      <c r="P355" s="113"/>
      <c r="Q355" s="113"/>
      <c r="R355" s="113"/>
      <c r="S355" s="113"/>
      <c r="T355" s="113"/>
      <c r="U355" s="113"/>
      <c r="V355" s="113"/>
      <c r="W355" s="113"/>
      <c r="X355" s="113"/>
      <c r="Y355" s="113"/>
      <c r="Z355" s="113"/>
      <c r="AA355" s="113"/>
      <c r="AB355" s="113"/>
    </row>
    <row r="356" spans="1:28" ht="43.5" customHeight="1" x14ac:dyDescent="0.25">
      <c r="A356" s="740"/>
      <c r="B356" s="143" t="s">
        <v>461</v>
      </c>
      <c r="C356" s="191" t="s">
        <v>462</v>
      </c>
      <c r="D356" s="191" t="s">
        <v>680</v>
      </c>
      <c r="E356" s="192">
        <v>389090000</v>
      </c>
      <c r="F356" s="193">
        <v>6944667</v>
      </c>
      <c r="G356" s="191" t="s">
        <v>687</v>
      </c>
      <c r="H356" s="113"/>
      <c r="I356" s="113"/>
      <c r="J356" s="113"/>
      <c r="K356" s="113"/>
      <c r="L356" s="113"/>
      <c r="M356" s="113"/>
      <c r="N356" s="113"/>
      <c r="O356" s="113"/>
      <c r="P356" s="113"/>
      <c r="Q356" s="113"/>
      <c r="R356" s="113"/>
      <c r="S356" s="113"/>
      <c r="T356" s="113"/>
      <c r="U356" s="113"/>
      <c r="V356" s="113"/>
      <c r="W356" s="113"/>
      <c r="X356" s="113"/>
      <c r="Y356" s="113"/>
      <c r="Z356" s="113"/>
      <c r="AA356" s="113"/>
      <c r="AB356" s="113"/>
    </row>
    <row r="357" spans="1:28" ht="43.5" customHeight="1" x14ac:dyDescent="0.25">
      <c r="A357" s="740"/>
      <c r="B357" s="143" t="s">
        <v>465</v>
      </c>
      <c r="C357" s="191" t="s">
        <v>466</v>
      </c>
      <c r="D357" s="191" t="s">
        <v>332</v>
      </c>
      <c r="E357" s="192">
        <v>155507000</v>
      </c>
      <c r="F357" s="193">
        <v>6944933</v>
      </c>
      <c r="G357" s="191" t="s">
        <v>688</v>
      </c>
      <c r="H357" s="113"/>
      <c r="I357" s="113"/>
      <c r="J357" s="113"/>
      <c r="K357" s="113"/>
      <c r="L357" s="113"/>
      <c r="M357" s="113"/>
      <c r="N357" s="113"/>
      <c r="O357" s="113"/>
      <c r="P357" s="113"/>
      <c r="Q357" s="113"/>
      <c r="R357" s="113"/>
      <c r="S357" s="113"/>
      <c r="T357" s="113"/>
      <c r="U357" s="113"/>
      <c r="V357" s="113"/>
      <c r="W357" s="113"/>
      <c r="X357" s="113"/>
      <c r="Y357" s="113"/>
      <c r="Z357" s="113"/>
      <c r="AA357" s="113"/>
      <c r="AB357" s="113"/>
    </row>
    <row r="358" spans="1:28" ht="43.5" customHeight="1" x14ac:dyDescent="0.25">
      <c r="A358" s="740"/>
      <c r="B358" s="143" t="s">
        <v>470</v>
      </c>
      <c r="C358" s="191" t="s">
        <v>471</v>
      </c>
      <c r="D358" s="191" t="s">
        <v>681</v>
      </c>
      <c r="E358" s="193">
        <v>2615358000</v>
      </c>
      <c r="F358" s="193">
        <v>34505501</v>
      </c>
      <c r="G358" s="195" t="s">
        <v>689</v>
      </c>
      <c r="H358" s="113"/>
      <c r="I358" s="113"/>
      <c r="J358" s="113"/>
      <c r="K358" s="113"/>
      <c r="L358" s="113"/>
      <c r="M358" s="113"/>
      <c r="N358" s="113"/>
      <c r="O358" s="113"/>
      <c r="P358" s="113"/>
      <c r="Q358" s="113"/>
      <c r="R358" s="113"/>
      <c r="S358" s="113"/>
      <c r="T358" s="113"/>
      <c r="U358" s="113"/>
      <c r="V358" s="113"/>
      <c r="W358" s="113"/>
      <c r="X358" s="113"/>
      <c r="Y358" s="113"/>
      <c r="Z358" s="113"/>
      <c r="AA358" s="113"/>
      <c r="AB358" s="113"/>
    </row>
    <row r="359" spans="1:28" ht="43.5" customHeight="1" x14ac:dyDescent="0.25">
      <c r="A359" s="744"/>
      <c r="B359" s="198" t="s">
        <v>475</v>
      </c>
      <c r="C359" s="196" t="s">
        <v>476</v>
      </c>
      <c r="D359" s="196" t="s">
        <v>336</v>
      </c>
      <c r="E359" s="197">
        <v>232232000</v>
      </c>
      <c r="F359" s="200">
        <v>14018200</v>
      </c>
      <c r="G359" s="196" t="s">
        <v>690</v>
      </c>
      <c r="H359" s="113"/>
      <c r="I359" s="113"/>
      <c r="J359" s="113"/>
      <c r="K359" s="113"/>
      <c r="L359" s="113"/>
      <c r="M359" s="113"/>
      <c r="N359" s="113"/>
      <c r="O359" s="113"/>
      <c r="P359" s="113"/>
      <c r="Q359" s="113"/>
      <c r="R359" s="113"/>
      <c r="S359" s="113"/>
      <c r="T359" s="113"/>
      <c r="U359" s="113"/>
      <c r="V359" s="113"/>
      <c r="W359" s="113"/>
      <c r="X359" s="113"/>
      <c r="Y359" s="113"/>
      <c r="Z359" s="113"/>
      <c r="AA359" s="113"/>
      <c r="AB359" s="113"/>
    </row>
    <row r="360" spans="1:28" ht="69.75" customHeight="1" x14ac:dyDescent="0.25">
      <c r="A360" s="790" t="s">
        <v>437</v>
      </c>
      <c r="B360" s="136" t="s">
        <v>456</v>
      </c>
      <c r="C360" s="187" t="s">
        <v>457</v>
      </c>
      <c r="D360" s="187" t="s">
        <v>321</v>
      </c>
      <c r="E360" s="188">
        <v>1279585000</v>
      </c>
      <c r="F360" s="193">
        <v>164008623</v>
      </c>
      <c r="G360" s="199" t="s">
        <v>691</v>
      </c>
      <c r="H360" s="113"/>
      <c r="I360" s="113"/>
      <c r="J360" s="113"/>
      <c r="K360" s="113"/>
      <c r="L360" s="113"/>
      <c r="M360" s="113"/>
      <c r="N360" s="113"/>
      <c r="O360" s="113"/>
      <c r="P360" s="113"/>
      <c r="Q360" s="113"/>
      <c r="R360" s="113"/>
      <c r="S360" s="113"/>
      <c r="T360" s="113"/>
      <c r="U360" s="113"/>
      <c r="V360" s="113"/>
      <c r="W360" s="113"/>
      <c r="X360" s="113"/>
      <c r="Y360" s="113"/>
      <c r="Z360" s="113"/>
      <c r="AA360" s="113"/>
      <c r="AB360" s="113"/>
    </row>
    <row r="361" spans="1:28" ht="51" customHeight="1" x14ac:dyDescent="0.25">
      <c r="A361" s="740"/>
      <c r="B361" s="143" t="s">
        <v>461</v>
      </c>
      <c r="C361" s="191" t="s">
        <v>462</v>
      </c>
      <c r="D361" s="191" t="s">
        <v>680</v>
      </c>
      <c r="E361" s="192">
        <v>389090000</v>
      </c>
      <c r="F361" s="193">
        <v>24492667</v>
      </c>
      <c r="G361" s="191" t="s">
        <v>692</v>
      </c>
      <c r="H361" s="113"/>
      <c r="I361" s="113"/>
      <c r="J361" s="113"/>
      <c r="K361" s="113"/>
      <c r="L361" s="113"/>
      <c r="M361" s="113"/>
      <c r="N361" s="113"/>
      <c r="O361" s="113"/>
      <c r="P361" s="113"/>
      <c r="Q361" s="113"/>
      <c r="R361" s="113"/>
      <c r="S361" s="113"/>
      <c r="T361" s="113"/>
      <c r="U361" s="113"/>
      <c r="V361" s="113"/>
      <c r="W361" s="113"/>
      <c r="X361" s="113"/>
      <c r="Y361" s="113"/>
      <c r="Z361" s="113"/>
      <c r="AA361" s="113"/>
      <c r="AB361" s="113"/>
    </row>
    <row r="362" spans="1:28" ht="51" customHeight="1" x14ac:dyDescent="0.25">
      <c r="A362" s="740"/>
      <c r="B362" s="143" t="s">
        <v>465</v>
      </c>
      <c r="C362" s="191" t="s">
        <v>466</v>
      </c>
      <c r="D362" s="191" t="s">
        <v>332</v>
      </c>
      <c r="E362" s="192">
        <v>155507000</v>
      </c>
      <c r="F362" s="193">
        <v>14385933</v>
      </c>
      <c r="G362" s="191" t="s">
        <v>688</v>
      </c>
      <c r="H362" s="113"/>
      <c r="I362" s="113"/>
      <c r="J362" s="113"/>
      <c r="K362" s="113"/>
      <c r="L362" s="113"/>
      <c r="M362" s="113"/>
      <c r="N362" s="113"/>
      <c r="O362" s="113"/>
      <c r="P362" s="113"/>
      <c r="Q362" s="113"/>
      <c r="R362" s="113"/>
      <c r="S362" s="113"/>
      <c r="T362" s="113"/>
      <c r="U362" s="113"/>
      <c r="V362" s="113"/>
      <c r="W362" s="113"/>
      <c r="X362" s="113"/>
      <c r="Y362" s="113"/>
      <c r="Z362" s="113"/>
      <c r="AA362" s="113"/>
      <c r="AB362" s="113"/>
    </row>
    <row r="363" spans="1:28" ht="51" customHeight="1" x14ac:dyDescent="0.25">
      <c r="A363" s="740"/>
      <c r="B363" s="143" t="s">
        <v>470</v>
      </c>
      <c r="C363" s="191" t="s">
        <v>471</v>
      </c>
      <c r="D363" s="191" t="s">
        <v>681</v>
      </c>
      <c r="E363" s="193">
        <v>2615358000</v>
      </c>
      <c r="F363" s="193">
        <v>61533651</v>
      </c>
      <c r="G363" s="195" t="s">
        <v>693</v>
      </c>
      <c r="H363" s="113"/>
      <c r="I363" s="113"/>
      <c r="J363" s="113"/>
      <c r="K363" s="113"/>
      <c r="L363" s="113"/>
      <c r="M363" s="113"/>
      <c r="N363" s="113"/>
      <c r="O363" s="113"/>
      <c r="P363" s="113"/>
      <c r="Q363" s="113"/>
      <c r="R363" s="113"/>
      <c r="S363" s="113"/>
      <c r="T363" s="113"/>
      <c r="U363" s="113"/>
      <c r="V363" s="113"/>
      <c r="W363" s="113"/>
      <c r="X363" s="113"/>
      <c r="Y363" s="113"/>
      <c r="Z363" s="113"/>
      <c r="AA363" s="113"/>
      <c r="AB363" s="113"/>
    </row>
    <row r="364" spans="1:28" ht="51" customHeight="1" x14ac:dyDescent="0.25">
      <c r="A364" s="744"/>
      <c r="B364" s="198" t="s">
        <v>475</v>
      </c>
      <c r="C364" s="196" t="s">
        <v>476</v>
      </c>
      <c r="D364" s="196" t="s">
        <v>336</v>
      </c>
      <c r="E364" s="197">
        <v>232232000</v>
      </c>
      <c r="F364" s="200">
        <v>31337200</v>
      </c>
      <c r="G364" s="196" t="s">
        <v>690</v>
      </c>
      <c r="H364" s="113"/>
      <c r="I364" s="113"/>
      <c r="J364" s="113"/>
      <c r="K364" s="113"/>
      <c r="L364" s="113"/>
      <c r="M364" s="113"/>
      <c r="N364" s="113"/>
      <c r="O364" s="113"/>
      <c r="P364" s="113"/>
      <c r="Q364" s="113"/>
      <c r="R364" s="113"/>
      <c r="S364" s="113"/>
      <c r="T364" s="113"/>
      <c r="U364" s="113"/>
      <c r="V364" s="113"/>
      <c r="W364" s="113"/>
      <c r="X364" s="113"/>
      <c r="Y364" s="113"/>
      <c r="Z364" s="113"/>
      <c r="AA364" s="113"/>
      <c r="AB364" s="113"/>
    </row>
    <row r="365" spans="1:28" ht="46.5" customHeight="1" x14ac:dyDescent="0.25">
      <c r="A365" s="790" t="s">
        <v>438</v>
      </c>
      <c r="B365" s="136" t="s">
        <v>456</v>
      </c>
      <c r="C365" s="187" t="s">
        <v>457</v>
      </c>
      <c r="D365" s="187" t="s">
        <v>321</v>
      </c>
      <c r="E365" s="188">
        <v>1279585000</v>
      </c>
      <c r="F365" s="193">
        <v>305007935</v>
      </c>
      <c r="G365" s="201" t="s">
        <v>694</v>
      </c>
      <c r="H365" s="113"/>
      <c r="I365" s="113"/>
      <c r="J365" s="113"/>
      <c r="K365" s="113"/>
      <c r="L365" s="113"/>
      <c r="M365" s="113"/>
      <c r="N365" s="113"/>
      <c r="O365" s="113"/>
      <c r="P365" s="113"/>
      <c r="Q365" s="113"/>
      <c r="R365" s="113"/>
      <c r="S365" s="113"/>
      <c r="T365" s="113"/>
      <c r="U365" s="113"/>
      <c r="V365" s="113"/>
      <c r="W365" s="113"/>
      <c r="X365" s="113"/>
      <c r="Y365" s="113"/>
      <c r="Z365" s="113"/>
      <c r="AA365" s="113"/>
      <c r="AB365" s="113"/>
    </row>
    <row r="366" spans="1:28" ht="46.5" customHeight="1" x14ac:dyDescent="0.25">
      <c r="A366" s="740"/>
      <c r="B366" s="143" t="s">
        <v>461</v>
      </c>
      <c r="C366" s="191" t="s">
        <v>462</v>
      </c>
      <c r="D366" s="191" t="s">
        <v>680</v>
      </c>
      <c r="E366" s="192">
        <v>389090000</v>
      </c>
      <c r="F366" s="193">
        <v>45108000</v>
      </c>
      <c r="G366" s="202" t="s">
        <v>692</v>
      </c>
      <c r="H366" s="113"/>
      <c r="I366" s="113"/>
      <c r="J366" s="113"/>
      <c r="K366" s="113"/>
      <c r="L366" s="113"/>
      <c r="M366" s="113"/>
      <c r="N366" s="113"/>
      <c r="O366" s="113"/>
      <c r="P366" s="113"/>
      <c r="Q366" s="113"/>
      <c r="R366" s="113"/>
      <c r="S366" s="113"/>
      <c r="T366" s="113"/>
      <c r="U366" s="113"/>
      <c r="V366" s="113"/>
      <c r="W366" s="113"/>
      <c r="X366" s="113"/>
      <c r="Y366" s="113"/>
      <c r="Z366" s="113"/>
      <c r="AA366" s="113"/>
      <c r="AB366" s="113"/>
    </row>
    <row r="367" spans="1:28" ht="46.5" customHeight="1" x14ac:dyDescent="0.25">
      <c r="A367" s="740"/>
      <c r="B367" s="143" t="s">
        <v>465</v>
      </c>
      <c r="C367" s="191" t="s">
        <v>466</v>
      </c>
      <c r="D367" s="191" t="s">
        <v>332</v>
      </c>
      <c r="E367" s="192">
        <v>155507000</v>
      </c>
      <c r="F367" s="193">
        <v>23446266</v>
      </c>
      <c r="G367" s="191" t="s">
        <v>695</v>
      </c>
      <c r="H367" s="113"/>
      <c r="I367" s="113"/>
      <c r="J367" s="113"/>
      <c r="K367" s="113"/>
      <c r="L367" s="113"/>
      <c r="M367" s="113"/>
      <c r="N367" s="113"/>
      <c r="O367" s="113"/>
      <c r="P367" s="113"/>
      <c r="Q367" s="113"/>
      <c r="R367" s="113"/>
      <c r="S367" s="113"/>
      <c r="T367" s="113"/>
      <c r="U367" s="113"/>
      <c r="V367" s="113"/>
      <c r="W367" s="113"/>
      <c r="X367" s="113"/>
      <c r="Y367" s="113"/>
      <c r="Z367" s="113"/>
      <c r="AA367" s="113"/>
      <c r="AB367" s="113"/>
    </row>
    <row r="368" spans="1:28" ht="46.5" customHeight="1" x14ac:dyDescent="0.25">
      <c r="A368" s="740"/>
      <c r="B368" s="143" t="s">
        <v>470</v>
      </c>
      <c r="C368" s="191" t="s">
        <v>471</v>
      </c>
      <c r="D368" s="191" t="s">
        <v>681</v>
      </c>
      <c r="E368" s="193">
        <v>2615358000</v>
      </c>
      <c r="F368" s="193">
        <v>88561801</v>
      </c>
      <c r="G368" s="203" t="s">
        <v>696</v>
      </c>
      <c r="H368" s="113"/>
      <c r="I368" s="113"/>
      <c r="J368" s="113"/>
      <c r="K368" s="113"/>
      <c r="L368" s="113"/>
      <c r="M368" s="113"/>
      <c r="N368" s="113"/>
      <c r="O368" s="113"/>
      <c r="P368" s="113"/>
      <c r="Q368" s="113"/>
      <c r="R368" s="113"/>
      <c r="S368" s="113"/>
      <c r="T368" s="113"/>
      <c r="U368" s="113"/>
      <c r="V368" s="113"/>
      <c r="W368" s="113"/>
      <c r="X368" s="113"/>
      <c r="Y368" s="113"/>
      <c r="Z368" s="113"/>
      <c r="AA368" s="113"/>
      <c r="AB368" s="113"/>
    </row>
    <row r="369" spans="1:28" ht="46.5" customHeight="1" x14ac:dyDescent="0.25">
      <c r="A369" s="744"/>
      <c r="B369" s="198" t="s">
        <v>475</v>
      </c>
      <c r="C369" s="196" t="s">
        <v>476</v>
      </c>
      <c r="D369" s="196" t="s">
        <v>336</v>
      </c>
      <c r="E369" s="197">
        <v>232232000</v>
      </c>
      <c r="F369" s="200">
        <v>48656200</v>
      </c>
      <c r="G369" s="196" t="s">
        <v>690</v>
      </c>
      <c r="H369" s="113"/>
      <c r="I369" s="113"/>
      <c r="J369" s="113"/>
      <c r="K369" s="113"/>
      <c r="L369" s="113"/>
      <c r="M369" s="113"/>
      <c r="N369" s="113"/>
      <c r="O369" s="113"/>
      <c r="P369" s="113"/>
      <c r="Q369" s="113"/>
      <c r="R369" s="113"/>
      <c r="S369" s="113"/>
      <c r="T369" s="113"/>
      <c r="U369" s="113"/>
      <c r="V369" s="113"/>
      <c r="W369" s="113"/>
      <c r="X369" s="113"/>
      <c r="Y369" s="113"/>
      <c r="Z369" s="113"/>
      <c r="AA369" s="113"/>
      <c r="AB369" s="113"/>
    </row>
    <row r="370" spans="1:28" ht="27" customHeight="1" x14ac:dyDescent="0.25">
      <c r="A370" s="790" t="s">
        <v>425</v>
      </c>
      <c r="B370" s="136" t="s">
        <v>456</v>
      </c>
      <c r="C370" s="187" t="s">
        <v>457</v>
      </c>
      <c r="D370" s="187" t="s">
        <v>321</v>
      </c>
      <c r="E370" s="188">
        <v>1279585000</v>
      </c>
      <c r="F370" s="193">
        <v>403745791</v>
      </c>
      <c r="G370" s="201" t="s">
        <v>694</v>
      </c>
      <c r="H370" s="113"/>
      <c r="I370" s="113"/>
      <c r="J370" s="113"/>
      <c r="K370" s="113"/>
      <c r="L370" s="113"/>
      <c r="M370" s="113"/>
      <c r="N370" s="113"/>
      <c r="O370" s="113"/>
      <c r="P370" s="113"/>
      <c r="Q370" s="113"/>
      <c r="R370" s="113"/>
      <c r="S370" s="113"/>
      <c r="T370" s="113"/>
      <c r="U370" s="113"/>
      <c r="V370" s="113"/>
      <c r="W370" s="113"/>
      <c r="X370" s="113"/>
      <c r="Y370" s="113"/>
      <c r="Z370" s="113"/>
      <c r="AA370" s="113"/>
      <c r="AB370" s="113"/>
    </row>
    <row r="371" spans="1:28" ht="27" customHeight="1" x14ac:dyDescent="0.25">
      <c r="A371" s="740"/>
      <c r="B371" s="143" t="s">
        <v>461</v>
      </c>
      <c r="C371" s="191" t="s">
        <v>462</v>
      </c>
      <c r="D371" s="191" t="s">
        <v>680</v>
      </c>
      <c r="E371" s="192">
        <v>389090000</v>
      </c>
      <c r="F371" s="193">
        <v>77201500</v>
      </c>
      <c r="G371" s="202" t="s">
        <v>692</v>
      </c>
      <c r="H371" s="113"/>
      <c r="I371" s="113"/>
      <c r="J371" s="113"/>
      <c r="K371" s="113"/>
      <c r="L371" s="113"/>
      <c r="M371" s="113"/>
      <c r="N371" s="113"/>
      <c r="O371" s="113"/>
      <c r="P371" s="113"/>
      <c r="Q371" s="113"/>
      <c r="R371" s="113"/>
      <c r="S371" s="113"/>
      <c r="T371" s="113"/>
      <c r="U371" s="113"/>
      <c r="V371" s="113"/>
      <c r="W371" s="113"/>
      <c r="X371" s="113"/>
      <c r="Y371" s="113"/>
      <c r="Z371" s="113"/>
      <c r="AA371" s="113"/>
      <c r="AB371" s="113"/>
    </row>
    <row r="372" spans="1:28" ht="27" customHeight="1" x14ac:dyDescent="0.25">
      <c r="A372" s="740"/>
      <c r="B372" s="143" t="s">
        <v>465</v>
      </c>
      <c r="C372" s="191" t="s">
        <v>466</v>
      </c>
      <c r="D372" s="191" t="s">
        <v>332</v>
      </c>
      <c r="E372" s="192">
        <v>155507000</v>
      </c>
      <c r="F372" s="193">
        <v>37827266</v>
      </c>
      <c r="G372" s="191" t="s">
        <v>695</v>
      </c>
      <c r="H372" s="113"/>
      <c r="I372" s="113"/>
      <c r="J372" s="113"/>
      <c r="K372" s="113"/>
      <c r="L372" s="113"/>
      <c r="M372" s="113"/>
      <c r="N372" s="113"/>
      <c r="O372" s="113"/>
      <c r="P372" s="113"/>
      <c r="Q372" s="113"/>
      <c r="R372" s="113"/>
      <c r="S372" s="113"/>
      <c r="T372" s="113"/>
      <c r="U372" s="113"/>
      <c r="V372" s="113"/>
      <c r="W372" s="113"/>
      <c r="X372" s="113"/>
      <c r="Y372" s="113"/>
      <c r="Z372" s="113"/>
      <c r="AA372" s="113"/>
      <c r="AB372" s="113"/>
    </row>
    <row r="373" spans="1:28" ht="27" customHeight="1" x14ac:dyDescent="0.25">
      <c r="A373" s="740"/>
      <c r="B373" s="143" t="s">
        <v>470</v>
      </c>
      <c r="C373" s="191" t="s">
        <v>471</v>
      </c>
      <c r="D373" s="191" t="s">
        <v>681</v>
      </c>
      <c r="E373" s="193">
        <v>2615358000</v>
      </c>
      <c r="F373" s="193">
        <v>523743624</v>
      </c>
      <c r="G373" s="203" t="s">
        <v>697</v>
      </c>
      <c r="H373" s="113"/>
      <c r="I373" s="113"/>
      <c r="J373" s="113"/>
      <c r="K373" s="113"/>
      <c r="L373" s="113"/>
      <c r="M373" s="113"/>
      <c r="N373" s="113"/>
      <c r="O373" s="113"/>
      <c r="P373" s="113"/>
      <c r="Q373" s="113"/>
      <c r="R373" s="113"/>
      <c r="S373" s="113"/>
      <c r="T373" s="113"/>
      <c r="U373" s="113"/>
      <c r="V373" s="113"/>
      <c r="W373" s="113"/>
      <c r="X373" s="113"/>
      <c r="Y373" s="113"/>
      <c r="Z373" s="113"/>
      <c r="AA373" s="113"/>
      <c r="AB373" s="113"/>
    </row>
    <row r="374" spans="1:28" ht="27" customHeight="1" x14ac:dyDescent="0.25">
      <c r="A374" s="744"/>
      <c r="B374" s="198" t="s">
        <v>475</v>
      </c>
      <c r="C374" s="196" t="s">
        <v>476</v>
      </c>
      <c r="D374" s="196" t="s">
        <v>336</v>
      </c>
      <c r="E374" s="197">
        <v>232232000</v>
      </c>
      <c r="F374" s="200">
        <v>65975200</v>
      </c>
      <c r="G374" s="196" t="s">
        <v>690</v>
      </c>
      <c r="H374" s="113"/>
      <c r="I374" s="113"/>
      <c r="J374" s="113"/>
      <c r="K374" s="113"/>
      <c r="L374" s="113"/>
      <c r="M374" s="113"/>
      <c r="N374" s="113"/>
      <c r="O374" s="113"/>
      <c r="P374" s="113"/>
      <c r="Q374" s="113"/>
      <c r="R374" s="113"/>
      <c r="S374" s="113"/>
      <c r="T374" s="113"/>
      <c r="U374" s="113"/>
      <c r="V374" s="113"/>
      <c r="W374" s="113"/>
      <c r="X374" s="113"/>
      <c r="Y374" s="113"/>
      <c r="Z374" s="113"/>
      <c r="AA374" s="113"/>
      <c r="AB374" s="113"/>
    </row>
    <row r="375" spans="1:28" ht="85.5" customHeight="1" x14ac:dyDescent="0.25">
      <c r="A375" s="790" t="s">
        <v>426</v>
      </c>
      <c r="B375" s="136" t="s">
        <v>456</v>
      </c>
      <c r="C375" s="187" t="s">
        <v>457</v>
      </c>
      <c r="D375" s="187" t="s">
        <v>321</v>
      </c>
      <c r="E375" s="188">
        <v>1279585000</v>
      </c>
      <c r="F375" s="193">
        <v>510630247</v>
      </c>
      <c r="G375" s="201" t="s">
        <v>694</v>
      </c>
      <c r="H375" s="113"/>
      <c r="I375" s="113"/>
      <c r="J375" s="113"/>
      <c r="K375" s="113"/>
      <c r="L375" s="113"/>
      <c r="M375" s="113"/>
      <c r="N375" s="113"/>
      <c r="O375" s="113"/>
      <c r="P375" s="113"/>
      <c r="Q375" s="113"/>
      <c r="R375" s="113"/>
      <c r="S375" s="113"/>
      <c r="T375" s="113"/>
      <c r="U375" s="113"/>
      <c r="V375" s="113"/>
      <c r="W375" s="113"/>
      <c r="X375" s="113"/>
      <c r="Y375" s="113"/>
      <c r="Z375" s="113"/>
      <c r="AA375" s="113"/>
      <c r="AB375" s="113"/>
    </row>
    <row r="376" spans="1:28" ht="85.5" customHeight="1" x14ac:dyDescent="0.25">
      <c r="A376" s="740"/>
      <c r="B376" s="143" t="s">
        <v>461</v>
      </c>
      <c r="C376" s="191" t="s">
        <v>462</v>
      </c>
      <c r="D376" s="191" t="s">
        <v>680</v>
      </c>
      <c r="E376" s="192">
        <v>389090000</v>
      </c>
      <c r="F376" s="193">
        <v>105314500</v>
      </c>
      <c r="G376" s="202" t="s">
        <v>692</v>
      </c>
      <c r="H376" s="113"/>
      <c r="I376" s="113"/>
      <c r="J376" s="113"/>
      <c r="K376" s="113"/>
      <c r="L376" s="113"/>
      <c r="M376" s="113"/>
      <c r="N376" s="113"/>
      <c r="O376" s="113"/>
      <c r="P376" s="113"/>
      <c r="Q376" s="113"/>
      <c r="R376" s="113"/>
      <c r="S376" s="113"/>
      <c r="T376" s="113"/>
      <c r="U376" s="113"/>
      <c r="V376" s="113"/>
      <c r="W376" s="113"/>
      <c r="X376" s="113"/>
      <c r="Y376" s="113"/>
      <c r="Z376" s="113"/>
      <c r="AA376" s="113"/>
      <c r="AB376" s="113"/>
    </row>
    <row r="377" spans="1:28" ht="85.5" customHeight="1" x14ac:dyDescent="0.25">
      <c r="A377" s="740"/>
      <c r="B377" s="143" t="s">
        <v>465</v>
      </c>
      <c r="C377" s="191" t="s">
        <v>466</v>
      </c>
      <c r="D377" s="191" t="s">
        <v>332</v>
      </c>
      <c r="E377" s="192">
        <v>155507000</v>
      </c>
      <c r="F377" s="193">
        <v>52208266</v>
      </c>
      <c r="G377" s="191" t="s">
        <v>695</v>
      </c>
      <c r="H377" s="113"/>
      <c r="I377" s="113"/>
      <c r="J377" s="113"/>
      <c r="K377" s="113"/>
      <c r="L377" s="113"/>
      <c r="M377" s="113"/>
      <c r="N377" s="113"/>
      <c r="O377" s="113"/>
      <c r="P377" s="113"/>
      <c r="Q377" s="113"/>
      <c r="R377" s="113"/>
      <c r="S377" s="113"/>
      <c r="T377" s="113"/>
      <c r="U377" s="113"/>
      <c r="V377" s="113"/>
      <c r="W377" s="113"/>
      <c r="X377" s="113"/>
      <c r="Y377" s="113"/>
      <c r="Z377" s="113"/>
      <c r="AA377" s="113"/>
      <c r="AB377" s="113"/>
    </row>
    <row r="378" spans="1:28" ht="85.5" customHeight="1" x14ac:dyDescent="0.25">
      <c r="A378" s="740"/>
      <c r="B378" s="143" t="s">
        <v>470</v>
      </c>
      <c r="C378" s="191" t="s">
        <v>471</v>
      </c>
      <c r="D378" s="191" t="s">
        <v>681</v>
      </c>
      <c r="E378" s="193">
        <v>2615358000</v>
      </c>
      <c r="F378" s="193">
        <v>1143547226</v>
      </c>
      <c r="G378" s="203" t="s">
        <v>698</v>
      </c>
      <c r="H378" s="113"/>
      <c r="I378" s="113"/>
      <c r="J378" s="113"/>
      <c r="K378" s="113"/>
      <c r="L378" s="113"/>
      <c r="M378" s="113"/>
      <c r="N378" s="113"/>
      <c r="O378" s="113"/>
      <c r="P378" s="113"/>
      <c r="Q378" s="113"/>
      <c r="R378" s="113"/>
      <c r="S378" s="113"/>
      <c r="T378" s="113"/>
      <c r="U378" s="113"/>
      <c r="V378" s="113"/>
      <c r="W378" s="113"/>
      <c r="X378" s="113"/>
      <c r="Y378" s="113"/>
      <c r="Z378" s="113"/>
      <c r="AA378" s="113"/>
      <c r="AB378" s="113"/>
    </row>
    <row r="379" spans="1:28" ht="85.5" customHeight="1" x14ac:dyDescent="0.25">
      <c r="A379" s="744"/>
      <c r="B379" s="198" t="s">
        <v>475</v>
      </c>
      <c r="C379" s="196" t="s">
        <v>476</v>
      </c>
      <c r="D379" s="196" t="s">
        <v>336</v>
      </c>
      <c r="E379" s="197">
        <v>232232000</v>
      </c>
      <c r="F379" s="200">
        <v>83294200</v>
      </c>
      <c r="G379" s="196" t="s">
        <v>690</v>
      </c>
      <c r="H379" s="113"/>
      <c r="I379" s="113"/>
      <c r="J379" s="113"/>
      <c r="K379" s="113"/>
      <c r="L379" s="113"/>
      <c r="M379" s="113"/>
      <c r="N379" s="113"/>
      <c r="O379" s="113"/>
      <c r="P379" s="113"/>
      <c r="Q379" s="113"/>
      <c r="R379" s="113"/>
      <c r="S379" s="113"/>
      <c r="T379" s="113"/>
      <c r="U379" s="113"/>
      <c r="V379" s="113"/>
      <c r="W379" s="113"/>
      <c r="X379" s="113"/>
      <c r="Y379" s="113"/>
      <c r="Z379" s="113"/>
      <c r="AA379" s="113"/>
      <c r="AB379" s="113"/>
    </row>
    <row r="380" spans="1:28" ht="45" customHeight="1" x14ac:dyDescent="0.25">
      <c r="A380" s="790" t="s">
        <v>427</v>
      </c>
      <c r="B380" s="136" t="s">
        <v>456</v>
      </c>
      <c r="C380" s="187" t="s">
        <v>457</v>
      </c>
      <c r="D380" s="187" t="s">
        <v>321</v>
      </c>
      <c r="E380" s="188">
        <v>1194376742</v>
      </c>
      <c r="F380" s="193">
        <v>614436903</v>
      </c>
      <c r="G380" s="201" t="s">
        <v>699</v>
      </c>
      <c r="H380" s="113"/>
      <c r="I380" s="113"/>
      <c r="J380" s="113"/>
      <c r="K380" s="113"/>
      <c r="L380" s="113"/>
      <c r="M380" s="113"/>
      <c r="N380" s="113"/>
      <c r="O380" s="113"/>
      <c r="P380" s="113"/>
      <c r="Q380" s="113"/>
      <c r="R380" s="113"/>
      <c r="S380" s="113"/>
      <c r="T380" s="113"/>
      <c r="U380" s="113"/>
      <c r="V380" s="113"/>
      <c r="W380" s="113"/>
      <c r="X380" s="113"/>
      <c r="Y380" s="113"/>
      <c r="Z380" s="113"/>
      <c r="AA380" s="113"/>
      <c r="AB380" s="113"/>
    </row>
    <row r="381" spans="1:28" ht="45" customHeight="1" x14ac:dyDescent="0.25">
      <c r="A381" s="740"/>
      <c r="B381" s="143" t="s">
        <v>461</v>
      </c>
      <c r="C381" s="191" t="s">
        <v>462</v>
      </c>
      <c r="D381" s="191" t="s">
        <v>680</v>
      </c>
      <c r="E381" s="192">
        <v>269915500</v>
      </c>
      <c r="F381" s="193">
        <v>133427500</v>
      </c>
      <c r="G381" s="202" t="s">
        <v>692</v>
      </c>
      <c r="H381" s="113"/>
      <c r="I381" s="113"/>
      <c r="J381" s="113"/>
      <c r="K381" s="113"/>
      <c r="L381" s="113"/>
      <c r="M381" s="113"/>
      <c r="N381" s="113"/>
      <c r="O381" s="113"/>
      <c r="P381" s="113"/>
      <c r="Q381" s="113"/>
      <c r="R381" s="113"/>
      <c r="S381" s="113"/>
      <c r="T381" s="113"/>
      <c r="U381" s="113"/>
      <c r="V381" s="113"/>
      <c r="W381" s="113"/>
      <c r="X381" s="113"/>
      <c r="Y381" s="113"/>
      <c r="Z381" s="113"/>
      <c r="AA381" s="113"/>
      <c r="AB381" s="113"/>
    </row>
    <row r="382" spans="1:28" ht="45" customHeight="1" x14ac:dyDescent="0.25">
      <c r="A382" s="740"/>
      <c r="B382" s="143" t="s">
        <v>465</v>
      </c>
      <c r="C382" s="191" t="s">
        <v>466</v>
      </c>
      <c r="D382" s="191" t="s">
        <v>332</v>
      </c>
      <c r="E382" s="192">
        <v>126922667</v>
      </c>
      <c r="F382" s="193">
        <v>66589266</v>
      </c>
      <c r="G382" s="191" t="s">
        <v>695</v>
      </c>
      <c r="H382" s="113"/>
      <c r="I382" s="113"/>
      <c r="J382" s="113"/>
      <c r="K382" s="113"/>
      <c r="L382" s="113"/>
      <c r="M382" s="113"/>
      <c r="N382" s="113"/>
      <c r="O382" s="113"/>
      <c r="P382" s="113"/>
      <c r="Q382" s="113"/>
      <c r="R382" s="113"/>
      <c r="S382" s="113"/>
      <c r="T382" s="113"/>
      <c r="U382" s="113"/>
      <c r="V382" s="113"/>
      <c r="W382" s="113"/>
      <c r="X382" s="113"/>
      <c r="Y382" s="113"/>
      <c r="Z382" s="113"/>
      <c r="AA382" s="113"/>
      <c r="AB382" s="113"/>
    </row>
    <row r="383" spans="1:28" ht="62.25" customHeight="1" x14ac:dyDescent="0.25">
      <c r="A383" s="740"/>
      <c r="B383" s="143" t="s">
        <v>470</v>
      </c>
      <c r="C383" s="191" t="s">
        <v>471</v>
      </c>
      <c r="D383" s="191" t="s">
        <v>681</v>
      </c>
      <c r="E383" s="193">
        <v>2335739091</v>
      </c>
      <c r="F383" s="193">
        <v>1170971376</v>
      </c>
      <c r="G383" s="203" t="s">
        <v>700</v>
      </c>
      <c r="H383" s="113"/>
      <c r="I383" s="113"/>
      <c r="J383" s="113"/>
      <c r="K383" s="113"/>
      <c r="L383" s="113"/>
      <c r="M383" s="113"/>
      <c r="N383" s="113"/>
      <c r="O383" s="113"/>
      <c r="P383" s="113"/>
      <c r="Q383" s="113"/>
      <c r="R383" s="113"/>
      <c r="S383" s="113"/>
      <c r="T383" s="113"/>
      <c r="U383" s="113"/>
      <c r="V383" s="113"/>
      <c r="W383" s="113"/>
      <c r="X383" s="113"/>
      <c r="Y383" s="113"/>
      <c r="Z383" s="113"/>
      <c r="AA383" s="113"/>
      <c r="AB383" s="113"/>
    </row>
    <row r="384" spans="1:28" ht="45" customHeight="1" x14ac:dyDescent="0.25">
      <c r="A384" s="744"/>
      <c r="B384" s="198" t="s">
        <v>475</v>
      </c>
      <c r="C384" s="196" t="s">
        <v>476</v>
      </c>
      <c r="D384" s="196" t="s">
        <v>336</v>
      </c>
      <c r="E384" s="197">
        <v>168581000</v>
      </c>
      <c r="F384" s="200">
        <v>100613200</v>
      </c>
      <c r="G384" s="196" t="s">
        <v>690</v>
      </c>
      <c r="H384" s="113"/>
      <c r="I384" s="113"/>
      <c r="J384" s="113"/>
      <c r="K384" s="113"/>
      <c r="L384" s="113"/>
      <c r="M384" s="113"/>
      <c r="N384" s="113"/>
      <c r="O384" s="113"/>
      <c r="P384" s="113"/>
      <c r="Q384" s="113"/>
      <c r="R384" s="113"/>
      <c r="S384" s="113"/>
      <c r="T384" s="113"/>
      <c r="U384" s="113"/>
      <c r="V384" s="113"/>
      <c r="W384" s="113"/>
      <c r="X384" s="113"/>
      <c r="Y384" s="113"/>
      <c r="Z384" s="113"/>
      <c r="AA384" s="113"/>
      <c r="AB384" s="113"/>
    </row>
    <row r="385" spans="1:28" ht="85.5" customHeight="1" x14ac:dyDescent="0.25">
      <c r="A385" s="790" t="s">
        <v>428</v>
      </c>
      <c r="B385" s="136" t="s">
        <v>456</v>
      </c>
      <c r="C385" s="187" t="s">
        <v>457</v>
      </c>
      <c r="D385" s="187" t="s">
        <v>321</v>
      </c>
      <c r="E385" s="188">
        <v>1194376742</v>
      </c>
      <c r="F385" s="193">
        <v>726753559</v>
      </c>
      <c r="G385" s="201" t="s">
        <v>699</v>
      </c>
      <c r="H385" s="113"/>
      <c r="I385" s="113"/>
      <c r="J385" s="113"/>
      <c r="K385" s="113"/>
      <c r="L385" s="113"/>
      <c r="M385" s="113"/>
      <c r="N385" s="113"/>
      <c r="O385" s="113"/>
      <c r="P385" s="113"/>
      <c r="Q385" s="113"/>
      <c r="R385" s="113"/>
      <c r="S385" s="113"/>
      <c r="T385" s="113"/>
      <c r="U385" s="113"/>
      <c r="V385" s="113"/>
      <c r="W385" s="113"/>
      <c r="X385" s="113"/>
      <c r="Y385" s="113"/>
      <c r="Z385" s="113"/>
      <c r="AA385" s="113"/>
      <c r="AB385" s="113"/>
    </row>
    <row r="386" spans="1:28" ht="50.25" customHeight="1" x14ac:dyDescent="0.25">
      <c r="A386" s="740"/>
      <c r="B386" s="143" t="s">
        <v>461</v>
      </c>
      <c r="C386" s="191" t="s">
        <v>462</v>
      </c>
      <c r="D386" s="191" t="s">
        <v>680</v>
      </c>
      <c r="E386" s="192">
        <v>269915500</v>
      </c>
      <c r="F386" s="193">
        <v>161540500</v>
      </c>
      <c r="G386" s="202" t="s">
        <v>692</v>
      </c>
      <c r="H386" s="113"/>
      <c r="I386" s="113"/>
      <c r="J386" s="113"/>
      <c r="K386" s="113"/>
      <c r="L386" s="113"/>
      <c r="M386" s="113"/>
      <c r="N386" s="113"/>
      <c r="O386" s="113"/>
      <c r="P386" s="113"/>
      <c r="Q386" s="113"/>
      <c r="R386" s="113"/>
      <c r="S386" s="113"/>
      <c r="T386" s="113"/>
      <c r="U386" s="113"/>
      <c r="V386" s="113"/>
      <c r="W386" s="113"/>
      <c r="X386" s="113"/>
      <c r="Y386" s="113"/>
      <c r="Z386" s="113"/>
      <c r="AA386" s="113"/>
      <c r="AB386" s="113"/>
    </row>
    <row r="387" spans="1:28" ht="50.25" customHeight="1" x14ac:dyDescent="0.25">
      <c r="A387" s="740"/>
      <c r="B387" s="143" t="s">
        <v>465</v>
      </c>
      <c r="C387" s="191" t="s">
        <v>466</v>
      </c>
      <c r="D387" s="191" t="s">
        <v>332</v>
      </c>
      <c r="E387" s="192">
        <v>126922667</v>
      </c>
      <c r="F387" s="193">
        <v>80970266</v>
      </c>
      <c r="G387" s="191" t="s">
        <v>695</v>
      </c>
      <c r="H387" s="113"/>
      <c r="I387" s="113"/>
      <c r="J387" s="113"/>
      <c r="K387" s="113"/>
      <c r="L387" s="113"/>
      <c r="M387" s="113"/>
      <c r="N387" s="113"/>
      <c r="O387" s="113"/>
      <c r="P387" s="113"/>
      <c r="Q387" s="113"/>
      <c r="R387" s="113"/>
      <c r="S387" s="113"/>
      <c r="T387" s="113"/>
      <c r="U387" s="113"/>
      <c r="V387" s="113"/>
      <c r="W387" s="113"/>
      <c r="X387" s="113"/>
      <c r="Y387" s="113"/>
      <c r="Z387" s="113"/>
      <c r="AA387" s="113"/>
      <c r="AB387" s="113"/>
    </row>
    <row r="388" spans="1:28" ht="50.25" customHeight="1" x14ac:dyDescent="0.25">
      <c r="A388" s="740"/>
      <c r="B388" s="143" t="s">
        <v>470</v>
      </c>
      <c r="C388" s="191" t="s">
        <v>471</v>
      </c>
      <c r="D388" s="191" t="s">
        <v>681</v>
      </c>
      <c r="E388" s="193">
        <v>2335739091</v>
      </c>
      <c r="F388" s="193">
        <v>1320863799</v>
      </c>
      <c r="G388" s="203" t="s">
        <v>701</v>
      </c>
      <c r="H388" s="113"/>
      <c r="I388" s="113"/>
      <c r="J388" s="113"/>
      <c r="K388" s="113"/>
      <c r="L388" s="113"/>
      <c r="M388" s="113"/>
      <c r="N388" s="113"/>
      <c r="O388" s="113"/>
      <c r="P388" s="113"/>
      <c r="Q388" s="113"/>
      <c r="R388" s="113"/>
      <c r="S388" s="113"/>
      <c r="T388" s="113"/>
      <c r="U388" s="113"/>
      <c r="V388" s="113"/>
      <c r="W388" s="113"/>
      <c r="X388" s="113"/>
      <c r="Y388" s="113"/>
      <c r="Z388" s="113"/>
      <c r="AA388" s="113"/>
      <c r="AB388" s="113"/>
    </row>
    <row r="389" spans="1:28" ht="50.25" customHeight="1" x14ac:dyDescent="0.25">
      <c r="A389" s="744"/>
      <c r="B389" s="198" t="s">
        <v>475</v>
      </c>
      <c r="C389" s="196" t="s">
        <v>476</v>
      </c>
      <c r="D389" s="196" t="s">
        <v>336</v>
      </c>
      <c r="E389" s="197">
        <v>168581000</v>
      </c>
      <c r="F389" s="200">
        <v>117932200</v>
      </c>
      <c r="G389" s="196" t="s">
        <v>690</v>
      </c>
      <c r="H389" s="113"/>
      <c r="I389" s="113"/>
      <c r="J389" s="113"/>
      <c r="K389" s="113"/>
      <c r="L389" s="113"/>
      <c r="M389" s="113"/>
      <c r="N389" s="113"/>
      <c r="O389" s="113"/>
      <c r="P389" s="113"/>
      <c r="Q389" s="113"/>
      <c r="R389" s="113"/>
      <c r="S389" s="113"/>
      <c r="T389" s="113"/>
      <c r="U389" s="113"/>
      <c r="V389" s="113"/>
      <c r="W389" s="113"/>
      <c r="X389" s="113"/>
      <c r="Y389" s="113"/>
      <c r="Z389" s="113"/>
      <c r="AA389" s="113"/>
      <c r="AB389" s="113"/>
    </row>
    <row r="390" spans="1:28" ht="57.75" customHeight="1" x14ac:dyDescent="0.25">
      <c r="A390" s="790" t="s">
        <v>429</v>
      </c>
      <c r="B390" s="136" t="s">
        <v>456</v>
      </c>
      <c r="C390" s="187" t="s">
        <v>457</v>
      </c>
      <c r="D390" s="187" t="s">
        <v>321</v>
      </c>
      <c r="E390" s="188">
        <v>1194376742</v>
      </c>
      <c r="F390" s="193">
        <v>831213215</v>
      </c>
      <c r="G390" s="201" t="s">
        <v>699</v>
      </c>
      <c r="H390" s="113"/>
      <c r="I390" s="113"/>
      <c r="J390" s="113"/>
      <c r="K390" s="113"/>
      <c r="L390" s="113"/>
      <c r="M390" s="113"/>
      <c r="N390" s="113"/>
      <c r="O390" s="113"/>
      <c r="P390" s="113"/>
      <c r="Q390" s="113"/>
      <c r="R390" s="113"/>
      <c r="S390" s="113"/>
      <c r="T390" s="113"/>
      <c r="U390" s="113"/>
      <c r="V390" s="113"/>
      <c r="W390" s="113"/>
      <c r="X390" s="113"/>
      <c r="Y390" s="113"/>
      <c r="Z390" s="113"/>
      <c r="AA390" s="113"/>
      <c r="AB390" s="113"/>
    </row>
    <row r="391" spans="1:28" ht="98.25" customHeight="1" x14ac:dyDescent="0.25">
      <c r="A391" s="740"/>
      <c r="B391" s="143" t="s">
        <v>461</v>
      </c>
      <c r="C391" s="191" t="s">
        <v>462</v>
      </c>
      <c r="D391" s="191" t="s">
        <v>680</v>
      </c>
      <c r="E391" s="192">
        <v>267435167</v>
      </c>
      <c r="F391" s="193">
        <v>189653500</v>
      </c>
      <c r="G391" s="202" t="s">
        <v>692</v>
      </c>
      <c r="H391" s="113"/>
      <c r="I391" s="113"/>
      <c r="J391" s="113"/>
      <c r="K391" s="113"/>
      <c r="L391" s="113"/>
      <c r="M391" s="113"/>
      <c r="N391" s="113"/>
      <c r="O391" s="113"/>
      <c r="P391" s="113"/>
      <c r="Q391" s="113"/>
      <c r="R391" s="113"/>
      <c r="S391" s="113"/>
      <c r="T391" s="113"/>
      <c r="U391" s="113"/>
      <c r="V391" s="113"/>
      <c r="W391" s="113"/>
      <c r="X391" s="113"/>
      <c r="Y391" s="113"/>
      <c r="Z391" s="113"/>
      <c r="AA391" s="113"/>
      <c r="AB391" s="113"/>
    </row>
    <row r="392" spans="1:28" ht="69" customHeight="1" x14ac:dyDescent="0.25">
      <c r="A392" s="740"/>
      <c r="B392" s="143" t="s">
        <v>465</v>
      </c>
      <c r="C392" s="191" t="s">
        <v>466</v>
      </c>
      <c r="D392" s="191" t="s">
        <v>332</v>
      </c>
      <c r="E392" s="192">
        <v>129403000</v>
      </c>
      <c r="F392" s="193">
        <v>95351266</v>
      </c>
      <c r="G392" s="191" t="s">
        <v>695</v>
      </c>
      <c r="H392" s="113"/>
      <c r="I392" s="113"/>
      <c r="J392" s="113"/>
      <c r="K392" s="113"/>
      <c r="L392" s="113"/>
      <c r="M392" s="113"/>
      <c r="N392" s="113"/>
      <c r="O392" s="113"/>
      <c r="P392" s="113"/>
      <c r="Q392" s="113"/>
      <c r="R392" s="113"/>
      <c r="S392" s="113"/>
      <c r="T392" s="113"/>
      <c r="U392" s="113"/>
      <c r="V392" s="113"/>
      <c r="W392" s="113"/>
      <c r="X392" s="113"/>
      <c r="Y392" s="113"/>
      <c r="Z392" s="113"/>
      <c r="AA392" s="113"/>
      <c r="AB392" s="113"/>
    </row>
    <row r="393" spans="1:28" ht="77.25" customHeight="1" x14ac:dyDescent="0.25">
      <c r="A393" s="740"/>
      <c r="B393" s="143" t="s">
        <v>470</v>
      </c>
      <c r="C393" s="191" t="s">
        <v>471</v>
      </c>
      <c r="D393" s="191" t="s">
        <v>681</v>
      </c>
      <c r="E393" s="193">
        <v>2335739091</v>
      </c>
      <c r="F393" s="193">
        <v>1363012573</v>
      </c>
      <c r="G393" s="203" t="s">
        <v>702</v>
      </c>
      <c r="H393" s="113"/>
      <c r="I393" s="113"/>
      <c r="J393" s="113"/>
      <c r="K393" s="113"/>
      <c r="L393" s="113"/>
      <c r="M393" s="113"/>
      <c r="N393" s="113"/>
      <c r="O393" s="113"/>
      <c r="P393" s="113"/>
      <c r="Q393" s="113"/>
      <c r="R393" s="113"/>
      <c r="S393" s="113"/>
      <c r="T393" s="113"/>
      <c r="U393" s="113"/>
      <c r="V393" s="113"/>
      <c r="W393" s="113"/>
      <c r="X393" s="113"/>
      <c r="Y393" s="113"/>
      <c r="Z393" s="113"/>
      <c r="AA393" s="113"/>
      <c r="AB393" s="113"/>
    </row>
    <row r="394" spans="1:28" ht="76.5" customHeight="1" x14ac:dyDescent="0.25">
      <c r="A394" s="744"/>
      <c r="B394" s="198" t="s">
        <v>475</v>
      </c>
      <c r="C394" s="196" t="s">
        <v>476</v>
      </c>
      <c r="D394" s="196" t="s">
        <v>336</v>
      </c>
      <c r="E394" s="197">
        <v>166905000</v>
      </c>
      <c r="F394" s="200">
        <v>135251200</v>
      </c>
      <c r="G394" s="196" t="s">
        <v>690</v>
      </c>
      <c r="H394" s="113"/>
      <c r="I394" s="113"/>
      <c r="J394" s="113"/>
      <c r="K394" s="113"/>
      <c r="L394" s="113"/>
      <c r="M394" s="113"/>
      <c r="N394" s="113"/>
      <c r="O394" s="113"/>
      <c r="P394" s="113"/>
      <c r="Q394" s="113"/>
      <c r="R394" s="113"/>
      <c r="S394" s="113"/>
      <c r="T394" s="113"/>
      <c r="U394" s="113"/>
      <c r="V394" s="113"/>
      <c r="W394" s="113"/>
      <c r="X394" s="113"/>
      <c r="Y394" s="113"/>
      <c r="Z394" s="113"/>
      <c r="AA394" s="113"/>
      <c r="AB394" s="113"/>
    </row>
    <row r="395" spans="1:28" ht="92.25" customHeight="1" x14ac:dyDescent="0.25">
      <c r="A395" s="790" t="s">
        <v>557</v>
      </c>
      <c r="B395" s="136" t="s">
        <v>456</v>
      </c>
      <c r="C395" s="187" t="s">
        <v>457</v>
      </c>
      <c r="D395" s="187" t="s">
        <v>321</v>
      </c>
      <c r="E395" s="188">
        <v>1194376742</v>
      </c>
      <c r="F395" s="193">
        <v>943717638</v>
      </c>
      <c r="G395" s="201" t="s">
        <v>699</v>
      </c>
      <c r="H395" s="113"/>
      <c r="I395" s="113"/>
      <c r="J395" s="113"/>
      <c r="K395" s="113"/>
      <c r="L395" s="113"/>
      <c r="M395" s="113"/>
      <c r="N395" s="113"/>
      <c r="O395" s="113"/>
      <c r="P395" s="113"/>
      <c r="Q395" s="113"/>
      <c r="R395" s="113"/>
      <c r="S395" s="113"/>
      <c r="T395" s="113"/>
      <c r="U395" s="113"/>
      <c r="V395" s="113"/>
      <c r="W395" s="113"/>
      <c r="X395" s="113"/>
      <c r="Y395" s="113"/>
      <c r="Z395" s="113"/>
      <c r="AA395" s="113"/>
      <c r="AB395" s="113"/>
    </row>
    <row r="396" spans="1:28" ht="75.75" customHeight="1" x14ac:dyDescent="0.25">
      <c r="A396" s="740"/>
      <c r="B396" s="143" t="s">
        <v>461</v>
      </c>
      <c r="C396" s="191" t="s">
        <v>462</v>
      </c>
      <c r="D396" s="191" t="s">
        <v>680</v>
      </c>
      <c r="E396" s="192">
        <v>267435167</v>
      </c>
      <c r="F396" s="193">
        <v>217766500</v>
      </c>
      <c r="G396" s="202" t="s">
        <v>692</v>
      </c>
      <c r="H396" s="113"/>
      <c r="I396" s="113"/>
      <c r="J396" s="113"/>
      <c r="K396" s="113"/>
      <c r="L396" s="113"/>
      <c r="M396" s="113"/>
      <c r="N396" s="113"/>
      <c r="O396" s="113"/>
      <c r="P396" s="113"/>
      <c r="Q396" s="113"/>
      <c r="R396" s="113"/>
      <c r="S396" s="113"/>
      <c r="T396" s="113"/>
      <c r="U396" s="113"/>
      <c r="V396" s="113"/>
      <c r="W396" s="113"/>
      <c r="X396" s="113"/>
      <c r="Y396" s="113"/>
      <c r="Z396" s="113"/>
      <c r="AA396" s="113"/>
      <c r="AB396" s="113"/>
    </row>
    <row r="397" spans="1:28" ht="78.75" customHeight="1" x14ac:dyDescent="0.25">
      <c r="A397" s="740"/>
      <c r="B397" s="143" t="s">
        <v>465</v>
      </c>
      <c r="C397" s="191" t="s">
        <v>466</v>
      </c>
      <c r="D397" s="191" t="s">
        <v>332</v>
      </c>
      <c r="E397" s="192">
        <v>129403000</v>
      </c>
      <c r="F397" s="193">
        <v>109732266</v>
      </c>
      <c r="G397" s="191" t="s">
        <v>695</v>
      </c>
      <c r="H397" s="113"/>
      <c r="I397" s="113"/>
      <c r="J397" s="113"/>
      <c r="K397" s="113"/>
      <c r="L397" s="113"/>
      <c r="M397" s="113"/>
      <c r="N397" s="113"/>
      <c r="O397" s="113"/>
      <c r="P397" s="113"/>
      <c r="Q397" s="113"/>
      <c r="R397" s="113"/>
      <c r="S397" s="113"/>
      <c r="T397" s="113"/>
      <c r="U397" s="113"/>
      <c r="V397" s="113"/>
      <c r="W397" s="113"/>
      <c r="X397" s="113"/>
      <c r="Y397" s="113"/>
      <c r="Z397" s="113"/>
      <c r="AA397" s="113"/>
      <c r="AB397" s="113"/>
    </row>
    <row r="398" spans="1:28" ht="111.75" customHeight="1" x14ac:dyDescent="0.25">
      <c r="A398" s="740"/>
      <c r="B398" s="143" t="s">
        <v>470</v>
      </c>
      <c r="C398" s="191" t="s">
        <v>471</v>
      </c>
      <c r="D398" s="191" t="s">
        <v>681</v>
      </c>
      <c r="E398" s="193">
        <v>2335739091</v>
      </c>
      <c r="F398" s="193">
        <v>1463498258</v>
      </c>
      <c r="G398" s="203" t="s">
        <v>702</v>
      </c>
      <c r="H398" s="113"/>
      <c r="I398" s="113"/>
      <c r="J398" s="113"/>
      <c r="K398" s="113"/>
      <c r="L398" s="113"/>
      <c r="M398" s="113"/>
      <c r="N398" s="113"/>
      <c r="O398" s="113"/>
      <c r="P398" s="113"/>
      <c r="Q398" s="113"/>
      <c r="R398" s="113"/>
      <c r="S398" s="113"/>
      <c r="T398" s="113"/>
      <c r="U398" s="113"/>
      <c r="V398" s="113"/>
      <c r="W398" s="113"/>
      <c r="X398" s="113"/>
      <c r="Y398" s="113"/>
      <c r="Z398" s="113"/>
      <c r="AA398" s="113"/>
      <c r="AB398" s="113"/>
    </row>
    <row r="399" spans="1:28" ht="15.75" customHeight="1" x14ac:dyDescent="0.25">
      <c r="A399" s="744"/>
      <c r="B399" s="198" t="s">
        <v>475</v>
      </c>
      <c r="C399" s="196" t="s">
        <v>476</v>
      </c>
      <c r="D399" s="196" t="s">
        <v>336</v>
      </c>
      <c r="E399" s="197">
        <v>166905000</v>
      </c>
      <c r="F399" s="200">
        <v>135251200</v>
      </c>
      <c r="G399" s="196" t="s">
        <v>690</v>
      </c>
      <c r="H399" s="113"/>
      <c r="I399" s="113"/>
      <c r="J399" s="113"/>
      <c r="K399" s="113"/>
      <c r="L399" s="113"/>
      <c r="M399" s="113"/>
      <c r="N399" s="113"/>
      <c r="O399" s="113"/>
      <c r="P399" s="113"/>
      <c r="Q399" s="113"/>
      <c r="R399" s="113"/>
      <c r="S399" s="113"/>
      <c r="T399" s="113"/>
      <c r="U399" s="113"/>
      <c r="V399" s="113"/>
      <c r="W399" s="113"/>
      <c r="X399" s="113"/>
      <c r="Y399" s="113"/>
      <c r="Z399" s="113"/>
      <c r="AA399" s="113"/>
      <c r="AB399" s="113"/>
    </row>
    <row r="400" spans="1:28" ht="15.75" customHeight="1" x14ac:dyDescent="0.25">
      <c r="A400" s="204"/>
      <c r="B400" s="205"/>
      <c r="C400" s="206"/>
      <c r="D400" s="206"/>
      <c r="E400" s="207"/>
      <c r="F400" s="207"/>
      <c r="G400" s="206"/>
      <c r="H400" s="113"/>
      <c r="I400" s="113"/>
      <c r="J400" s="113"/>
      <c r="K400" s="113"/>
      <c r="L400" s="113"/>
      <c r="M400" s="113"/>
      <c r="N400" s="113"/>
      <c r="O400" s="113"/>
      <c r="P400" s="113"/>
      <c r="Q400" s="113"/>
      <c r="R400" s="113"/>
      <c r="S400" s="113"/>
      <c r="T400" s="113"/>
      <c r="U400" s="113"/>
      <c r="V400" s="113"/>
      <c r="W400" s="113"/>
      <c r="X400" s="113"/>
      <c r="Y400" s="113"/>
      <c r="Z400" s="113"/>
      <c r="AA400" s="113"/>
      <c r="AB400" s="113"/>
    </row>
    <row r="401" spans="1:28" ht="15.75" customHeight="1" x14ac:dyDescent="0.3">
      <c r="A401" s="789" t="s">
        <v>703</v>
      </c>
      <c r="B401" s="592"/>
      <c r="C401" s="592"/>
      <c r="D401" s="592"/>
      <c r="E401" s="592"/>
      <c r="F401" s="592"/>
      <c r="G401" s="689"/>
      <c r="H401" s="113"/>
      <c r="I401" s="113"/>
      <c r="J401" s="113"/>
      <c r="K401" s="113"/>
      <c r="L401" s="113"/>
      <c r="M401" s="113"/>
      <c r="N401" s="113"/>
      <c r="O401" s="113"/>
      <c r="P401" s="113"/>
      <c r="Q401" s="113"/>
      <c r="R401" s="113"/>
      <c r="S401" s="113"/>
      <c r="T401" s="113"/>
      <c r="U401" s="113"/>
      <c r="V401" s="113"/>
      <c r="W401" s="113"/>
      <c r="X401" s="113"/>
      <c r="Y401" s="113"/>
      <c r="Z401" s="113"/>
      <c r="AA401" s="113"/>
      <c r="AB401" s="113"/>
    </row>
    <row r="402" spans="1:28" ht="43.5" customHeight="1" x14ac:dyDescent="0.25">
      <c r="A402" s="114" t="s">
        <v>27</v>
      </c>
      <c r="B402" s="78" t="s">
        <v>443</v>
      </c>
      <c r="C402" s="78" t="s">
        <v>444</v>
      </c>
      <c r="D402" s="78" t="s">
        <v>675</v>
      </c>
      <c r="E402" s="78" t="s">
        <v>704</v>
      </c>
      <c r="F402" s="78" t="s">
        <v>705</v>
      </c>
      <c r="G402" s="186" t="s">
        <v>678</v>
      </c>
      <c r="H402" s="113"/>
      <c r="I402" s="113"/>
      <c r="J402" s="113"/>
      <c r="K402" s="113"/>
      <c r="L402" s="113"/>
      <c r="M402" s="113"/>
      <c r="N402" s="113"/>
      <c r="O402" s="113"/>
      <c r="P402" s="113"/>
      <c r="Q402" s="113"/>
      <c r="R402" s="113"/>
      <c r="S402" s="113"/>
      <c r="T402" s="113"/>
      <c r="U402" s="113"/>
      <c r="V402" s="113"/>
      <c r="W402" s="113"/>
      <c r="X402" s="113"/>
      <c r="Y402" s="113"/>
      <c r="Z402" s="113"/>
      <c r="AA402" s="113"/>
      <c r="AB402" s="113"/>
    </row>
    <row r="403" spans="1:28" ht="15.75" customHeight="1" x14ac:dyDescent="0.25">
      <c r="A403" s="791" t="s">
        <v>432</v>
      </c>
      <c r="B403" s="136" t="s">
        <v>456</v>
      </c>
      <c r="C403" s="187" t="s">
        <v>457</v>
      </c>
      <c r="D403" s="187" t="s">
        <v>321</v>
      </c>
      <c r="E403" s="188">
        <v>0</v>
      </c>
      <c r="F403" s="188">
        <v>0</v>
      </c>
      <c r="G403" s="190" t="s">
        <v>679</v>
      </c>
      <c r="H403" s="113"/>
      <c r="I403" s="113"/>
      <c r="J403" s="113"/>
      <c r="K403" s="113"/>
      <c r="L403" s="113"/>
      <c r="M403" s="113"/>
      <c r="N403" s="113"/>
      <c r="O403" s="113"/>
      <c r="P403" s="113"/>
      <c r="Q403" s="113"/>
      <c r="R403" s="113"/>
      <c r="S403" s="113"/>
      <c r="T403" s="113"/>
      <c r="U403" s="113"/>
      <c r="V403" s="113"/>
      <c r="W403" s="113"/>
      <c r="X403" s="113"/>
      <c r="Y403" s="113"/>
      <c r="Z403" s="113"/>
      <c r="AA403" s="113"/>
      <c r="AB403" s="113"/>
    </row>
    <row r="404" spans="1:28" ht="15.75" customHeight="1" x14ac:dyDescent="0.25">
      <c r="A404" s="740"/>
      <c r="B404" s="143" t="s">
        <v>461</v>
      </c>
      <c r="C404" s="191" t="s">
        <v>462</v>
      </c>
      <c r="D404" s="191" t="s">
        <v>680</v>
      </c>
      <c r="E404" s="192">
        <f>+INVERSIÓN!AC77</f>
        <v>0</v>
      </c>
      <c r="F404" s="30">
        <v>0</v>
      </c>
      <c r="G404" s="191" t="s">
        <v>679</v>
      </c>
      <c r="H404" s="113"/>
      <c r="I404" s="113"/>
      <c r="J404" s="113"/>
      <c r="K404" s="113"/>
      <c r="L404" s="113"/>
      <c r="M404" s="113"/>
      <c r="N404" s="113"/>
      <c r="O404" s="113"/>
      <c r="P404" s="113"/>
      <c r="Q404" s="113"/>
      <c r="R404" s="113"/>
      <c r="S404" s="113"/>
      <c r="T404" s="113"/>
      <c r="U404" s="113"/>
      <c r="V404" s="113"/>
      <c r="W404" s="113"/>
      <c r="X404" s="113"/>
      <c r="Y404" s="113"/>
      <c r="Z404" s="113"/>
      <c r="AA404" s="113"/>
      <c r="AB404" s="113"/>
    </row>
    <row r="405" spans="1:28" ht="15.75" customHeight="1" x14ac:dyDescent="0.25">
      <c r="A405" s="740"/>
      <c r="B405" s="143" t="s">
        <v>465</v>
      </c>
      <c r="C405" s="191" t="s">
        <v>466</v>
      </c>
      <c r="D405" s="191" t="s">
        <v>332</v>
      </c>
      <c r="E405" s="192">
        <f>+INVERSIÓN!AC84</f>
        <v>0</v>
      </c>
      <c r="F405" s="30">
        <v>0</v>
      </c>
      <c r="G405" s="191" t="s">
        <v>679</v>
      </c>
      <c r="H405" s="113"/>
      <c r="I405" s="113"/>
      <c r="J405" s="113"/>
      <c r="K405" s="113"/>
      <c r="L405" s="113"/>
      <c r="M405" s="113"/>
      <c r="N405" s="113"/>
      <c r="O405" s="113"/>
      <c r="P405" s="113"/>
      <c r="Q405" s="113"/>
      <c r="R405" s="113"/>
      <c r="S405" s="113"/>
      <c r="T405" s="113"/>
      <c r="U405" s="113"/>
      <c r="V405" s="113"/>
      <c r="W405" s="113"/>
      <c r="X405" s="113"/>
      <c r="Y405" s="113"/>
      <c r="Z405" s="113"/>
      <c r="AA405" s="113"/>
      <c r="AB405" s="113"/>
    </row>
    <row r="406" spans="1:28" ht="68.25" customHeight="1" x14ac:dyDescent="0.25">
      <c r="A406" s="740"/>
      <c r="B406" s="143" t="s">
        <v>470</v>
      </c>
      <c r="C406" s="191" t="s">
        <v>471</v>
      </c>
      <c r="D406" s="191" t="s">
        <v>681</v>
      </c>
      <c r="E406" s="193">
        <f>+INVERSIÓN!AC91</f>
        <v>0</v>
      </c>
      <c r="F406" s="194">
        <v>0</v>
      </c>
      <c r="G406" s="195" t="s">
        <v>679</v>
      </c>
      <c r="H406" s="113"/>
      <c r="I406" s="113"/>
      <c r="J406" s="113"/>
      <c r="K406" s="113"/>
      <c r="L406" s="113"/>
      <c r="M406" s="113"/>
      <c r="N406" s="113"/>
      <c r="O406" s="113"/>
      <c r="P406" s="113"/>
      <c r="Q406" s="113"/>
      <c r="R406" s="113"/>
      <c r="S406" s="113"/>
      <c r="T406" s="113"/>
      <c r="U406" s="113"/>
      <c r="V406" s="113"/>
      <c r="W406" s="113"/>
      <c r="X406" s="113"/>
      <c r="Y406" s="113"/>
      <c r="Z406" s="113"/>
      <c r="AA406" s="113"/>
      <c r="AB406" s="113"/>
    </row>
    <row r="407" spans="1:28" ht="80.25" customHeight="1" x14ac:dyDescent="0.25">
      <c r="A407" s="792"/>
      <c r="B407" s="151" t="s">
        <v>475</v>
      </c>
      <c r="C407" s="196" t="s">
        <v>476</v>
      </c>
      <c r="D407" s="196" t="s">
        <v>336</v>
      </c>
      <c r="E407" s="197">
        <f>+INVERSIÓN!AC98</f>
        <v>0</v>
      </c>
      <c r="F407" s="155">
        <v>0</v>
      </c>
      <c r="G407" s="196" t="s">
        <v>679</v>
      </c>
      <c r="H407" s="113"/>
      <c r="I407" s="113"/>
      <c r="J407" s="113"/>
      <c r="K407" s="113"/>
      <c r="L407" s="113"/>
      <c r="M407" s="113"/>
      <c r="N407" s="113"/>
      <c r="O407" s="113"/>
      <c r="P407" s="113"/>
      <c r="Q407" s="113"/>
      <c r="R407" s="113"/>
      <c r="S407" s="113"/>
      <c r="T407" s="113"/>
      <c r="U407" s="113"/>
      <c r="V407" s="113"/>
      <c r="W407" s="113"/>
      <c r="X407" s="113"/>
      <c r="Y407" s="113"/>
      <c r="Z407" s="113"/>
      <c r="AA407" s="113"/>
      <c r="AB407" s="113"/>
    </row>
    <row r="408" spans="1:28" ht="15.75" customHeight="1" x14ac:dyDescent="0.25">
      <c r="A408" s="791" t="s">
        <v>434</v>
      </c>
      <c r="B408" s="136" t="s">
        <v>456</v>
      </c>
      <c r="C408" s="187" t="s">
        <v>457</v>
      </c>
      <c r="D408" s="187" t="s">
        <v>321</v>
      </c>
      <c r="E408" s="188">
        <v>1226257000</v>
      </c>
      <c r="F408" s="188">
        <v>1608700</v>
      </c>
      <c r="G408" s="190" t="s">
        <v>706</v>
      </c>
      <c r="H408" s="113"/>
      <c r="I408" s="113"/>
      <c r="J408" s="113"/>
      <c r="K408" s="113"/>
      <c r="L408" s="113"/>
      <c r="M408" s="113"/>
      <c r="N408" s="113"/>
      <c r="O408" s="113"/>
      <c r="P408" s="113"/>
      <c r="Q408" s="113"/>
      <c r="R408" s="113"/>
      <c r="S408" s="113"/>
      <c r="T408" s="113"/>
      <c r="U408" s="113"/>
      <c r="V408" s="113"/>
      <c r="W408" s="113"/>
      <c r="X408" s="113"/>
      <c r="Y408" s="113"/>
      <c r="Z408" s="113"/>
      <c r="AA408" s="113"/>
      <c r="AB408" s="113"/>
    </row>
    <row r="409" spans="1:28" ht="15.75" customHeight="1" x14ac:dyDescent="0.25">
      <c r="A409" s="740"/>
      <c r="B409" s="143" t="s">
        <v>461</v>
      </c>
      <c r="C409" s="191" t="s">
        <v>462</v>
      </c>
      <c r="D409" s="191" t="s">
        <v>680</v>
      </c>
      <c r="E409" s="192">
        <v>281130000</v>
      </c>
      <c r="F409" s="192">
        <v>1651767</v>
      </c>
      <c r="G409" s="191" t="s">
        <v>707</v>
      </c>
      <c r="H409" s="113"/>
      <c r="I409" s="113"/>
      <c r="J409" s="113"/>
      <c r="K409" s="113"/>
      <c r="L409" s="113"/>
      <c r="M409" s="113"/>
      <c r="N409" s="113"/>
      <c r="O409" s="113"/>
      <c r="P409" s="113"/>
      <c r="Q409" s="113"/>
      <c r="R409" s="113"/>
      <c r="S409" s="113"/>
      <c r="T409" s="113"/>
      <c r="U409" s="113"/>
      <c r="V409" s="113"/>
      <c r="W409" s="113"/>
      <c r="X409" s="113"/>
      <c r="Y409" s="113"/>
      <c r="Z409" s="113"/>
      <c r="AA409" s="113"/>
      <c r="AB409" s="113"/>
    </row>
    <row r="410" spans="1:28" ht="15.75" customHeight="1" x14ac:dyDescent="0.25">
      <c r="A410" s="740"/>
      <c r="B410" s="143" t="s">
        <v>465</v>
      </c>
      <c r="C410" s="191" t="s">
        <v>466</v>
      </c>
      <c r="D410" s="191" t="s">
        <v>332</v>
      </c>
      <c r="E410" s="192">
        <v>143810000</v>
      </c>
      <c r="F410" s="192">
        <v>943867</v>
      </c>
      <c r="G410" s="191" t="s">
        <v>708</v>
      </c>
      <c r="H410" s="113"/>
      <c r="I410" s="113"/>
      <c r="J410" s="113"/>
      <c r="K410" s="113"/>
      <c r="L410" s="113"/>
      <c r="M410" s="113"/>
      <c r="N410" s="113"/>
      <c r="O410" s="113"/>
      <c r="P410" s="113"/>
      <c r="Q410" s="113"/>
      <c r="R410" s="113"/>
      <c r="S410" s="113"/>
      <c r="T410" s="113"/>
      <c r="U410" s="113"/>
      <c r="V410" s="113"/>
      <c r="W410" s="113"/>
      <c r="X410" s="113"/>
      <c r="Y410" s="113"/>
      <c r="Z410" s="113"/>
      <c r="AA410" s="113"/>
      <c r="AB410" s="113"/>
    </row>
    <row r="411" spans="1:28" ht="15.75" customHeight="1" x14ac:dyDescent="0.25">
      <c r="A411" s="740"/>
      <c r="B411" s="143" t="s">
        <v>470</v>
      </c>
      <c r="C411" s="191" t="s">
        <v>471</v>
      </c>
      <c r="D411" s="191" t="s">
        <v>681</v>
      </c>
      <c r="E411" s="193">
        <v>3655492000</v>
      </c>
      <c r="F411" s="193">
        <v>3822167</v>
      </c>
      <c r="G411" s="195" t="s">
        <v>709</v>
      </c>
      <c r="H411" s="113"/>
      <c r="I411" s="113"/>
      <c r="J411" s="113"/>
      <c r="K411" s="113"/>
      <c r="L411" s="113"/>
      <c r="M411" s="113"/>
      <c r="N411" s="113"/>
      <c r="O411" s="113"/>
      <c r="P411" s="113"/>
      <c r="Q411" s="113"/>
      <c r="R411" s="113"/>
      <c r="S411" s="113"/>
      <c r="T411" s="113"/>
      <c r="U411" s="113"/>
      <c r="V411" s="113"/>
      <c r="W411" s="113"/>
      <c r="X411" s="113"/>
      <c r="Y411" s="113"/>
      <c r="Z411" s="113"/>
      <c r="AA411" s="113"/>
      <c r="AB411" s="113"/>
    </row>
    <row r="412" spans="1:28" ht="62.25" customHeight="1" x14ac:dyDescent="0.25">
      <c r="A412" s="792"/>
      <c r="B412" s="151" t="s">
        <v>475</v>
      </c>
      <c r="C412" s="196" t="s">
        <v>476</v>
      </c>
      <c r="D412" s="196" t="s">
        <v>336</v>
      </c>
      <c r="E412" s="197">
        <v>173190000</v>
      </c>
      <c r="F412" s="197">
        <v>0</v>
      </c>
      <c r="G412" s="196" t="s">
        <v>679</v>
      </c>
      <c r="H412" s="113"/>
      <c r="I412" s="113"/>
      <c r="J412" s="113"/>
      <c r="K412" s="113"/>
      <c r="L412" s="113"/>
      <c r="M412" s="113"/>
      <c r="N412" s="113"/>
      <c r="O412" s="113"/>
      <c r="P412" s="113"/>
      <c r="Q412" s="113"/>
      <c r="R412" s="113"/>
      <c r="S412" s="113"/>
      <c r="T412" s="113"/>
      <c r="U412" s="113"/>
      <c r="V412" s="113"/>
      <c r="W412" s="113"/>
      <c r="X412" s="113"/>
      <c r="Y412" s="113"/>
      <c r="Z412" s="113"/>
      <c r="AA412" s="113"/>
      <c r="AB412" s="113"/>
    </row>
    <row r="413" spans="1:28" ht="121.5" customHeight="1" x14ac:dyDescent="0.25">
      <c r="A413" s="791" t="s">
        <v>435</v>
      </c>
      <c r="B413" s="136" t="s">
        <v>456</v>
      </c>
      <c r="C413" s="187" t="s">
        <v>457</v>
      </c>
      <c r="D413" s="208" t="s">
        <v>321</v>
      </c>
      <c r="E413" s="209">
        <v>1226257000</v>
      </c>
      <c r="F413" s="209">
        <v>105379742</v>
      </c>
      <c r="G413" s="195" t="s">
        <v>710</v>
      </c>
      <c r="H413" s="113"/>
      <c r="I413" s="113"/>
      <c r="J413" s="113"/>
      <c r="K413" s="113"/>
      <c r="L413" s="113"/>
      <c r="M413" s="113"/>
      <c r="N413" s="113"/>
      <c r="O413" s="113"/>
      <c r="P413" s="113"/>
      <c r="Q413" s="113"/>
      <c r="R413" s="113"/>
      <c r="S413" s="113"/>
      <c r="T413" s="113"/>
      <c r="U413" s="113"/>
      <c r="V413" s="113"/>
      <c r="W413" s="113"/>
      <c r="X413" s="113"/>
      <c r="Y413" s="113"/>
      <c r="Z413" s="113"/>
      <c r="AA413" s="113"/>
      <c r="AB413" s="113"/>
    </row>
    <row r="414" spans="1:28" ht="15.75" customHeight="1" x14ac:dyDescent="0.25">
      <c r="A414" s="740"/>
      <c r="B414" s="143" t="s">
        <v>461</v>
      </c>
      <c r="C414" s="191" t="s">
        <v>462</v>
      </c>
      <c r="D414" s="191" t="s">
        <v>680</v>
      </c>
      <c r="E414" s="193">
        <v>281130000</v>
      </c>
      <c r="F414" s="209">
        <v>28644400</v>
      </c>
      <c r="G414" s="195" t="s">
        <v>711</v>
      </c>
      <c r="H414" s="113"/>
      <c r="I414" s="113"/>
      <c r="J414" s="113"/>
      <c r="K414" s="113"/>
      <c r="L414" s="113"/>
      <c r="M414" s="113"/>
      <c r="N414" s="113"/>
      <c r="O414" s="113"/>
      <c r="P414" s="113"/>
      <c r="Q414" s="113"/>
      <c r="R414" s="113"/>
      <c r="S414" s="113"/>
      <c r="T414" s="113"/>
      <c r="U414" s="113"/>
      <c r="V414" s="113"/>
      <c r="W414" s="113"/>
      <c r="X414" s="113"/>
      <c r="Y414" s="113"/>
      <c r="Z414" s="113"/>
      <c r="AA414" s="113"/>
      <c r="AB414" s="113"/>
    </row>
    <row r="415" spans="1:28" ht="15.75" customHeight="1" x14ac:dyDescent="0.25">
      <c r="A415" s="740"/>
      <c r="B415" s="143" t="s">
        <v>465</v>
      </c>
      <c r="C415" s="191" t="s">
        <v>466</v>
      </c>
      <c r="D415" s="31" t="s">
        <v>332</v>
      </c>
      <c r="E415" s="188">
        <v>143810000</v>
      </c>
      <c r="F415" s="188">
        <v>15612867</v>
      </c>
      <c r="G415" s="191" t="s">
        <v>712</v>
      </c>
      <c r="H415" s="113"/>
      <c r="I415" s="113"/>
      <c r="J415" s="113"/>
      <c r="K415" s="113"/>
      <c r="L415" s="113"/>
      <c r="M415" s="113"/>
      <c r="N415" s="113"/>
      <c r="O415" s="113"/>
      <c r="P415" s="113"/>
      <c r="Q415" s="113"/>
      <c r="R415" s="113"/>
      <c r="S415" s="113"/>
      <c r="T415" s="113"/>
      <c r="U415" s="113"/>
      <c r="V415" s="113"/>
      <c r="W415" s="113"/>
      <c r="X415" s="113"/>
      <c r="Y415" s="113"/>
      <c r="Z415" s="113"/>
      <c r="AA415" s="113"/>
      <c r="AB415" s="113"/>
    </row>
    <row r="416" spans="1:28" ht="15.75" customHeight="1" x14ac:dyDescent="0.25">
      <c r="A416" s="740"/>
      <c r="B416" s="143" t="s">
        <v>470</v>
      </c>
      <c r="C416" s="191" t="s">
        <v>471</v>
      </c>
      <c r="D416" s="31" t="s">
        <v>681</v>
      </c>
      <c r="E416" s="188">
        <v>3655492000</v>
      </c>
      <c r="F416" s="188">
        <v>42874346</v>
      </c>
      <c r="G416" s="191" t="s">
        <v>713</v>
      </c>
      <c r="H416" s="113"/>
      <c r="I416" s="113"/>
      <c r="J416" s="113"/>
      <c r="K416" s="113"/>
      <c r="L416" s="113"/>
      <c r="M416" s="113"/>
      <c r="N416" s="113"/>
      <c r="O416" s="113"/>
      <c r="P416" s="113"/>
      <c r="Q416" s="113"/>
      <c r="R416" s="113"/>
      <c r="S416" s="113"/>
      <c r="T416" s="113"/>
      <c r="U416" s="113"/>
      <c r="V416" s="113"/>
      <c r="W416" s="113"/>
      <c r="X416" s="113"/>
      <c r="Y416" s="113"/>
      <c r="Z416" s="113"/>
      <c r="AA416" s="113"/>
      <c r="AB416" s="113"/>
    </row>
    <row r="417" spans="1:28" ht="15.75" customHeight="1" x14ac:dyDescent="0.25">
      <c r="A417" s="792"/>
      <c r="B417" s="151" t="s">
        <v>475</v>
      </c>
      <c r="C417" s="196" t="s">
        <v>476</v>
      </c>
      <c r="D417" s="210" t="s">
        <v>336</v>
      </c>
      <c r="E417" s="200">
        <v>173190000</v>
      </c>
      <c r="F417" s="200">
        <v>9553000</v>
      </c>
      <c r="G417" s="196" t="s">
        <v>714</v>
      </c>
      <c r="H417" s="113"/>
      <c r="I417" s="113"/>
      <c r="J417" s="113"/>
      <c r="K417" s="113"/>
      <c r="L417" s="113"/>
      <c r="M417" s="113"/>
      <c r="N417" s="113"/>
      <c r="O417" s="113"/>
      <c r="P417" s="113"/>
      <c r="Q417" s="113"/>
      <c r="R417" s="113"/>
      <c r="S417" s="113"/>
      <c r="T417" s="113"/>
      <c r="U417" s="113"/>
      <c r="V417" s="113"/>
      <c r="W417" s="113"/>
      <c r="X417" s="113"/>
      <c r="Y417" s="113"/>
      <c r="Z417" s="113"/>
      <c r="AA417" s="113"/>
      <c r="AB417" s="113"/>
    </row>
    <row r="418" spans="1:28" ht="75" customHeight="1" x14ac:dyDescent="0.25">
      <c r="A418" s="791" t="s">
        <v>436</v>
      </c>
      <c r="B418" s="136" t="s">
        <v>456</v>
      </c>
      <c r="C418" s="187" t="s">
        <v>457</v>
      </c>
      <c r="D418" s="208" t="s">
        <v>321</v>
      </c>
      <c r="E418" s="209">
        <v>1226257000</v>
      </c>
      <c r="F418" s="200">
        <v>228256284</v>
      </c>
      <c r="G418" s="211" t="s">
        <v>715</v>
      </c>
      <c r="H418" s="113"/>
      <c r="I418" s="113"/>
      <c r="J418" s="113"/>
      <c r="K418" s="113"/>
      <c r="L418" s="113"/>
      <c r="M418" s="113"/>
      <c r="N418" s="113"/>
      <c r="O418" s="113"/>
      <c r="P418" s="113"/>
      <c r="Q418" s="113"/>
      <c r="R418" s="113"/>
      <c r="S418" s="113"/>
      <c r="T418" s="113"/>
      <c r="U418" s="113"/>
      <c r="V418" s="113"/>
      <c r="W418" s="113"/>
      <c r="X418" s="113"/>
      <c r="Y418" s="113"/>
      <c r="Z418" s="113"/>
      <c r="AA418" s="113"/>
      <c r="AB418" s="113"/>
    </row>
    <row r="419" spans="1:28" ht="92.25" customHeight="1" x14ac:dyDescent="0.25">
      <c r="A419" s="740"/>
      <c r="B419" s="143" t="s">
        <v>461</v>
      </c>
      <c r="C419" s="191" t="s">
        <v>462</v>
      </c>
      <c r="D419" s="191" t="s">
        <v>680</v>
      </c>
      <c r="E419" s="193">
        <v>281130000</v>
      </c>
      <c r="F419" s="200">
        <v>57320400</v>
      </c>
      <c r="G419" s="211" t="s">
        <v>711</v>
      </c>
      <c r="H419" s="113"/>
      <c r="I419" s="113"/>
      <c r="J419" s="113"/>
      <c r="K419" s="113"/>
      <c r="L419" s="113"/>
      <c r="M419" s="113"/>
      <c r="N419" s="113"/>
      <c r="O419" s="113"/>
      <c r="P419" s="113"/>
      <c r="Q419" s="113"/>
      <c r="R419" s="113"/>
      <c r="S419" s="113"/>
      <c r="T419" s="113"/>
      <c r="U419" s="113"/>
      <c r="V419" s="113"/>
      <c r="W419" s="113"/>
      <c r="X419" s="113"/>
      <c r="Y419" s="113"/>
      <c r="Z419" s="113"/>
      <c r="AA419" s="113"/>
      <c r="AB419" s="113"/>
    </row>
    <row r="420" spans="1:28" ht="72.75" customHeight="1" x14ac:dyDescent="0.25">
      <c r="A420" s="740"/>
      <c r="B420" s="143" t="s">
        <v>465</v>
      </c>
      <c r="C420" s="191" t="s">
        <v>466</v>
      </c>
      <c r="D420" s="31" t="s">
        <v>332</v>
      </c>
      <c r="E420" s="188">
        <v>143810000</v>
      </c>
      <c r="F420" s="200">
        <v>30281867</v>
      </c>
      <c r="G420" s="211" t="s">
        <v>712</v>
      </c>
      <c r="H420" s="113"/>
      <c r="I420" s="113"/>
      <c r="J420" s="113"/>
      <c r="K420" s="113"/>
      <c r="L420" s="113"/>
      <c r="M420" s="113"/>
      <c r="N420" s="113"/>
      <c r="O420" s="113"/>
      <c r="P420" s="113"/>
      <c r="Q420" s="113"/>
      <c r="R420" s="113"/>
      <c r="S420" s="113"/>
      <c r="T420" s="113"/>
      <c r="U420" s="113"/>
      <c r="V420" s="113"/>
      <c r="W420" s="113"/>
      <c r="X420" s="113"/>
      <c r="Y420" s="113"/>
      <c r="Z420" s="113"/>
      <c r="AA420" s="113"/>
      <c r="AB420" s="113"/>
    </row>
    <row r="421" spans="1:28" ht="68.25" customHeight="1" x14ac:dyDescent="0.25">
      <c r="A421" s="740"/>
      <c r="B421" s="143" t="s">
        <v>470</v>
      </c>
      <c r="C421" s="191" t="s">
        <v>471</v>
      </c>
      <c r="D421" s="31" t="s">
        <v>681</v>
      </c>
      <c r="E421" s="188">
        <v>3655492000</v>
      </c>
      <c r="F421" s="200">
        <v>629273779</v>
      </c>
      <c r="G421" s="211" t="s">
        <v>716</v>
      </c>
      <c r="H421" s="113"/>
      <c r="I421" s="113"/>
      <c r="J421" s="113"/>
      <c r="K421" s="113"/>
      <c r="L421" s="113"/>
      <c r="M421" s="113"/>
      <c r="N421" s="113"/>
      <c r="O421" s="113"/>
      <c r="P421" s="113"/>
      <c r="Q421" s="113"/>
      <c r="R421" s="113"/>
      <c r="S421" s="113"/>
      <c r="T421" s="113"/>
      <c r="U421" s="113"/>
      <c r="V421" s="113"/>
      <c r="W421" s="113"/>
      <c r="X421" s="113"/>
      <c r="Y421" s="113"/>
      <c r="Z421" s="113"/>
      <c r="AA421" s="113"/>
      <c r="AB421" s="113"/>
    </row>
    <row r="422" spans="1:28" ht="61.5" customHeight="1" x14ac:dyDescent="0.25">
      <c r="A422" s="792"/>
      <c r="B422" s="151" t="s">
        <v>475</v>
      </c>
      <c r="C422" s="196" t="s">
        <v>476</v>
      </c>
      <c r="D422" s="210" t="s">
        <v>336</v>
      </c>
      <c r="E422" s="200">
        <v>173190000</v>
      </c>
      <c r="F422" s="200">
        <v>38212000</v>
      </c>
      <c r="G422" s="212" t="s">
        <v>717</v>
      </c>
      <c r="H422" s="113"/>
      <c r="I422" s="113"/>
      <c r="J422" s="113"/>
      <c r="K422" s="113"/>
      <c r="L422" s="113"/>
      <c r="M422" s="113"/>
      <c r="N422" s="113"/>
      <c r="O422" s="113"/>
      <c r="P422" s="113"/>
      <c r="Q422" s="113"/>
      <c r="R422" s="113"/>
      <c r="S422" s="113"/>
      <c r="T422" s="113"/>
      <c r="U422" s="113"/>
      <c r="V422" s="113"/>
      <c r="W422" s="113"/>
      <c r="X422" s="113"/>
      <c r="Y422" s="113"/>
      <c r="Z422" s="113"/>
      <c r="AA422" s="113"/>
      <c r="AB422" s="113"/>
    </row>
    <row r="423" spans="1:28" ht="75.75" customHeight="1" x14ac:dyDescent="0.25">
      <c r="A423" s="791" t="s">
        <v>437</v>
      </c>
      <c r="B423" s="136" t="s">
        <v>456</v>
      </c>
      <c r="C423" s="187" t="s">
        <v>457</v>
      </c>
      <c r="D423" s="208" t="s">
        <v>321</v>
      </c>
      <c r="E423" s="209">
        <v>1226257000</v>
      </c>
      <c r="F423" s="213">
        <v>336555226</v>
      </c>
      <c r="G423" s="211" t="s">
        <v>718</v>
      </c>
      <c r="H423" s="113"/>
      <c r="I423" s="113"/>
      <c r="J423" s="113"/>
      <c r="K423" s="113"/>
      <c r="L423" s="113"/>
      <c r="M423" s="113"/>
      <c r="N423" s="113"/>
      <c r="O423" s="113"/>
      <c r="P423" s="113"/>
      <c r="Q423" s="113"/>
      <c r="R423" s="113"/>
      <c r="S423" s="113"/>
      <c r="T423" s="113"/>
      <c r="U423" s="113"/>
      <c r="V423" s="113"/>
      <c r="W423" s="113"/>
      <c r="X423" s="113"/>
      <c r="Y423" s="113"/>
      <c r="Z423" s="113"/>
      <c r="AA423" s="113"/>
      <c r="AB423" s="113"/>
    </row>
    <row r="424" spans="1:28" ht="75" customHeight="1" x14ac:dyDescent="0.25">
      <c r="A424" s="740"/>
      <c r="B424" s="143" t="s">
        <v>461</v>
      </c>
      <c r="C424" s="191" t="s">
        <v>462</v>
      </c>
      <c r="D424" s="191" t="s">
        <v>680</v>
      </c>
      <c r="E424" s="193">
        <v>281130000</v>
      </c>
      <c r="F424" s="209">
        <v>85996400</v>
      </c>
      <c r="G424" s="214" t="s">
        <v>711</v>
      </c>
      <c r="H424" s="113"/>
      <c r="I424" s="113"/>
      <c r="J424" s="113"/>
      <c r="K424" s="113"/>
      <c r="L424" s="113"/>
      <c r="M424" s="113"/>
      <c r="N424" s="113"/>
      <c r="O424" s="113"/>
      <c r="P424" s="113"/>
      <c r="Q424" s="113"/>
      <c r="R424" s="113"/>
      <c r="S424" s="113"/>
      <c r="T424" s="113"/>
      <c r="U424" s="113"/>
      <c r="V424" s="113"/>
      <c r="W424" s="113"/>
      <c r="X424" s="113"/>
      <c r="Y424" s="113"/>
      <c r="Z424" s="113"/>
      <c r="AA424" s="113"/>
      <c r="AB424" s="113"/>
    </row>
    <row r="425" spans="1:28" ht="87" customHeight="1" x14ac:dyDescent="0.25">
      <c r="A425" s="740"/>
      <c r="B425" s="143" t="s">
        <v>465</v>
      </c>
      <c r="C425" s="191" t="s">
        <v>466</v>
      </c>
      <c r="D425" s="31" t="s">
        <v>332</v>
      </c>
      <c r="E425" s="188">
        <v>143810000</v>
      </c>
      <c r="F425" s="209">
        <v>44950867</v>
      </c>
      <c r="G425" s="214" t="s">
        <v>712</v>
      </c>
      <c r="H425" s="113"/>
      <c r="I425" s="113"/>
      <c r="J425" s="113"/>
      <c r="K425" s="113"/>
      <c r="L425" s="113"/>
      <c r="M425" s="113"/>
      <c r="N425" s="113"/>
      <c r="O425" s="113"/>
      <c r="P425" s="113"/>
      <c r="Q425" s="113"/>
      <c r="R425" s="113"/>
      <c r="S425" s="113"/>
      <c r="T425" s="113"/>
      <c r="U425" s="113"/>
      <c r="V425" s="113"/>
      <c r="W425" s="113"/>
      <c r="X425" s="113"/>
      <c r="Y425" s="113"/>
      <c r="Z425" s="113"/>
      <c r="AA425" s="113"/>
      <c r="AB425" s="113"/>
    </row>
    <row r="426" spans="1:28" ht="90" customHeight="1" x14ac:dyDescent="0.25">
      <c r="A426" s="740"/>
      <c r="B426" s="143" t="s">
        <v>470</v>
      </c>
      <c r="C426" s="191" t="s">
        <v>471</v>
      </c>
      <c r="D426" s="31" t="s">
        <v>681</v>
      </c>
      <c r="E426" s="188">
        <v>3655492000</v>
      </c>
      <c r="F426" s="209">
        <v>661899503</v>
      </c>
      <c r="G426" s="214" t="s">
        <v>719</v>
      </c>
      <c r="H426" s="113"/>
      <c r="I426" s="113"/>
      <c r="J426" s="113"/>
      <c r="K426" s="113"/>
      <c r="L426" s="113"/>
      <c r="M426" s="113"/>
      <c r="N426" s="113"/>
      <c r="O426" s="113"/>
      <c r="P426" s="113"/>
      <c r="Q426" s="113"/>
      <c r="R426" s="113"/>
      <c r="S426" s="113"/>
      <c r="T426" s="113"/>
      <c r="U426" s="113"/>
      <c r="V426" s="113"/>
      <c r="W426" s="113"/>
      <c r="X426" s="113"/>
      <c r="Y426" s="113"/>
      <c r="Z426" s="113"/>
      <c r="AA426" s="113"/>
      <c r="AB426" s="113"/>
    </row>
    <row r="427" spans="1:28" ht="56.25" customHeight="1" x14ac:dyDescent="0.25">
      <c r="A427" s="792"/>
      <c r="B427" s="151" t="s">
        <v>475</v>
      </c>
      <c r="C427" s="196" t="s">
        <v>476</v>
      </c>
      <c r="D427" s="210" t="s">
        <v>336</v>
      </c>
      <c r="E427" s="200">
        <v>173190000</v>
      </c>
      <c r="F427" s="200">
        <v>47765000</v>
      </c>
      <c r="G427" s="215" t="s">
        <v>717</v>
      </c>
      <c r="H427" s="113"/>
      <c r="I427" s="113"/>
      <c r="J427" s="113"/>
      <c r="K427" s="113"/>
      <c r="L427" s="113"/>
      <c r="M427" s="113"/>
      <c r="N427" s="113"/>
      <c r="O427" s="113"/>
      <c r="P427" s="113"/>
      <c r="Q427" s="113"/>
      <c r="R427" s="113"/>
      <c r="S427" s="113"/>
      <c r="T427" s="113"/>
      <c r="U427" s="113"/>
      <c r="V427" s="113"/>
      <c r="W427" s="113"/>
      <c r="X427" s="113"/>
      <c r="Y427" s="113"/>
      <c r="Z427" s="113"/>
      <c r="AA427" s="113"/>
      <c r="AB427" s="113"/>
    </row>
    <row r="428" spans="1:28" ht="81.75" customHeight="1" x14ac:dyDescent="0.25">
      <c r="A428" s="791" t="s">
        <v>438</v>
      </c>
      <c r="B428" s="136" t="s">
        <v>456</v>
      </c>
      <c r="C428" s="187" t="s">
        <v>457</v>
      </c>
      <c r="D428" s="208" t="s">
        <v>321</v>
      </c>
      <c r="E428" s="209">
        <v>1373724000</v>
      </c>
      <c r="F428" s="213">
        <v>457676168</v>
      </c>
      <c r="G428" s="211" t="s">
        <v>720</v>
      </c>
      <c r="H428" s="113"/>
      <c r="I428" s="113"/>
      <c r="J428" s="113"/>
      <c r="K428" s="113"/>
      <c r="L428" s="113"/>
      <c r="M428" s="113"/>
      <c r="N428" s="113"/>
      <c r="O428" s="113"/>
      <c r="P428" s="113"/>
      <c r="Q428" s="113"/>
      <c r="R428" s="113"/>
      <c r="S428" s="113"/>
      <c r="T428" s="113"/>
      <c r="U428" s="113"/>
      <c r="V428" s="113"/>
      <c r="W428" s="113"/>
      <c r="X428" s="113"/>
      <c r="Y428" s="113"/>
      <c r="Z428" s="113"/>
      <c r="AA428" s="113"/>
      <c r="AB428" s="113"/>
    </row>
    <row r="429" spans="1:28" ht="95.25" customHeight="1" x14ac:dyDescent="0.25">
      <c r="A429" s="740"/>
      <c r="B429" s="143" t="s">
        <v>461</v>
      </c>
      <c r="C429" s="191" t="s">
        <v>462</v>
      </c>
      <c r="D429" s="191" t="s">
        <v>680</v>
      </c>
      <c r="E429" s="193">
        <v>281130000</v>
      </c>
      <c r="F429" s="209">
        <v>106078400</v>
      </c>
      <c r="G429" s="214" t="s">
        <v>711</v>
      </c>
      <c r="H429" s="113"/>
      <c r="I429" s="113"/>
      <c r="J429" s="113"/>
      <c r="K429" s="113"/>
      <c r="L429" s="113"/>
      <c r="M429" s="113"/>
      <c r="N429" s="113"/>
      <c r="O429" s="113"/>
      <c r="P429" s="113"/>
      <c r="Q429" s="113"/>
      <c r="R429" s="113"/>
      <c r="S429" s="113"/>
      <c r="T429" s="113"/>
      <c r="U429" s="113"/>
      <c r="V429" s="113"/>
      <c r="W429" s="113"/>
      <c r="X429" s="113"/>
      <c r="Y429" s="113"/>
      <c r="Z429" s="113"/>
      <c r="AA429" s="113"/>
      <c r="AB429" s="113"/>
    </row>
    <row r="430" spans="1:28" ht="62.25" customHeight="1" x14ac:dyDescent="0.25">
      <c r="A430" s="740"/>
      <c r="B430" s="143" t="s">
        <v>465</v>
      </c>
      <c r="C430" s="191" t="s">
        <v>466</v>
      </c>
      <c r="D430" s="31" t="s">
        <v>332</v>
      </c>
      <c r="E430" s="188">
        <v>143810000</v>
      </c>
      <c r="F430" s="209">
        <v>59619867</v>
      </c>
      <c r="G430" s="214" t="s">
        <v>712</v>
      </c>
      <c r="H430" s="113"/>
      <c r="I430" s="113"/>
      <c r="J430" s="113"/>
      <c r="K430" s="113"/>
      <c r="L430" s="113"/>
      <c r="M430" s="113"/>
      <c r="N430" s="113"/>
      <c r="O430" s="113"/>
      <c r="P430" s="113"/>
      <c r="Q430" s="113"/>
      <c r="R430" s="113"/>
      <c r="S430" s="113"/>
      <c r="T430" s="113"/>
      <c r="U430" s="113"/>
      <c r="V430" s="113"/>
      <c r="W430" s="113"/>
      <c r="X430" s="113"/>
      <c r="Y430" s="113"/>
      <c r="Z430" s="113"/>
      <c r="AA430" s="113"/>
      <c r="AB430" s="113"/>
    </row>
    <row r="431" spans="1:28" ht="72" customHeight="1" x14ac:dyDescent="0.25">
      <c r="A431" s="740"/>
      <c r="B431" s="143" t="s">
        <v>470</v>
      </c>
      <c r="C431" s="191" t="s">
        <v>471</v>
      </c>
      <c r="D431" s="31" t="s">
        <v>681</v>
      </c>
      <c r="E431" s="188">
        <v>3508025000</v>
      </c>
      <c r="F431" s="209">
        <v>694948153</v>
      </c>
      <c r="G431" s="214" t="s">
        <v>721</v>
      </c>
      <c r="H431" s="113"/>
      <c r="I431" s="113"/>
      <c r="J431" s="113"/>
      <c r="K431" s="113"/>
      <c r="L431" s="113"/>
      <c r="M431" s="113"/>
      <c r="N431" s="113"/>
      <c r="O431" s="113"/>
      <c r="P431" s="113"/>
      <c r="Q431" s="113"/>
      <c r="R431" s="113"/>
      <c r="S431" s="113"/>
      <c r="T431" s="113"/>
      <c r="U431" s="113"/>
      <c r="V431" s="113"/>
      <c r="W431" s="113"/>
      <c r="X431" s="113"/>
      <c r="Y431" s="113"/>
      <c r="Z431" s="113"/>
      <c r="AA431" s="113"/>
      <c r="AB431" s="113"/>
    </row>
    <row r="432" spans="1:28" ht="80.25" customHeight="1" x14ac:dyDescent="0.25">
      <c r="A432" s="792"/>
      <c r="B432" s="151" t="s">
        <v>475</v>
      </c>
      <c r="C432" s="196" t="s">
        <v>476</v>
      </c>
      <c r="D432" s="210" t="s">
        <v>336</v>
      </c>
      <c r="E432" s="200">
        <v>173190000</v>
      </c>
      <c r="F432" s="209">
        <v>57318000</v>
      </c>
      <c r="G432" s="214" t="s">
        <v>717</v>
      </c>
      <c r="H432" s="113"/>
      <c r="I432" s="113"/>
      <c r="J432" s="113"/>
      <c r="K432" s="113"/>
      <c r="L432" s="113"/>
      <c r="M432" s="113"/>
      <c r="N432" s="113"/>
      <c r="O432" s="113"/>
      <c r="P432" s="113"/>
      <c r="Q432" s="113"/>
      <c r="R432" s="113"/>
      <c r="S432" s="113"/>
      <c r="T432" s="113"/>
      <c r="U432" s="113"/>
      <c r="V432" s="113"/>
      <c r="W432" s="113"/>
      <c r="X432" s="113"/>
      <c r="Y432" s="113"/>
      <c r="Z432" s="113"/>
      <c r="AA432" s="113"/>
      <c r="AB432" s="113"/>
    </row>
    <row r="433" spans="1:28" ht="78" customHeight="1" x14ac:dyDescent="0.25">
      <c r="A433" s="791" t="s">
        <v>425</v>
      </c>
      <c r="B433" s="136" t="s">
        <v>456</v>
      </c>
      <c r="C433" s="187" t="s">
        <v>457</v>
      </c>
      <c r="D433" s="208" t="s">
        <v>321</v>
      </c>
      <c r="E433" s="209">
        <v>1518872206</v>
      </c>
      <c r="F433" s="213">
        <v>572386110</v>
      </c>
      <c r="G433" s="211" t="s">
        <v>715</v>
      </c>
      <c r="H433" s="113"/>
      <c r="I433" s="113"/>
      <c r="J433" s="113"/>
      <c r="K433" s="113"/>
      <c r="L433" s="113"/>
      <c r="M433" s="113"/>
      <c r="N433" s="113"/>
      <c r="O433" s="113"/>
      <c r="P433" s="113"/>
      <c r="Q433" s="113"/>
      <c r="R433" s="113"/>
      <c r="S433" s="113"/>
      <c r="T433" s="113"/>
      <c r="U433" s="113"/>
      <c r="V433" s="113"/>
      <c r="W433" s="113"/>
      <c r="X433" s="113"/>
      <c r="Y433" s="113"/>
      <c r="Z433" s="113"/>
      <c r="AA433" s="113"/>
      <c r="AB433" s="113"/>
    </row>
    <row r="434" spans="1:28" ht="82.5" customHeight="1" x14ac:dyDescent="0.25">
      <c r="A434" s="740"/>
      <c r="B434" s="143" t="s">
        <v>461</v>
      </c>
      <c r="C434" s="191" t="s">
        <v>462</v>
      </c>
      <c r="D434" s="191" t="s">
        <v>680</v>
      </c>
      <c r="E434" s="193">
        <v>328879099</v>
      </c>
      <c r="F434" s="209">
        <v>142911800</v>
      </c>
      <c r="G434" s="214" t="s">
        <v>711</v>
      </c>
      <c r="H434" s="113"/>
      <c r="I434" s="113"/>
      <c r="J434" s="113"/>
      <c r="K434" s="113"/>
      <c r="L434" s="113"/>
      <c r="M434" s="113"/>
      <c r="N434" s="113"/>
      <c r="O434" s="113"/>
      <c r="P434" s="113"/>
      <c r="Q434" s="113"/>
      <c r="R434" s="113"/>
      <c r="S434" s="113"/>
      <c r="T434" s="113"/>
      <c r="U434" s="113"/>
      <c r="V434" s="113"/>
      <c r="W434" s="113"/>
      <c r="X434" s="113"/>
      <c r="Y434" s="113"/>
      <c r="Z434" s="113"/>
      <c r="AA434" s="113"/>
      <c r="AB434" s="113"/>
    </row>
    <row r="435" spans="1:28" ht="66" customHeight="1" x14ac:dyDescent="0.25">
      <c r="A435" s="740"/>
      <c r="B435" s="143" t="s">
        <v>465</v>
      </c>
      <c r="C435" s="191" t="s">
        <v>466</v>
      </c>
      <c r="D435" s="31" t="s">
        <v>332</v>
      </c>
      <c r="E435" s="188">
        <v>178222333</v>
      </c>
      <c r="F435" s="209">
        <v>74288867</v>
      </c>
      <c r="G435" s="214" t="s">
        <v>712</v>
      </c>
      <c r="H435" s="113"/>
      <c r="I435" s="113"/>
      <c r="J435" s="113"/>
      <c r="K435" s="113"/>
      <c r="L435" s="113"/>
      <c r="M435" s="113"/>
      <c r="N435" s="113"/>
      <c r="O435" s="113"/>
      <c r="P435" s="113"/>
      <c r="Q435" s="113"/>
      <c r="R435" s="113"/>
      <c r="S435" s="113"/>
      <c r="T435" s="113"/>
      <c r="U435" s="113"/>
      <c r="V435" s="113"/>
      <c r="W435" s="113"/>
      <c r="X435" s="113"/>
      <c r="Y435" s="113"/>
      <c r="Z435" s="113"/>
      <c r="AA435" s="113"/>
      <c r="AB435" s="113"/>
    </row>
    <row r="436" spans="1:28" ht="66" customHeight="1" x14ac:dyDescent="0.25">
      <c r="A436" s="740"/>
      <c r="B436" s="143" t="s">
        <v>470</v>
      </c>
      <c r="C436" s="191" t="s">
        <v>471</v>
      </c>
      <c r="D436" s="31" t="s">
        <v>681</v>
      </c>
      <c r="E436" s="188">
        <v>3241510329</v>
      </c>
      <c r="F436" s="209">
        <v>726615503</v>
      </c>
      <c r="G436" s="214" t="s">
        <v>722</v>
      </c>
      <c r="H436" s="113"/>
      <c r="I436" s="113"/>
      <c r="J436" s="113"/>
      <c r="K436" s="113"/>
      <c r="L436" s="113"/>
      <c r="M436" s="113"/>
      <c r="N436" s="113"/>
      <c r="O436" s="113"/>
      <c r="P436" s="113"/>
      <c r="Q436" s="113"/>
      <c r="R436" s="113"/>
      <c r="S436" s="113"/>
      <c r="T436" s="113"/>
      <c r="U436" s="113"/>
      <c r="V436" s="113"/>
      <c r="W436" s="113"/>
      <c r="X436" s="113"/>
      <c r="Y436" s="113"/>
      <c r="Z436" s="113"/>
      <c r="AA436" s="113"/>
      <c r="AB436" s="113"/>
    </row>
    <row r="437" spans="1:28" ht="80.25" customHeight="1" x14ac:dyDescent="0.25">
      <c r="A437" s="792"/>
      <c r="B437" s="151" t="s">
        <v>475</v>
      </c>
      <c r="C437" s="196" t="s">
        <v>476</v>
      </c>
      <c r="D437" s="210" t="s">
        <v>336</v>
      </c>
      <c r="E437" s="200">
        <v>212395033</v>
      </c>
      <c r="F437" s="209">
        <v>66871000</v>
      </c>
      <c r="G437" s="214" t="s">
        <v>717</v>
      </c>
      <c r="H437" s="113"/>
      <c r="I437" s="113"/>
      <c r="J437" s="113"/>
      <c r="K437" s="113"/>
      <c r="L437" s="113"/>
      <c r="M437" s="113"/>
      <c r="N437" s="113"/>
      <c r="O437" s="113"/>
      <c r="P437" s="113"/>
      <c r="Q437" s="113"/>
      <c r="R437" s="113"/>
      <c r="S437" s="113"/>
      <c r="T437" s="113"/>
      <c r="U437" s="113"/>
      <c r="V437" s="113"/>
      <c r="W437" s="113"/>
      <c r="X437" s="113"/>
      <c r="Y437" s="113"/>
      <c r="Z437" s="113"/>
      <c r="AA437" s="113"/>
      <c r="AB437" s="113"/>
    </row>
    <row r="438" spans="1:28" ht="80.25" customHeight="1" x14ac:dyDescent="0.25">
      <c r="A438" s="791" t="s">
        <v>426</v>
      </c>
      <c r="B438" s="136" t="s">
        <v>456</v>
      </c>
      <c r="C438" s="187" t="s">
        <v>457</v>
      </c>
      <c r="D438" s="208" t="s">
        <v>321</v>
      </c>
      <c r="E438" s="209">
        <v>1518872206</v>
      </c>
      <c r="F438" s="213">
        <v>687773119</v>
      </c>
      <c r="G438" s="211" t="s">
        <v>715</v>
      </c>
      <c r="H438" s="113"/>
      <c r="I438" s="113"/>
      <c r="J438" s="113"/>
      <c r="K438" s="113"/>
      <c r="L438" s="113"/>
      <c r="M438" s="113"/>
      <c r="N438" s="113"/>
      <c r="O438" s="113"/>
      <c r="P438" s="113"/>
      <c r="Q438" s="113"/>
      <c r="R438" s="113"/>
      <c r="S438" s="113"/>
      <c r="T438" s="113"/>
      <c r="U438" s="113"/>
      <c r="V438" s="113"/>
      <c r="W438" s="113"/>
      <c r="X438" s="113"/>
      <c r="Y438" s="113"/>
      <c r="Z438" s="113"/>
      <c r="AA438" s="113"/>
      <c r="AB438" s="113"/>
    </row>
    <row r="439" spans="1:28" ht="80.25" customHeight="1" x14ac:dyDescent="0.25">
      <c r="A439" s="740"/>
      <c r="B439" s="143" t="s">
        <v>461</v>
      </c>
      <c r="C439" s="191" t="s">
        <v>462</v>
      </c>
      <c r="D439" s="191" t="s">
        <v>680</v>
      </c>
      <c r="E439" s="193">
        <v>328879099</v>
      </c>
      <c r="F439" s="209">
        <v>171587800</v>
      </c>
      <c r="G439" s="214" t="s">
        <v>711</v>
      </c>
      <c r="H439" s="113"/>
      <c r="I439" s="113"/>
      <c r="J439" s="113"/>
      <c r="K439" s="113"/>
      <c r="L439" s="113"/>
      <c r="M439" s="113"/>
      <c r="N439" s="113"/>
      <c r="O439" s="113"/>
      <c r="P439" s="113"/>
      <c r="Q439" s="113"/>
      <c r="R439" s="113"/>
      <c r="S439" s="113"/>
      <c r="T439" s="113"/>
      <c r="U439" s="113"/>
      <c r="V439" s="113"/>
      <c r="W439" s="113"/>
      <c r="X439" s="113"/>
      <c r="Y439" s="113"/>
      <c r="Z439" s="113"/>
      <c r="AA439" s="113"/>
      <c r="AB439" s="113"/>
    </row>
    <row r="440" spans="1:28" ht="80.25" customHeight="1" x14ac:dyDescent="0.25">
      <c r="A440" s="740"/>
      <c r="B440" s="143" t="s">
        <v>465</v>
      </c>
      <c r="C440" s="191" t="s">
        <v>466</v>
      </c>
      <c r="D440" s="31" t="s">
        <v>332</v>
      </c>
      <c r="E440" s="188">
        <v>178222333</v>
      </c>
      <c r="F440" s="209">
        <v>88957867</v>
      </c>
      <c r="G440" s="214" t="s">
        <v>712</v>
      </c>
      <c r="H440" s="113"/>
      <c r="I440" s="113"/>
      <c r="J440" s="113"/>
      <c r="K440" s="113"/>
      <c r="L440" s="113"/>
      <c r="M440" s="113"/>
      <c r="N440" s="113"/>
      <c r="O440" s="113"/>
      <c r="P440" s="113"/>
      <c r="Q440" s="113"/>
      <c r="R440" s="113"/>
      <c r="S440" s="113"/>
      <c r="T440" s="113"/>
      <c r="U440" s="113"/>
      <c r="V440" s="113"/>
      <c r="W440" s="113"/>
      <c r="X440" s="113"/>
      <c r="Y440" s="113"/>
      <c r="Z440" s="113"/>
      <c r="AA440" s="113"/>
      <c r="AB440" s="113"/>
    </row>
    <row r="441" spans="1:28" ht="80.25" customHeight="1" x14ac:dyDescent="0.25">
      <c r="A441" s="740"/>
      <c r="B441" s="143" t="s">
        <v>470</v>
      </c>
      <c r="C441" s="191" t="s">
        <v>471</v>
      </c>
      <c r="D441" s="31" t="s">
        <v>681</v>
      </c>
      <c r="E441" s="188">
        <v>3241510329</v>
      </c>
      <c r="F441" s="209">
        <v>1134084419</v>
      </c>
      <c r="G441" s="214" t="s">
        <v>722</v>
      </c>
      <c r="H441" s="113"/>
      <c r="I441" s="113"/>
      <c r="J441" s="113"/>
      <c r="K441" s="113"/>
      <c r="L441" s="113"/>
      <c r="M441" s="113"/>
      <c r="N441" s="113"/>
      <c r="O441" s="113"/>
      <c r="P441" s="113"/>
      <c r="Q441" s="113"/>
      <c r="R441" s="113"/>
      <c r="S441" s="113"/>
      <c r="T441" s="113"/>
      <c r="U441" s="113"/>
      <c r="V441" s="113"/>
      <c r="W441" s="113"/>
      <c r="X441" s="113"/>
      <c r="Y441" s="113"/>
      <c r="Z441" s="113"/>
      <c r="AA441" s="113"/>
      <c r="AB441" s="113"/>
    </row>
    <row r="442" spans="1:28" ht="59.25" customHeight="1" x14ac:dyDescent="0.25">
      <c r="A442" s="792"/>
      <c r="B442" s="151" t="s">
        <v>475</v>
      </c>
      <c r="C442" s="196" t="s">
        <v>476</v>
      </c>
      <c r="D442" s="210" t="s">
        <v>336</v>
      </c>
      <c r="E442" s="200">
        <v>212395033</v>
      </c>
      <c r="F442" s="209">
        <v>105083000</v>
      </c>
      <c r="G442" s="214" t="s">
        <v>717</v>
      </c>
      <c r="H442" s="113"/>
      <c r="I442" s="113"/>
      <c r="J442" s="113"/>
      <c r="K442" s="113"/>
      <c r="L442" s="113"/>
      <c r="M442" s="113"/>
      <c r="N442" s="113"/>
      <c r="O442" s="113"/>
      <c r="P442" s="113"/>
      <c r="Q442" s="113"/>
      <c r="R442" s="113"/>
      <c r="S442" s="113"/>
      <c r="T442" s="113"/>
      <c r="U442" s="113"/>
      <c r="V442" s="113"/>
      <c r="W442" s="113"/>
      <c r="X442" s="113"/>
      <c r="Y442" s="113"/>
      <c r="Z442" s="113"/>
      <c r="AA442" s="113"/>
      <c r="AB442" s="113"/>
    </row>
    <row r="443" spans="1:28" ht="48.75" customHeight="1" x14ac:dyDescent="0.25">
      <c r="A443" s="791" t="s">
        <v>427</v>
      </c>
      <c r="B443" s="136" t="s">
        <v>456</v>
      </c>
      <c r="C443" s="187" t="s">
        <v>457</v>
      </c>
      <c r="D443" s="208" t="s">
        <v>321</v>
      </c>
      <c r="E443" s="209">
        <v>1508641107</v>
      </c>
      <c r="F443" s="213">
        <v>823126721</v>
      </c>
      <c r="G443" s="211" t="s">
        <v>715</v>
      </c>
      <c r="H443" s="113"/>
      <c r="I443" s="113"/>
      <c r="J443" s="113"/>
      <c r="K443" s="113"/>
      <c r="L443" s="113"/>
      <c r="M443" s="113"/>
      <c r="N443" s="113"/>
      <c r="O443" s="113"/>
      <c r="P443" s="113"/>
      <c r="Q443" s="113"/>
      <c r="R443" s="113"/>
      <c r="S443" s="113"/>
      <c r="T443" s="113"/>
      <c r="U443" s="113"/>
      <c r="V443" s="113"/>
      <c r="W443" s="113"/>
      <c r="X443" s="113"/>
      <c r="Y443" s="113"/>
      <c r="Z443" s="113"/>
      <c r="AA443" s="113"/>
      <c r="AB443" s="113"/>
    </row>
    <row r="444" spans="1:28" ht="77.25" customHeight="1" x14ac:dyDescent="0.25">
      <c r="A444" s="740"/>
      <c r="B444" s="143" t="s">
        <v>461</v>
      </c>
      <c r="C444" s="191" t="s">
        <v>462</v>
      </c>
      <c r="D444" s="191" t="s">
        <v>680</v>
      </c>
      <c r="E444" s="193">
        <v>328879099</v>
      </c>
      <c r="F444" s="209">
        <v>200700400</v>
      </c>
      <c r="G444" s="214" t="s">
        <v>711</v>
      </c>
      <c r="H444" s="113"/>
      <c r="I444" s="113"/>
      <c r="J444" s="113"/>
      <c r="K444" s="113"/>
      <c r="L444" s="113"/>
      <c r="M444" s="113"/>
      <c r="N444" s="113"/>
      <c r="O444" s="113"/>
      <c r="P444" s="113"/>
      <c r="Q444" s="113"/>
      <c r="R444" s="113"/>
      <c r="S444" s="113"/>
      <c r="T444" s="113"/>
      <c r="U444" s="113"/>
      <c r="V444" s="113"/>
      <c r="W444" s="113"/>
      <c r="X444" s="113"/>
      <c r="Y444" s="113"/>
      <c r="Z444" s="113"/>
      <c r="AA444" s="113"/>
      <c r="AB444" s="113"/>
    </row>
    <row r="445" spans="1:28" ht="58.5" customHeight="1" x14ac:dyDescent="0.25">
      <c r="A445" s="740"/>
      <c r="B445" s="143" t="s">
        <v>465</v>
      </c>
      <c r="C445" s="191" t="s">
        <v>466</v>
      </c>
      <c r="D445" s="31" t="s">
        <v>332</v>
      </c>
      <c r="E445" s="188">
        <v>178222333</v>
      </c>
      <c r="F445" s="209">
        <v>103626867</v>
      </c>
      <c r="G445" s="214" t="s">
        <v>712</v>
      </c>
      <c r="H445" s="113"/>
      <c r="I445" s="113"/>
      <c r="J445" s="113"/>
      <c r="K445" s="113"/>
      <c r="L445" s="113"/>
      <c r="M445" s="113"/>
      <c r="N445" s="113"/>
      <c r="O445" s="113"/>
      <c r="P445" s="113"/>
      <c r="Q445" s="113"/>
      <c r="R445" s="113"/>
      <c r="S445" s="113"/>
      <c r="T445" s="113"/>
      <c r="U445" s="113"/>
      <c r="V445" s="113"/>
      <c r="W445" s="113"/>
      <c r="X445" s="113"/>
      <c r="Y445" s="113"/>
      <c r="Z445" s="113"/>
      <c r="AA445" s="113"/>
      <c r="AB445" s="113"/>
    </row>
    <row r="446" spans="1:28" ht="66" customHeight="1" x14ac:dyDescent="0.25">
      <c r="A446" s="740"/>
      <c r="B446" s="143" t="s">
        <v>470</v>
      </c>
      <c r="C446" s="191" t="s">
        <v>471</v>
      </c>
      <c r="D446" s="31" t="s">
        <v>681</v>
      </c>
      <c r="E446" s="188">
        <v>3277534528</v>
      </c>
      <c r="F446" s="209">
        <v>1233101586</v>
      </c>
      <c r="G446" s="214" t="s">
        <v>723</v>
      </c>
      <c r="H446" s="113"/>
      <c r="I446" s="113"/>
      <c r="J446" s="113"/>
      <c r="K446" s="113"/>
      <c r="L446" s="113"/>
      <c r="M446" s="113"/>
      <c r="N446" s="113"/>
      <c r="O446" s="113"/>
      <c r="P446" s="113"/>
      <c r="Q446" s="113"/>
      <c r="R446" s="113"/>
      <c r="S446" s="113"/>
      <c r="T446" s="113"/>
      <c r="U446" s="113"/>
      <c r="V446" s="113"/>
      <c r="W446" s="113"/>
      <c r="X446" s="113"/>
      <c r="Y446" s="113"/>
      <c r="Z446" s="113"/>
      <c r="AA446" s="113"/>
      <c r="AB446" s="113"/>
    </row>
    <row r="447" spans="1:28" ht="75.75" customHeight="1" x14ac:dyDescent="0.25">
      <c r="A447" s="792"/>
      <c r="B447" s="151" t="s">
        <v>475</v>
      </c>
      <c r="C447" s="196" t="s">
        <v>476</v>
      </c>
      <c r="D447" s="210" t="s">
        <v>336</v>
      </c>
      <c r="E447" s="200">
        <v>186601933</v>
      </c>
      <c r="F447" s="209">
        <v>114636000</v>
      </c>
      <c r="G447" s="214" t="s">
        <v>717</v>
      </c>
      <c r="H447" s="113"/>
      <c r="I447" s="113"/>
      <c r="J447" s="113"/>
      <c r="K447" s="113"/>
      <c r="L447" s="113"/>
      <c r="M447" s="113"/>
      <c r="N447" s="113"/>
      <c r="O447" s="113"/>
      <c r="P447" s="113"/>
      <c r="Q447" s="113"/>
      <c r="R447" s="113"/>
      <c r="S447" s="113"/>
      <c r="T447" s="113"/>
      <c r="U447" s="113"/>
      <c r="V447" s="113"/>
      <c r="W447" s="113"/>
      <c r="X447" s="113"/>
      <c r="Y447" s="113"/>
      <c r="Z447" s="113"/>
      <c r="AA447" s="113"/>
      <c r="AB447" s="113"/>
    </row>
    <row r="448" spans="1:28" ht="75.75" customHeight="1" x14ac:dyDescent="0.25">
      <c r="A448" s="791" t="s">
        <v>428</v>
      </c>
      <c r="B448" s="136" t="s">
        <v>456</v>
      </c>
      <c r="C448" s="187" t="s">
        <v>457</v>
      </c>
      <c r="D448" s="208" t="s">
        <v>321</v>
      </c>
      <c r="E448" s="209">
        <v>1508641107</v>
      </c>
      <c r="F448" s="213">
        <v>966285329</v>
      </c>
      <c r="G448" s="211" t="s">
        <v>715</v>
      </c>
      <c r="H448" s="113"/>
      <c r="I448" s="113"/>
      <c r="J448" s="113"/>
      <c r="K448" s="113"/>
      <c r="L448" s="113"/>
      <c r="M448" s="113"/>
      <c r="N448" s="113"/>
      <c r="O448" s="113"/>
      <c r="P448" s="113"/>
      <c r="Q448" s="113"/>
      <c r="R448" s="113"/>
      <c r="S448" s="113"/>
      <c r="T448" s="113"/>
      <c r="U448" s="113"/>
      <c r="V448" s="113"/>
      <c r="W448" s="113"/>
      <c r="X448" s="113"/>
      <c r="Y448" s="113"/>
      <c r="Z448" s="113"/>
      <c r="AA448" s="113"/>
      <c r="AB448" s="113"/>
    </row>
    <row r="449" spans="1:28" ht="83.25" customHeight="1" x14ac:dyDescent="0.25">
      <c r="A449" s="740"/>
      <c r="B449" s="143" t="s">
        <v>461</v>
      </c>
      <c r="C449" s="191" t="s">
        <v>462</v>
      </c>
      <c r="D449" s="191" t="s">
        <v>680</v>
      </c>
      <c r="E449" s="193">
        <v>328879099</v>
      </c>
      <c r="F449" s="209">
        <v>229376400</v>
      </c>
      <c r="G449" s="214" t="s">
        <v>711</v>
      </c>
      <c r="H449" s="113"/>
      <c r="I449" s="113"/>
      <c r="J449" s="113"/>
      <c r="K449" s="113"/>
      <c r="L449" s="113"/>
      <c r="M449" s="113"/>
      <c r="N449" s="113"/>
      <c r="O449" s="113"/>
      <c r="P449" s="113"/>
      <c r="Q449" s="113"/>
      <c r="R449" s="113"/>
      <c r="S449" s="113"/>
      <c r="T449" s="113"/>
      <c r="U449" s="113"/>
      <c r="V449" s="113"/>
      <c r="W449" s="113"/>
      <c r="X449" s="113"/>
      <c r="Y449" s="113"/>
      <c r="Z449" s="113"/>
      <c r="AA449" s="113"/>
      <c r="AB449" s="113"/>
    </row>
    <row r="450" spans="1:28" ht="60" customHeight="1" x14ac:dyDescent="0.25">
      <c r="A450" s="740"/>
      <c r="B450" s="143" t="s">
        <v>465</v>
      </c>
      <c r="C450" s="191" t="s">
        <v>466</v>
      </c>
      <c r="D450" s="31" t="s">
        <v>332</v>
      </c>
      <c r="E450" s="188">
        <v>178222333</v>
      </c>
      <c r="F450" s="209">
        <v>118295867</v>
      </c>
      <c r="G450" s="214" t="s">
        <v>712</v>
      </c>
      <c r="H450" s="113"/>
      <c r="I450" s="113"/>
      <c r="J450" s="113"/>
      <c r="K450" s="113"/>
      <c r="L450" s="113"/>
      <c r="M450" s="113"/>
      <c r="N450" s="113"/>
      <c r="O450" s="113"/>
      <c r="P450" s="113"/>
      <c r="Q450" s="113"/>
      <c r="R450" s="113"/>
      <c r="S450" s="113"/>
      <c r="T450" s="113"/>
      <c r="U450" s="113"/>
      <c r="V450" s="113"/>
      <c r="W450" s="113"/>
      <c r="X450" s="113"/>
      <c r="Y450" s="113"/>
      <c r="Z450" s="113"/>
      <c r="AA450" s="113"/>
      <c r="AB450" s="113"/>
    </row>
    <row r="451" spans="1:28" ht="67.5" customHeight="1" x14ac:dyDescent="0.25">
      <c r="A451" s="740"/>
      <c r="B451" s="143" t="s">
        <v>470</v>
      </c>
      <c r="C451" s="191" t="s">
        <v>471</v>
      </c>
      <c r="D451" s="31" t="s">
        <v>681</v>
      </c>
      <c r="E451" s="209">
        <v>3277534528</v>
      </c>
      <c r="F451" s="209">
        <v>1886919500</v>
      </c>
      <c r="G451" s="216" t="s">
        <v>723</v>
      </c>
      <c r="H451" s="113"/>
      <c r="I451" s="113"/>
      <c r="J451" s="113"/>
      <c r="K451" s="113"/>
      <c r="L451" s="113"/>
      <c r="M451" s="113"/>
      <c r="N451" s="113"/>
      <c r="O451" s="113"/>
      <c r="P451" s="113"/>
      <c r="Q451" s="113"/>
      <c r="R451" s="113"/>
      <c r="S451" s="113"/>
      <c r="T451" s="113"/>
      <c r="U451" s="113"/>
      <c r="V451" s="113"/>
      <c r="W451" s="113"/>
      <c r="X451" s="113"/>
      <c r="Y451" s="113"/>
      <c r="Z451" s="113"/>
      <c r="AA451" s="113"/>
      <c r="AB451" s="113"/>
    </row>
    <row r="452" spans="1:28" ht="71.25" customHeight="1" x14ac:dyDescent="0.25">
      <c r="A452" s="792"/>
      <c r="B452" s="151" t="s">
        <v>475</v>
      </c>
      <c r="C452" s="196" t="s">
        <v>476</v>
      </c>
      <c r="D452" s="210" t="s">
        <v>336</v>
      </c>
      <c r="E452" s="188">
        <v>186601933</v>
      </c>
      <c r="F452" s="188">
        <v>143295000</v>
      </c>
      <c r="G452" s="217" t="s">
        <v>717</v>
      </c>
      <c r="H452" s="113"/>
      <c r="I452" s="113"/>
      <c r="J452" s="113"/>
      <c r="K452" s="113"/>
      <c r="L452" s="113"/>
      <c r="M452" s="113"/>
      <c r="N452" s="113"/>
      <c r="O452" s="113"/>
      <c r="P452" s="113"/>
      <c r="Q452" s="113"/>
      <c r="R452" s="113"/>
      <c r="S452" s="113"/>
      <c r="T452" s="113"/>
      <c r="U452" s="113"/>
      <c r="V452" s="113"/>
      <c r="W452" s="113"/>
      <c r="X452" s="113"/>
      <c r="Y452" s="113"/>
      <c r="Z452" s="113"/>
      <c r="AA452" s="113"/>
      <c r="AB452" s="113"/>
    </row>
    <row r="453" spans="1:28" ht="15.75" customHeight="1" x14ac:dyDescent="0.25">
      <c r="A453" s="791" t="s">
        <v>429</v>
      </c>
      <c r="B453" s="136" t="s">
        <v>456</v>
      </c>
      <c r="C453" s="187" t="s">
        <v>457</v>
      </c>
      <c r="D453" s="208" t="s">
        <v>321</v>
      </c>
      <c r="E453" s="209">
        <v>1506458107</v>
      </c>
      <c r="F453" s="213">
        <v>1110854271</v>
      </c>
      <c r="G453" s="211" t="s">
        <v>715</v>
      </c>
      <c r="H453" s="113"/>
      <c r="I453" s="113"/>
      <c r="J453" s="113"/>
      <c r="K453" s="113"/>
      <c r="L453" s="113"/>
      <c r="M453" s="113"/>
      <c r="N453" s="113"/>
      <c r="O453" s="113"/>
      <c r="P453" s="113"/>
      <c r="Q453" s="113"/>
      <c r="R453" s="113"/>
      <c r="S453" s="113"/>
      <c r="T453" s="113"/>
      <c r="U453" s="113"/>
      <c r="V453" s="113"/>
      <c r="W453" s="113"/>
      <c r="X453" s="113"/>
      <c r="Y453" s="113"/>
      <c r="Z453" s="113"/>
      <c r="AA453" s="113"/>
      <c r="AB453" s="113"/>
    </row>
    <row r="454" spans="1:28" ht="15.75" customHeight="1" x14ac:dyDescent="0.25">
      <c r="A454" s="740"/>
      <c r="B454" s="143" t="s">
        <v>461</v>
      </c>
      <c r="C454" s="191" t="s">
        <v>462</v>
      </c>
      <c r="D454" s="191" t="s">
        <v>680</v>
      </c>
      <c r="E454" s="193">
        <v>331062099</v>
      </c>
      <c r="F454" s="209">
        <v>258052400</v>
      </c>
      <c r="G454" s="214" t="s">
        <v>711</v>
      </c>
      <c r="H454" s="113"/>
      <c r="I454" s="113"/>
      <c r="J454" s="113"/>
      <c r="K454" s="113"/>
      <c r="L454" s="113"/>
      <c r="M454" s="113"/>
      <c r="N454" s="113"/>
      <c r="O454" s="113"/>
      <c r="P454" s="113"/>
      <c r="Q454" s="113"/>
      <c r="R454" s="113"/>
      <c r="S454" s="113"/>
      <c r="T454" s="113"/>
      <c r="U454" s="113"/>
      <c r="V454" s="113"/>
      <c r="W454" s="113"/>
      <c r="X454" s="113"/>
      <c r="Y454" s="113"/>
      <c r="Z454" s="113"/>
      <c r="AA454" s="113"/>
      <c r="AB454" s="113"/>
    </row>
    <row r="455" spans="1:28" ht="15.75" customHeight="1" x14ac:dyDescent="0.25">
      <c r="A455" s="740"/>
      <c r="B455" s="143" t="s">
        <v>465</v>
      </c>
      <c r="C455" s="191" t="s">
        <v>466</v>
      </c>
      <c r="D455" s="31" t="s">
        <v>332</v>
      </c>
      <c r="E455" s="188">
        <v>178222333</v>
      </c>
      <c r="F455" s="209">
        <v>132964867</v>
      </c>
      <c r="G455" s="214" t="s">
        <v>712</v>
      </c>
      <c r="H455" s="113"/>
      <c r="I455" s="113"/>
      <c r="J455" s="113"/>
      <c r="K455" s="113"/>
      <c r="L455" s="113"/>
      <c r="M455" s="113"/>
      <c r="N455" s="113"/>
      <c r="O455" s="113"/>
      <c r="P455" s="113"/>
      <c r="Q455" s="113"/>
      <c r="R455" s="113"/>
      <c r="S455" s="113"/>
      <c r="T455" s="113"/>
      <c r="U455" s="113"/>
      <c r="V455" s="113"/>
      <c r="W455" s="113"/>
      <c r="X455" s="113"/>
      <c r="Y455" s="113"/>
      <c r="Z455" s="113"/>
      <c r="AA455" s="113"/>
      <c r="AB455" s="113"/>
    </row>
    <row r="456" spans="1:28" ht="15.75" customHeight="1" x14ac:dyDescent="0.25">
      <c r="A456" s="740"/>
      <c r="B456" s="143" t="s">
        <v>470</v>
      </c>
      <c r="C456" s="191" t="s">
        <v>471</v>
      </c>
      <c r="D456" s="31" t="s">
        <v>681</v>
      </c>
      <c r="E456" s="209">
        <v>3277534528</v>
      </c>
      <c r="F456" s="209">
        <v>2018953080</v>
      </c>
      <c r="G456" s="216" t="s">
        <v>723</v>
      </c>
      <c r="H456" s="113"/>
      <c r="I456" s="113"/>
      <c r="J456" s="113"/>
      <c r="K456" s="113"/>
      <c r="L456" s="113"/>
      <c r="M456" s="113"/>
      <c r="N456" s="113"/>
      <c r="O456" s="113"/>
      <c r="P456" s="113"/>
      <c r="Q456" s="113"/>
      <c r="R456" s="113"/>
      <c r="S456" s="113"/>
      <c r="T456" s="113"/>
      <c r="U456" s="113"/>
      <c r="V456" s="113"/>
      <c r="W456" s="113"/>
      <c r="X456" s="113"/>
      <c r="Y456" s="113"/>
      <c r="Z456" s="113"/>
      <c r="AA456" s="113"/>
      <c r="AB456" s="113"/>
    </row>
    <row r="457" spans="1:28" ht="15.75" customHeight="1" x14ac:dyDescent="0.25">
      <c r="A457" s="792"/>
      <c r="B457" s="151" t="s">
        <v>475</v>
      </c>
      <c r="C457" s="196" t="s">
        <v>476</v>
      </c>
      <c r="D457" s="210" t="s">
        <v>336</v>
      </c>
      <c r="E457" s="188">
        <v>186601933</v>
      </c>
      <c r="F457" s="188">
        <v>152848000</v>
      </c>
      <c r="G457" s="217" t="s">
        <v>717</v>
      </c>
      <c r="H457" s="113"/>
      <c r="I457" s="113"/>
      <c r="J457" s="113"/>
      <c r="K457" s="113"/>
      <c r="L457" s="113"/>
      <c r="M457" s="113"/>
      <c r="N457" s="113"/>
      <c r="O457" s="113"/>
      <c r="P457" s="113"/>
      <c r="Q457" s="113"/>
      <c r="R457" s="113"/>
      <c r="S457" s="113"/>
      <c r="T457" s="113"/>
      <c r="U457" s="113"/>
      <c r="V457" s="113"/>
      <c r="W457" s="113"/>
      <c r="X457" s="113"/>
      <c r="Y457" s="113"/>
      <c r="Z457" s="113"/>
      <c r="AA457" s="113"/>
      <c r="AB457" s="113"/>
    </row>
    <row r="458" spans="1:28" ht="15.75" customHeight="1" x14ac:dyDescent="0.25">
      <c r="A458" s="791" t="s">
        <v>430</v>
      </c>
      <c r="B458" s="136" t="s">
        <v>456</v>
      </c>
      <c r="C458" s="187" t="s">
        <v>457</v>
      </c>
      <c r="D458" s="208" t="s">
        <v>321</v>
      </c>
      <c r="E458" s="209">
        <v>1545541914.6666665</v>
      </c>
      <c r="F458" s="213">
        <v>1324998213</v>
      </c>
      <c r="G458" s="211" t="s">
        <v>715</v>
      </c>
      <c r="H458" s="113"/>
      <c r="I458" s="113"/>
      <c r="J458" s="113"/>
      <c r="K458" s="113"/>
      <c r="L458" s="113"/>
      <c r="M458" s="113"/>
      <c r="N458" s="113"/>
      <c r="O458" s="113"/>
      <c r="P458" s="113"/>
      <c r="Q458" s="113"/>
      <c r="R458" s="113"/>
      <c r="S458" s="113"/>
      <c r="T458" s="113"/>
      <c r="U458" s="113"/>
      <c r="V458" s="113"/>
      <c r="W458" s="113"/>
      <c r="X458" s="113"/>
      <c r="Y458" s="113"/>
      <c r="Z458" s="113"/>
      <c r="AA458" s="113"/>
      <c r="AB458" s="113"/>
    </row>
    <row r="459" spans="1:28" ht="15.75" customHeight="1" x14ac:dyDescent="0.25">
      <c r="A459" s="740"/>
      <c r="B459" s="143" t="s">
        <v>461</v>
      </c>
      <c r="C459" s="191" t="s">
        <v>462</v>
      </c>
      <c r="D459" s="191" t="s">
        <v>680</v>
      </c>
      <c r="E459" s="193">
        <v>331062099.33333331</v>
      </c>
      <c r="F459" s="209">
        <v>315404400</v>
      </c>
      <c r="G459" s="214" t="s">
        <v>711</v>
      </c>
      <c r="H459" s="113"/>
      <c r="I459" s="113"/>
      <c r="J459" s="113"/>
      <c r="K459" s="113"/>
      <c r="L459" s="113"/>
      <c r="M459" s="113"/>
      <c r="N459" s="113"/>
      <c r="O459" s="113"/>
      <c r="P459" s="113"/>
      <c r="Q459" s="113"/>
      <c r="R459" s="113"/>
      <c r="S459" s="113"/>
      <c r="T459" s="113"/>
      <c r="U459" s="113"/>
      <c r="V459" s="113"/>
      <c r="W459" s="113"/>
      <c r="X459" s="113"/>
      <c r="Y459" s="113"/>
      <c r="Z459" s="113"/>
      <c r="AA459" s="113"/>
      <c r="AB459" s="113"/>
    </row>
    <row r="460" spans="1:28" ht="15.75" customHeight="1" x14ac:dyDescent="0.25">
      <c r="A460" s="740"/>
      <c r="B460" s="143" t="s">
        <v>465</v>
      </c>
      <c r="C460" s="191" t="s">
        <v>466</v>
      </c>
      <c r="D460" s="31" t="s">
        <v>332</v>
      </c>
      <c r="E460" s="188">
        <v>171053167</v>
      </c>
      <c r="F460" s="209">
        <v>155223867</v>
      </c>
      <c r="G460" s="214" t="s">
        <v>712</v>
      </c>
      <c r="H460" s="113"/>
      <c r="I460" s="113"/>
      <c r="J460" s="113"/>
      <c r="K460" s="113"/>
      <c r="L460" s="113"/>
      <c r="M460" s="113"/>
      <c r="N460" s="113"/>
      <c r="O460" s="113"/>
      <c r="P460" s="113"/>
      <c r="Q460" s="113"/>
      <c r="R460" s="113"/>
      <c r="S460" s="113"/>
      <c r="T460" s="113"/>
      <c r="U460" s="113"/>
      <c r="V460" s="113"/>
      <c r="W460" s="113"/>
      <c r="X460" s="113"/>
      <c r="Y460" s="113"/>
      <c r="Z460" s="113"/>
      <c r="AA460" s="113"/>
      <c r="AB460" s="113"/>
    </row>
    <row r="461" spans="1:28" ht="15.75" customHeight="1" x14ac:dyDescent="0.25">
      <c r="A461" s="740"/>
      <c r="B461" s="143" t="s">
        <v>470</v>
      </c>
      <c r="C461" s="191" t="s">
        <v>471</v>
      </c>
      <c r="D461" s="31" t="s">
        <v>681</v>
      </c>
      <c r="E461" s="209">
        <v>3245619886</v>
      </c>
      <c r="F461" s="209">
        <v>2096273059</v>
      </c>
      <c r="G461" s="216" t="s">
        <v>723</v>
      </c>
      <c r="H461" s="113"/>
      <c r="I461" s="113"/>
      <c r="J461" s="113"/>
      <c r="K461" s="113"/>
      <c r="L461" s="113"/>
      <c r="M461" s="113"/>
      <c r="N461" s="113"/>
      <c r="O461" s="113"/>
      <c r="P461" s="113"/>
      <c r="Q461" s="113"/>
      <c r="R461" s="113"/>
      <c r="S461" s="113"/>
      <c r="T461" s="113"/>
      <c r="U461" s="113"/>
      <c r="V461" s="113"/>
      <c r="W461" s="113"/>
      <c r="X461" s="113"/>
      <c r="Y461" s="113"/>
      <c r="Z461" s="113"/>
      <c r="AA461" s="113"/>
      <c r="AB461" s="113"/>
    </row>
    <row r="462" spans="1:28" ht="15.75" customHeight="1" x14ac:dyDescent="0.25">
      <c r="A462" s="792"/>
      <c r="B462" s="151" t="s">
        <v>475</v>
      </c>
      <c r="C462" s="196" t="s">
        <v>476</v>
      </c>
      <c r="D462" s="210" t="s">
        <v>336</v>
      </c>
      <c r="E462" s="188">
        <v>186601933</v>
      </c>
      <c r="F462" s="188">
        <v>171954000</v>
      </c>
      <c r="G462" s="217" t="s">
        <v>717</v>
      </c>
      <c r="H462" s="113"/>
      <c r="I462" s="113"/>
      <c r="J462" s="113"/>
      <c r="K462" s="113"/>
      <c r="L462" s="113"/>
      <c r="M462" s="113"/>
      <c r="N462" s="113"/>
      <c r="O462" s="113"/>
      <c r="P462" s="113"/>
      <c r="Q462" s="113"/>
      <c r="R462" s="113"/>
      <c r="S462" s="113"/>
      <c r="T462" s="113"/>
      <c r="U462" s="113"/>
      <c r="V462" s="113"/>
      <c r="W462" s="113"/>
      <c r="X462" s="113"/>
      <c r="Y462" s="113"/>
      <c r="Z462" s="113"/>
      <c r="AA462" s="113"/>
      <c r="AB462" s="113"/>
    </row>
    <row r="463" spans="1:28" ht="15.75" customHeight="1" x14ac:dyDescent="0.25">
      <c r="A463" s="204"/>
      <c r="B463" s="113"/>
      <c r="C463" s="113"/>
      <c r="D463" s="113"/>
      <c r="E463" s="113"/>
      <c r="F463" s="113"/>
      <c r="G463" s="218"/>
      <c r="H463" s="113"/>
      <c r="I463" s="113"/>
      <c r="J463" s="113"/>
      <c r="K463" s="113"/>
      <c r="L463" s="113"/>
      <c r="M463" s="113"/>
      <c r="N463" s="113"/>
      <c r="O463" s="113"/>
      <c r="P463" s="113"/>
      <c r="Q463" s="113"/>
      <c r="R463" s="113"/>
      <c r="S463" s="113"/>
      <c r="T463" s="113"/>
      <c r="U463" s="113"/>
      <c r="V463" s="113"/>
      <c r="W463" s="113"/>
      <c r="X463" s="113"/>
      <c r="Y463" s="113"/>
      <c r="Z463" s="113"/>
      <c r="AA463" s="113"/>
      <c r="AB463" s="113"/>
    </row>
    <row r="464" spans="1:28" ht="30.75" customHeight="1" x14ac:dyDescent="0.3">
      <c r="A464" s="789" t="s">
        <v>724</v>
      </c>
      <c r="B464" s="592"/>
      <c r="C464" s="592"/>
      <c r="D464" s="592"/>
      <c r="E464" s="592"/>
      <c r="F464" s="592"/>
      <c r="G464" s="689"/>
      <c r="H464" s="113"/>
      <c r="I464" s="113"/>
      <c r="J464" s="113"/>
      <c r="K464" s="113"/>
      <c r="L464" s="113"/>
      <c r="M464" s="113"/>
      <c r="N464" s="113"/>
      <c r="O464" s="113"/>
      <c r="P464" s="113"/>
      <c r="Q464" s="113"/>
      <c r="R464" s="113"/>
      <c r="S464" s="113"/>
      <c r="T464" s="113"/>
      <c r="U464" s="113"/>
      <c r="V464" s="113"/>
      <c r="W464" s="113"/>
      <c r="X464" s="113"/>
      <c r="Y464" s="113"/>
      <c r="Z464" s="113"/>
      <c r="AA464" s="113"/>
      <c r="AB464" s="113"/>
    </row>
    <row r="465" spans="1:28" ht="43.5" customHeight="1" x14ac:dyDescent="0.25">
      <c r="A465" s="114" t="s">
        <v>28</v>
      </c>
      <c r="B465" s="78" t="s">
        <v>443</v>
      </c>
      <c r="C465" s="78" t="s">
        <v>444</v>
      </c>
      <c r="D465" s="78" t="s">
        <v>675</v>
      </c>
      <c r="E465" s="91" t="s">
        <v>725</v>
      </c>
      <c r="F465" s="91" t="s">
        <v>726</v>
      </c>
      <c r="G465" s="135" t="s">
        <v>678</v>
      </c>
      <c r="H465" s="113"/>
      <c r="I465" s="113"/>
      <c r="J465" s="113"/>
      <c r="K465" s="113"/>
      <c r="L465" s="113"/>
      <c r="M465" s="113"/>
      <c r="N465" s="113"/>
      <c r="O465" s="113"/>
      <c r="P465" s="113"/>
      <c r="Q465" s="113"/>
      <c r="R465" s="113"/>
      <c r="S465" s="113"/>
      <c r="T465" s="113"/>
      <c r="U465" s="113"/>
      <c r="V465" s="113"/>
      <c r="W465" s="113"/>
      <c r="X465" s="113"/>
      <c r="Y465" s="113"/>
      <c r="Z465" s="113"/>
      <c r="AA465" s="113"/>
      <c r="AB465" s="113"/>
    </row>
    <row r="466" spans="1:28" ht="66.75" customHeight="1" x14ac:dyDescent="0.25">
      <c r="A466" s="791" t="s">
        <v>432</v>
      </c>
      <c r="B466" s="136" t="s">
        <v>456</v>
      </c>
      <c r="C466" s="187" t="s">
        <v>457</v>
      </c>
      <c r="D466" s="219" t="s">
        <v>321</v>
      </c>
      <c r="E466" s="188">
        <v>1580170500</v>
      </c>
      <c r="F466" s="188">
        <v>0</v>
      </c>
      <c r="G466" s="217"/>
      <c r="H466" s="113"/>
      <c r="I466" s="113"/>
      <c r="J466" s="113"/>
      <c r="K466" s="113"/>
      <c r="L466" s="113"/>
      <c r="M466" s="113"/>
      <c r="N466" s="113"/>
      <c r="O466" s="113"/>
      <c r="P466" s="113"/>
      <c r="Q466" s="113"/>
      <c r="R466" s="113"/>
      <c r="S466" s="113"/>
      <c r="T466" s="113"/>
      <c r="U466" s="113"/>
      <c r="V466" s="113"/>
      <c r="W466" s="113"/>
      <c r="X466" s="113"/>
      <c r="Y466" s="113"/>
      <c r="Z466" s="113"/>
      <c r="AA466" s="113"/>
      <c r="AB466" s="113"/>
    </row>
    <row r="467" spans="1:28" ht="75.75" customHeight="1" x14ac:dyDescent="0.25">
      <c r="A467" s="740"/>
      <c r="B467" s="143" t="s">
        <v>461</v>
      </c>
      <c r="C467" s="191" t="s">
        <v>462</v>
      </c>
      <c r="D467" s="31" t="s">
        <v>680</v>
      </c>
      <c r="E467" s="188">
        <v>282381000</v>
      </c>
      <c r="F467" s="188">
        <v>0</v>
      </c>
      <c r="G467" s="217"/>
      <c r="H467" s="113"/>
      <c r="I467" s="113"/>
      <c r="J467" s="113"/>
      <c r="K467" s="113"/>
      <c r="L467" s="113"/>
      <c r="M467" s="113"/>
      <c r="N467" s="113"/>
      <c r="O467" s="113"/>
      <c r="P467" s="113"/>
      <c r="Q467" s="113"/>
      <c r="R467" s="113"/>
      <c r="S467" s="113"/>
      <c r="T467" s="113"/>
      <c r="U467" s="113"/>
      <c r="V467" s="113"/>
      <c r="W467" s="113"/>
      <c r="X467" s="113"/>
      <c r="Y467" s="113"/>
      <c r="Z467" s="113"/>
      <c r="AA467" s="113"/>
      <c r="AB467" s="113"/>
    </row>
    <row r="468" spans="1:28" ht="69" customHeight="1" x14ac:dyDescent="0.25">
      <c r="A468" s="740"/>
      <c r="B468" s="143" t="s">
        <v>465</v>
      </c>
      <c r="C468" s="191" t="s">
        <v>466</v>
      </c>
      <c r="D468" s="31" t="s">
        <v>332</v>
      </c>
      <c r="E468" s="188">
        <v>166980000</v>
      </c>
      <c r="F468" s="188">
        <v>0</v>
      </c>
      <c r="G468" s="217"/>
      <c r="H468" s="113"/>
      <c r="I468" s="113"/>
      <c r="J468" s="113"/>
      <c r="K468" s="113"/>
      <c r="L468" s="113"/>
      <c r="M468" s="113"/>
      <c r="N468" s="113"/>
      <c r="O468" s="113"/>
      <c r="P468" s="113"/>
      <c r="Q468" s="113"/>
      <c r="R468" s="113"/>
      <c r="S468" s="113"/>
      <c r="T468" s="113"/>
      <c r="U468" s="113"/>
      <c r="V468" s="113"/>
      <c r="W468" s="113"/>
      <c r="X468" s="113"/>
      <c r="Y468" s="113"/>
      <c r="Z468" s="113"/>
      <c r="AA468" s="113"/>
      <c r="AB468" s="113"/>
    </row>
    <row r="469" spans="1:28" ht="63.75" customHeight="1" x14ac:dyDescent="0.25">
      <c r="A469" s="740"/>
      <c r="B469" s="143" t="s">
        <v>470</v>
      </c>
      <c r="C469" s="191" t="s">
        <v>471</v>
      </c>
      <c r="D469" s="31" t="s">
        <v>681</v>
      </c>
      <c r="E469" s="188">
        <v>3855320500</v>
      </c>
      <c r="F469" s="188">
        <v>0</v>
      </c>
      <c r="G469" s="217"/>
      <c r="H469" s="113"/>
      <c r="I469" s="113"/>
      <c r="J469" s="113"/>
      <c r="K469" s="113"/>
      <c r="L469" s="113"/>
      <c r="M469" s="113"/>
      <c r="N469" s="113"/>
      <c r="O469" s="113"/>
      <c r="P469" s="113"/>
      <c r="Q469" s="113"/>
      <c r="R469" s="113"/>
      <c r="S469" s="113"/>
      <c r="T469" s="113"/>
      <c r="U469" s="113"/>
      <c r="V469" s="113"/>
      <c r="W469" s="113"/>
      <c r="X469" s="113"/>
      <c r="Y469" s="113"/>
      <c r="Z469" s="113"/>
      <c r="AA469" s="113"/>
      <c r="AB469" s="113"/>
    </row>
    <row r="470" spans="1:28" ht="61.5" customHeight="1" x14ac:dyDescent="0.25">
      <c r="A470" s="792"/>
      <c r="B470" s="151" t="s">
        <v>475</v>
      </c>
      <c r="C470" s="196" t="s">
        <v>476</v>
      </c>
      <c r="D470" s="210" t="s">
        <v>336</v>
      </c>
      <c r="E470" s="188">
        <v>115148000</v>
      </c>
      <c r="F470" s="188">
        <v>0</v>
      </c>
      <c r="G470" s="217"/>
      <c r="H470" s="113"/>
      <c r="I470" s="113"/>
      <c r="J470" s="113"/>
      <c r="K470" s="113"/>
      <c r="L470" s="113"/>
      <c r="M470" s="113"/>
      <c r="N470" s="113"/>
      <c r="O470" s="113"/>
      <c r="P470" s="113"/>
      <c r="Q470" s="113"/>
      <c r="R470" s="113"/>
      <c r="S470" s="113"/>
      <c r="T470" s="113"/>
      <c r="U470" s="113"/>
      <c r="V470" s="113"/>
      <c r="W470" s="113"/>
      <c r="X470" s="113"/>
      <c r="Y470" s="113"/>
      <c r="Z470" s="113"/>
      <c r="AA470" s="113"/>
      <c r="AB470" s="113"/>
    </row>
    <row r="471" spans="1:28" ht="83.25" customHeight="1" x14ac:dyDescent="0.25">
      <c r="A471" s="791" t="s">
        <v>434</v>
      </c>
      <c r="B471" s="136" t="s">
        <v>456</v>
      </c>
      <c r="C471" s="187" t="s">
        <v>457</v>
      </c>
      <c r="D471" s="219" t="s">
        <v>321</v>
      </c>
      <c r="E471" s="188">
        <v>1575104800</v>
      </c>
      <c r="F471" s="188">
        <v>0</v>
      </c>
      <c r="G471" s="217"/>
      <c r="H471" s="113"/>
      <c r="I471" s="113"/>
      <c r="J471" s="113"/>
      <c r="K471" s="113"/>
      <c r="L471" s="113"/>
      <c r="M471" s="113"/>
      <c r="N471" s="113"/>
      <c r="O471" s="113"/>
      <c r="P471" s="113"/>
      <c r="Q471" s="113"/>
      <c r="R471" s="113"/>
      <c r="S471" s="113"/>
      <c r="T471" s="113"/>
      <c r="U471" s="113"/>
      <c r="V471" s="113"/>
      <c r="W471" s="113"/>
      <c r="X471" s="113"/>
      <c r="Y471" s="113"/>
      <c r="Z471" s="113"/>
      <c r="AA471" s="113"/>
      <c r="AB471" s="113"/>
    </row>
    <row r="472" spans="1:28" ht="81.75" customHeight="1" x14ac:dyDescent="0.25">
      <c r="A472" s="740"/>
      <c r="B472" s="143" t="s">
        <v>461</v>
      </c>
      <c r="C472" s="191" t="s">
        <v>462</v>
      </c>
      <c r="D472" s="31" t="s">
        <v>680</v>
      </c>
      <c r="E472" s="188">
        <v>282317900</v>
      </c>
      <c r="F472" s="188">
        <v>0</v>
      </c>
      <c r="G472" s="217"/>
      <c r="H472" s="113"/>
      <c r="I472" s="113"/>
      <c r="J472" s="113"/>
      <c r="K472" s="113"/>
      <c r="L472" s="113"/>
      <c r="M472" s="113"/>
      <c r="N472" s="113"/>
      <c r="O472" s="113"/>
      <c r="P472" s="113"/>
      <c r="Q472" s="113"/>
      <c r="R472" s="113"/>
      <c r="S472" s="113"/>
      <c r="T472" s="113"/>
      <c r="U472" s="113"/>
      <c r="V472" s="113"/>
      <c r="W472" s="113"/>
      <c r="X472" s="113"/>
      <c r="Y472" s="113"/>
      <c r="Z472" s="113"/>
      <c r="AA472" s="113"/>
      <c r="AB472" s="113"/>
    </row>
    <row r="473" spans="1:28" ht="69.75" customHeight="1" x14ac:dyDescent="0.25">
      <c r="A473" s="740"/>
      <c r="B473" s="143" t="s">
        <v>465</v>
      </c>
      <c r="C473" s="191" t="s">
        <v>466</v>
      </c>
      <c r="D473" s="31" t="s">
        <v>332</v>
      </c>
      <c r="E473" s="188">
        <v>166980000</v>
      </c>
      <c r="F473" s="188">
        <v>0</v>
      </c>
      <c r="G473" s="217"/>
      <c r="H473" s="113"/>
      <c r="I473" s="113"/>
      <c r="J473" s="113"/>
      <c r="K473" s="113"/>
      <c r="L473" s="113"/>
      <c r="M473" s="113"/>
      <c r="N473" s="113"/>
      <c r="O473" s="113"/>
      <c r="P473" s="113"/>
      <c r="Q473" s="113"/>
      <c r="R473" s="113"/>
      <c r="S473" s="113"/>
      <c r="T473" s="113"/>
      <c r="U473" s="113"/>
      <c r="V473" s="113"/>
      <c r="W473" s="113"/>
      <c r="X473" s="113"/>
      <c r="Y473" s="113"/>
      <c r="Z473" s="113"/>
      <c r="AA473" s="113"/>
      <c r="AB473" s="113"/>
    </row>
    <row r="474" spans="1:28" ht="59.25" customHeight="1" x14ac:dyDescent="0.25">
      <c r="A474" s="740"/>
      <c r="B474" s="143" t="s">
        <v>470</v>
      </c>
      <c r="C474" s="191" t="s">
        <v>471</v>
      </c>
      <c r="D474" s="31" t="s">
        <v>681</v>
      </c>
      <c r="E474" s="188">
        <v>3860449300</v>
      </c>
      <c r="F474" s="188">
        <v>7663460</v>
      </c>
      <c r="G474" s="145" t="s">
        <v>727</v>
      </c>
      <c r="H474" s="113"/>
      <c r="I474" s="113"/>
      <c r="J474" s="113"/>
      <c r="K474" s="113"/>
      <c r="L474" s="113"/>
      <c r="M474" s="113"/>
      <c r="N474" s="113"/>
      <c r="O474" s="113"/>
      <c r="P474" s="113"/>
      <c r="Q474" s="113"/>
      <c r="R474" s="113"/>
      <c r="S474" s="113"/>
      <c r="T474" s="113"/>
      <c r="U474" s="113"/>
      <c r="V474" s="113"/>
      <c r="W474" s="113"/>
      <c r="X474" s="113"/>
      <c r="Y474" s="113"/>
      <c r="Z474" s="113"/>
      <c r="AA474" s="113"/>
      <c r="AB474" s="113"/>
    </row>
    <row r="475" spans="1:28" ht="78.75" customHeight="1" x14ac:dyDescent="0.25">
      <c r="A475" s="792"/>
      <c r="B475" s="151" t="s">
        <v>475</v>
      </c>
      <c r="C475" s="196" t="s">
        <v>476</v>
      </c>
      <c r="D475" s="210" t="s">
        <v>336</v>
      </c>
      <c r="E475" s="188">
        <v>115148000</v>
      </c>
      <c r="F475" s="188">
        <v>0</v>
      </c>
      <c r="G475" s="217"/>
      <c r="H475" s="113"/>
      <c r="I475" s="113"/>
      <c r="J475" s="113"/>
      <c r="K475" s="113"/>
      <c r="L475" s="113"/>
      <c r="M475" s="113"/>
      <c r="N475" s="113"/>
      <c r="O475" s="113"/>
      <c r="P475" s="113"/>
      <c r="Q475" s="113"/>
      <c r="R475" s="113"/>
      <c r="S475" s="113"/>
      <c r="T475" s="113"/>
      <c r="U475" s="113"/>
      <c r="V475" s="113"/>
      <c r="W475" s="113"/>
      <c r="X475" s="113"/>
      <c r="Y475" s="113"/>
      <c r="Z475" s="113"/>
      <c r="AA475" s="113"/>
      <c r="AB475" s="113"/>
    </row>
    <row r="476" spans="1:28" ht="72.75" customHeight="1" x14ac:dyDescent="0.25">
      <c r="A476" s="791" t="s">
        <v>435</v>
      </c>
      <c r="B476" s="136" t="s">
        <v>456</v>
      </c>
      <c r="C476" s="187" t="s">
        <v>457</v>
      </c>
      <c r="D476" s="219" t="s">
        <v>321</v>
      </c>
      <c r="E476" s="188">
        <v>1575104800</v>
      </c>
      <c r="F476" s="188">
        <v>22999933</v>
      </c>
      <c r="G476" s="191" t="s">
        <v>728</v>
      </c>
      <c r="H476" s="113"/>
      <c r="I476" s="113"/>
      <c r="J476" s="113"/>
      <c r="K476" s="113"/>
      <c r="L476" s="113"/>
      <c r="M476" s="113"/>
      <c r="N476" s="113"/>
      <c r="O476" s="113"/>
      <c r="P476" s="113"/>
      <c r="Q476" s="113"/>
      <c r="R476" s="113"/>
      <c r="S476" s="113"/>
      <c r="T476" s="113"/>
      <c r="U476" s="113"/>
      <c r="V476" s="113"/>
      <c r="W476" s="113"/>
      <c r="X476" s="113"/>
      <c r="Y476" s="113"/>
      <c r="Z476" s="113"/>
      <c r="AA476" s="113"/>
      <c r="AB476" s="113"/>
    </row>
    <row r="477" spans="1:28" ht="82.5" customHeight="1" x14ac:dyDescent="0.25">
      <c r="A477" s="740"/>
      <c r="B477" s="143" t="s">
        <v>461</v>
      </c>
      <c r="C477" s="191" t="s">
        <v>462</v>
      </c>
      <c r="D477" s="31" t="s">
        <v>680</v>
      </c>
      <c r="E477" s="188">
        <v>282317900</v>
      </c>
      <c r="F477" s="188">
        <v>5293633</v>
      </c>
      <c r="G477" s="191" t="s">
        <v>729</v>
      </c>
      <c r="H477" s="113"/>
      <c r="I477" s="113"/>
      <c r="J477" s="113"/>
      <c r="K477" s="113"/>
      <c r="L477" s="113"/>
      <c r="M477" s="113"/>
      <c r="N477" s="113"/>
      <c r="O477" s="113"/>
      <c r="P477" s="113"/>
      <c r="Q477" s="113"/>
      <c r="R477" s="113"/>
      <c r="S477" s="113"/>
      <c r="T477" s="113"/>
      <c r="U477" s="113"/>
      <c r="V477" s="113"/>
      <c r="W477" s="113"/>
      <c r="X477" s="113"/>
      <c r="Y477" s="113"/>
      <c r="Z477" s="113"/>
      <c r="AA477" s="113"/>
      <c r="AB477" s="113"/>
    </row>
    <row r="478" spans="1:28" ht="56.25" customHeight="1" x14ac:dyDescent="0.25">
      <c r="A478" s="740"/>
      <c r="B478" s="143" t="s">
        <v>465</v>
      </c>
      <c r="C478" s="191" t="s">
        <v>466</v>
      </c>
      <c r="D478" s="31" t="s">
        <v>332</v>
      </c>
      <c r="E478" s="188">
        <v>166980000</v>
      </c>
      <c r="F478" s="188">
        <v>3795000</v>
      </c>
      <c r="G478" s="191" t="s">
        <v>730</v>
      </c>
      <c r="H478" s="113"/>
      <c r="I478" s="113"/>
      <c r="J478" s="113"/>
      <c r="K478" s="113"/>
      <c r="L478" s="113"/>
      <c r="M478" s="113"/>
      <c r="N478" s="113"/>
      <c r="O478" s="113"/>
      <c r="P478" s="113"/>
      <c r="Q478" s="113"/>
      <c r="R478" s="113"/>
      <c r="S478" s="113"/>
      <c r="T478" s="113"/>
      <c r="U478" s="113"/>
      <c r="V478" s="113"/>
      <c r="W478" s="113"/>
      <c r="X478" s="113"/>
      <c r="Y478" s="113"/>
      <c r="Z478" s="113"/>
      <c r="AA478" s="113"/>
      <c r="AB478" s="113"/>
    </row>
    <row r="479" spans="1:28" ht="58.5" customHeight="1" x14ac:dyDescent="0.25">
      <c r="A479" s="740"/>
      <c r="B479" s="143" t="s">
        <v>470</v>
      </c>
      <c r="C479" s="191" t="s">
        <v>471</v>
      </c>
      <c r="D479" s="31" t="s">
        <v>681</v>
      </c>
      <c r="E479" s="188">
        <v>3860449300</v>
      </c>
      <c r="F479" s="188">
        <v>27375461</v>
      </c>
      <c r="G479" s="191" t="s">
        <v>731</v>
      </c>
      <c r="H479" s="113"/>
      <c r="I479" s="113"/>
      <c r="J479" s="113"/>
      <c r="K479" s="113"/>
      <c r="L479" s="113"/>
      <c r="M479" s="113"/>
      <c r="N479" s="113"/>
      <c r="O479" s="113"/>
      <c r="P479" s="113"/>
      <c r="Q479" s="113"/>
      <c r="R479" s="113"/>
      <c r="S479" s="113"/>
      <c r="T479" s="113"/>
      <c r="U479" s="113"/>
      <c r="V479" s="113"/>
      <c r="W479" s="113"/>
      <c r="X479" s="113"/>
      <c r="Y479" s="113"/>
      <c r="Z479" s="113"/>
      <c r="AA479" s="113"/>
      <c r="AB479" s="113"/>
    </row>
    <row r="480" spans="1:28" ht="84" customHeight="1" x14ac:dyDescent="0.25">
      <c r="A480" s="792"/>
      <c r="B480" s="151" t="s">
        <v>475</v>
      </c>
      <c r="C480" s="196" t="s">
        <v>476</v>
      </c>
      <c r="D480" s="210" t="s">
        <v>336</v>
      </c>
      <c r="E480" s="188">
        <v>115148000</v>
      </c>
      <c r="F480" s="188">
        <v>2093600</v>
      </c>
      <c r="G480" s="191" t="s">
        <v>732</v>
      </c>
      <c r="H480" s="113"/>
      <c r="I480" s="113"/>
      <c r="J480" s="113"/>
      <c r="K480" s="113"/>
      <c r="L480" s="113"/>
      <c r="M480" s="113"/>
      <c r="N480" s="113"/>
      <c r="O480" s="113"/>
      <c r="P480" s="113"/>
      <c r="Q480" s="113"/>
      <c r="R480" s="113"/>
      <c r="S480" s="113"/>
      <c r="T480" s="113"/>
      <c r="U480" s="113"/>
      <c r="V480" s="113"/>
      <c r="W480" s="113"/>
      <c r="X480" s="113"/>
      <c r="Y480" s="113"/>
      <c r="Z480" s="113"/>
      <c r="AA480" s="113"/>
      <c r="AB480" s="113"/>
    </row>
    <row r="481" spans="1:28" ht="59.25" customHeight="1" x14ac:dyDescent="0.25">
      <c r="A481" s="791" t="s">
        <v>436</v>
      </c>
      <c r="B481" s="136" t="s">
        <v>456</v>
      </c>
      <c r="C481" s="187" t="s">
        <v>457</v>
      </c>
      <c r="D481" s="219" t="s">
        <v>321</v>
      </c>
      <c r="E481" s="188">
        <v>1575104800</v>
      </c>
      <c r="F481" s="188">
        <v>176249863</v>
      </c>
      <c r="G481" s="191" t="s">
        <v>728</v>
      </c>
      <c r="H481" s="113"/>
      <c r="I481" s="113"/>
      <c r="J481" s="113"/>
      <c r="K481" s="113"/>
      <c r="L481" s="113"/>
      <c r="M481" s="113"/>
      <c r="N481" s="113"/>
      <c r="O481" s="113"/>
      <c r="P481" s="113"/>
      <c r="Q481" s="113"/>
      <c r="R481" s="113"/>
      <c r="S481" s="113"/>
      <c r="T481" s="113"/>
      <c r="U481" s="113"/>
      <c r="V481" s="113"/>
      <c r="W481" s="113"/>
      <c r="X481" s="113"/>
      <c r="Y481" s="113"/>
      <c r="Z481" s="113"/>
      <c r="AA481" s="113"/>
      <c r="AB481" s="113"/>
    </row>
    <row r="482" spans="1:28" ht="90.75" customHeight="1" x14ac:dyDescent="0.25">
      <c r="A482" s="740"/>
      <c r="B482" s="143" t="s">
        <v>461</v>
      </c>
      <c r="C482" s="191" t="s">
        <v>462</v>
      </c>
      <c r="D482" s="31" t="s">
        <v>680</v>
      </c>
      <c r="E482" s="188">
        <v>282317900</v>
      </c>
      <c r="F482" s="188">
        <v>25194633</v>
      </c>
      <c r="G482" s="191" t="s">
        <v>729</v>
      </c>
      <c r="H482" s="113"/>
      <c r="I482" s="113"/>
      <c r="J482" s="113"/>
      <c r="K482" s="113"/>
      <c r="L482" s="113"/>
      <c r="M482" s="113"/>
      <c r="N482" s="113"/>
      <c r="O482" s="113"/>
      <c r="P482" s="113"/>
      <c r="Q482" s="113"/>
      <c r="R482" s="113"/>
      <c r="S482" s="113"/>
      <c r="T482" s="113"/>
      <c r="U482" s="113"/>
      <c r="V482" s="113"/>
      <c r="W482" s="113"/>
      <c r="X482" s="113"/>
      <c r="Y482" s="113"/>
      <c r="Z482" s="113"/>
      <c r="AA482" s="113"/>
      <c r="AB482" s="113"/>
    </row>
    <row r="483" spans="1:28" ht="69" customHeight="1" x14ac:dyDescent="0.25">
      <c r="A483" s="740"/>
      <c r="B483" s="143" t="s">
        <v>465</v>
      </c>
      <c r="C483" s="191" t="s">
        <v>466</v>
      </c>
      <c r="D483" s="31" t="s">
        <v>332</v>
      </c>
      <c r="E483" s="188">
        <v>166980000</v>
      </c>
      <c r="F483" s="188">
        <v>11385000</v>
      </c>
      <c r="G483" s="191" t="s">
        <v>730</v>
      </c>
      <c r="H483" s="113"/>
      <c r="I483" s="113"/>
      <c r="J483" s="113"/>
      <c r="K483" s="113"/>
      <c r="L483" s="113"/>
      <c r="M483" s="113"/>
      <c r="N483" s="113"/>
      <c r="O483" s="113"/>
      <c r="P483" s="113"/>
      <c r="Q483" s="113"/>
      <c r="R483" s="113"/>
      <c r="S483" s="113"/>
      <c r="T483" s="113"/>
      <c r="U483" s="113"/>
      <c r="V483" s="113"/>
      <c r="W483" s="113"/>
      <c r="X483" s="113"/>
      <c r="Y483" s="113"/>
      <c r="Z483" s="113"/>
      <c r="AA483" s="113"/>
      <c r="AB483" s="113"/>
    </row>
    <row r="484" spans="1:28" ht="66.75" customHeight="1" x14ac:dyDescent="0.25">
      <c r="A484" s="740"/>
      <c r="B484" s="143" t="s">
        <v>470</v>
      </c>
      <c r="C484" s="191" t="s">
        <v>471</v>
      </c>
      <c r="D484" s="31" t="s">
        <v>681</v>
      </c>
      <c r="E484" s="188">
        <v>3860449300</v>
      </c>
      <c r="F484" s="188">
        <v>54134091</v>
      </c>
      <c r="G484" s="191" t="s">
        <v>733</v>
      </c>
      <c r="H484" s="113"/>
      <c r="I484" s="113"/>
      <c r="J484" s="113"/>
      <c r="K484" s="113"/>
      <c r="L484" s="113"/>
      <c r="M484" s="113"/>
      <c r="N484" s="113"/>
      <c r="O484" s="113"/>
      <c r="P484" s="113"/>
      <c r="Q484" s="113"/>
      <c r="R484" s="113"/>
      <c r="S484" s="113"/>
      <c r="T484" s="113"/>
      <c r="U484" s="113"/>
      <c r="V484" s="113"/>
      <c r="W484" s="113"/>
      <c r="X484" s="113"/>
      <c r="Y484" s="113"/>
      <c r="Z484" s="113"/>
      <c r="AA484" s="113"/>
      <c r="AB484" s="113"/>
    </row>
    <row r="485" spans="1:28" ht="70.5" customHeight="1" x14ac:dyDescent="0.25">
      <c r="A485" s="792"/>
      <c r="B485" s="151" t="s">
        <v>475</v>
      </c>
      <c r="C485" s="196" t="s">
        <v>476</v>
      </c>
      <c r="D485" s="210" t="s">
        <v>336</v>
      </c>
      <c r="E485" s="188">
        <v>115148000</v>
      </c>
      <c r="F485" s="188">
        <v>12561600</v>
      </c>
      <c r="G485" s="191" t="s">
        <v>732</v>
      </c>
      <c r="H485" s="113"/>
      <c r="I485" s="113"/>
      <c r="J485" s="113"/>
      <c r="K485" s="113"/>
      <c r="L485" s="113"/>
      <c r="M485" s="113"/>
      <c r="N485" s="113"/>
      <c r="O485" s="113"/>
      <c r="P485" s="113"/>
      <c r="Q485" s="113"/>
      <c r="R485" s="113"/>
      <c r="S485" s="113"/>
      <c r="T485" s="113"/>
      <c r="U485" s="113"/>
      <c r="V485" s="113"/>
      <c r="W485" s="113"/>
      <c r="X485" s="113"/>
      <c r="Y485" s="113"/>
      <c r="Z485" s="113"/>
      <c r="AA485" s="113"/>
      <c r="AB485" s="113"/>
    </row>
    <row r="486" spans="1:28" ht="88.5" customHeight="1" x14ac:dyDescent="0.25">
      <c r="A486" s="791" t="s">
        <v>437</v>
      </c>
      <c r="B486" s="136" t="s">
        <v>456</v>
      </c>
      <c r="C486" s="187" t="s">
        <v>457</v>
      </c>
      <c r="D486" s="219" t="s">
        <v>321</v>
      </c>
      <c r="E486" s="188">
        <v>1575104800</v>
      </c>
      <c r="F486" s="188">
        <v>301923961</v>
      </c>
      <c r="G486" s="191" t="s">
        <v>728</v>
      </c>
      <c r="H486" s="113"/>
      <c r="I486" s="113"/>
      <c r="J486" s="113"/>
      <c r="K486" s="113"/>
      <c r="L486" s="113"/>
      <c r="M486" s="113"/>
      <c r="N486" s="113"/>
      <c r="O486" s="113"/>
      <c r="P486" s="113"/>
      <c r="Q486" s="113"/>
      <c r="R486" s="113"/>
      <c r="S486" s="113"/>
      <c r="T486" s="113"/>
      <c r="U486" s="113"/>
      <c r="V486" s="113"/>
      <c r="W486" s="113"/>
      <c r="X486" s="113"/>
      <c r="Y486" s="113"/>
      <c r="Z486" s="113"/>
      <c r="AA486" s="113"/>
      <c r="AB486" s="113"/>
    </row>
    <row r="487" spans="1:28" ht="76.5" customHeight="1" x14ac:dyDescent="0.25">
      <c r="A487" s="740"/>
      <c r="B487" s="143" t="s">
        <v>461</v>
      </c>
      <c r="C487" s="191" t="s">
        <v>462</v>
      </c>
      <c r="D487" s="31" t="s">
        <v>680</v>
      </c>
      <c r="E487" s="188">
        <v>350126000</v>
      </c>
      <c r="F487" s="188">
        <v>51102633</v>
      </c>
      <c r="G487" s="191" t="s">
        <v>729</v>
      </c>
      <c r="H487" s="113"/>
      <c r="I487" s="113"/>
      <c r="J487" s="113"/>
      <c r="K487" s="113"/>
      <c r="L487" s="113"/>
      <c r="M487" s="113"/>
      <c r="N487" s="113"/>
      <c r="O487" s="113"/>
      <c r="P487" s="113"/>
      <c r="Q487" s="113"/>
      <c r="R487" s="113"/>
      <c r="S487" s="113"/>
      <c r="T487" s="113"/>
      <c r="U487" s="113"/>
      <c r="V487" s="113"/>
      <c r="W487" s="113"/>
      <c r="X487" s="113"/>
      <c r="Y487" s="113"/>
      <c r="Z487" s="113"/>
      <c r="AA487" s="113"/>
      <c r="AB487" s="113"/>
    </row>
    <row r="488" spans="1:28" ht="69.75" customHeight="1" x14ac:dyDescent="0.25">
      <c r="A488" s="740"/>
      <c r="B488" s="143" t="s">
        <v>465</v>
      </c>
      <c r="C488" s="191" t="s">
        <v>466</v>
      </c>
      <c r="D488" s="31" t="s">
        <v>332</v>
      </c>
      <c r="E488" s="188">
        <v>166980000</v>
      </c>
      <c r="F488" s="188">
        <v>18975000</v>
      </c>
      <c r="G488" s="191" t="s">
        <v>730</v>
      </c>
      <c r="H488" s="113"/>
      <c r="I488" s="113"/>
      <c r="J488" s="113"/>
      <c r="K488" s="113"/>
      <c r="L488" s="113"/>
      <c r="M488" s="113"/>
      <c r="N488" s="113"/>
      <c r="O488" s="113"/>
      <c r="P488" s="113"/>
      <c r="Q488" s="113"/>
      <c r="R488" s="113"/>
      <c r="S488" s="113"/>
      <c r="T488" s="113"/>
      <c r="U488" s="113"/>
      <c r="V488" s="113"/>
      <c r="W488" s="113"/>
      <c r="X488" s="113"/>
      <c r="Y488" s="113"/>
      <c r="Z488" s="113"/>
      <c r="AA488" s="113"/>
      <c r="AB488" s="113"/>
    </row>
    <row r="489" spans="1:28" ht="69" customHeight="1" x14ac:dyDescent="0.25">
      <c r="A489" s="740"/>
      <c r="B489" s="143" t="s">
        <v>470</v>
      </c>
      <c r="C489" s="191" t="s">
        <v>471</v>
      </c>
      <c r="D489" s="31" t="s">
        <v>681</v>
      </c>
      <c r="E489" s="188">
        <v>3704181200</v>
      </c>
      <c r="F489" s="188">
        <v>84098221</v>
      </c>
      <c r="G489" s="191" t="s">
        <v>733</v>
      </c>
      <c r="H489" s="113"/>
      <c r="I489" s="113"/>
      <c r="J489" s="113"/>
      <c r="K489" s="113"/>
      <c r="L489" s="113"/>
      <c r="M489" s="113"/>
      <c r="N489" s="113"/>
      <c r="O489" s="113"/>
      <c r="P489" s="113"/>
      <c r="Q489" s="113"/>
      <c r="R489" s="113"/>
      <c r="S489" s="113"/>
      <c r="T489" s="113"/>
      <c r="U489" s="113"/>
      <c r="V489" s="113"/>
      <c r="W489" s="113"/>
      <c r="X489" s="113"/>
      <c r="Y489" s="113"/>
      <c r="Z489" s="113"/>
      <c r="AA489" s="113"/>
      <c r="AB489" s="113"/>
    </row>
    <row r="490" spans="1:28" ht="76.5" customHeight="1" x14ac:dyDescent="0.25">
      <c r="A490" s="792"/>
      <c r="B490" s="151" t="s">
        <v>475</v>
      </c>
      <c r="C490" s="196" t="s">
        <v>476</v>
      </c>
      <c r="D490" s="210" t="s">
        <v>336</v>
      </c>
      <c r="E490" s="188">
        <v>203608000</v>
      </c>
      <c r="F490" s="188">
        <v>23029600</v>
      </c>
      <c r="G490" s="191" t="s">
        <v>732</v>
      </c>
      <c r="H490" s="113"/>
      <c r="I490" s="113"/>
      <c r="J490" s="113"/>
      <c r="K490" s="113"/>
      <c r="L490" s="113"/>
      <c r="M490" s="113"/>
      <c r="N490" s="113"/>
      <c r="O490" s="113"/>
      <c r="P490" s="113"/>
      <c r="Q490" s="113"/>
      <c r="R490" s="113"/>
      <c r="S490" s="113"/>
      <c r="T490" s="113"/>
      <c r="U490" s="113"/>
      <c r="V490" s="113"/>
      <c r="W490" s="113"/>
      <c r="X490" s="113"/>
      <c r="Y490" s="113"/>
      <c r="Z490" s="113"/>
      <c r="AA490" s="113"/>
      <c r="AB490" s="113"/>
    </row>
    <row r="491" spans="1:28" ht="98.25" customHeight="1" x14ac:dyDescent="0.25">
      <c r="A491" s="791" t="s">
        <v>438</v>
      </c>
      <c r="B491" s="136" t="s">
        <v>456</v>
      </c>
      <c r="C491" s="187" t="s">
        <v>457</v>
      </c>
      <c r="D491" s="219" t="s">
        <v>321</v>
      </c>
      <c r="E491" s="188">
        <v>1575104800</v>
      </c>
      <c r="F491" s="188">
        <v>432815926</v>
      </c>
      <c r="G491" s="191" t="s">
        <v>728</v>
      </c>
      <c r="H491" s="113"/>
      <c r="I491" s="113"/>
      <c r="J491" s="113"/>
      <c r="K491" s="113"/>
      <c r="L491" s="113"/>
      <c r="M491" s="113"/>
      <c r="N491" s="113"/>
      <c r="O491" s="113"/>
      <c r="P491" s="113"/>
      <c r="Q491" s="113"/>
      <c r="R491" s="113"/>
      <c r="S491" s="113"/>
      <c r="T491" s="113"/>
      <c r="U491" s="113"/>
      <c r="V491" s="113"/>
      <c r="W491" s="113"/>
      <c r="X491" s="113"/>
      <c r="Y491" s="113"/>
      <c r="Z491" s="113"/>
      <c r="AA491" s="113"/>
      <c r="AB491" s="113"/>
    </row>
    <row r="492" spans="1:28" ht="79.5" customHeight="1" x14ac:dyDescent="0.25">
      <c r="A492" s="740"/>
      <c r="B492" s="143" t="s">
        <v>461</v>
      </c>
      <c r="C492" s="191" t="s">
        <v>462</v>
      </c>
      <c r="D492" s="31" t="s">
        <v>680</v>
      </c>
      <c r="E492" s="188">
        <v>350126000</v>
      </c>
      <c r="F492" s="188">
        <v>77595633</v>
      </c>
      <c r="G492" s="191" t="s">
        <v>729</v>
      </c>
      <c r="H492" s="113"/>
      <c r="I492" s="113"/>
      <c r="J492" s="113"/>
      <c r="K492" s="113"/>
      <c r="L492" s="113"/>
      <c r="M492" s="113"/>
      <c r="N492" s="113"/>
      <c r="O492" s="113"/>
      <c r="P492" s="113"/>
      <c r="Q492" s="113"/>
      <c r="R492" s="113"/>
      <c r="S492" s="113"/>
      <c r="T492" s="113"/>
      <c r="U492" s="113"/>
      <c r="V492" s="113"/>
      <c r="W492" s="113"/>
      <c r="X492" s="113"/>
      <c r="Y492" s="113"/>
      <c r="Z492" s="113"/>
      <c r="AA492" s="113"/>
      <c r="AB492" s="113"/>
    </row>
    <row r="493" spans="1:28" ht="72" customHeight="1" x14ac:dyDescent="0.25">
      <c r="A493" s="740"/>
      <c r="B493" s="143" t="s">
        <v>465</v>
      </c>
      <c r="C493" s="191" t="s">
        <v>466</v>
      </c>
      <c r="D493" s="31" t="s">
        <v>332</v>
      </c>
      <c r="E493" s="188">
        <v>166980000</v>
      </c>
      <c r="F493" s="188">
        <v>26565000</v>
      </c>
      <c r="G493" s="191" t="s">
        <v>730</v>
      </c>
      <c r="H493" s="113"/>
      <c r="I493" s="113"/>
      <c r="J493" s="113"/>
      <c r="K493" s="113"/>
      <c r="L493" s="113"/>
      <c r="M493" s="113"/>
      <c r="N493" s="113"/>
      <c r="O493" s="113"/>
      <c r="P493" s="113"/>
      <c r="Q493" s="113"/>
      <c r="R493" s="113"/>
      <c r="S493" s="113"/>
      <c r="T493" s="113"/>
      <c r="U493" s="113"/>
      <c r="V493" s="113"/>
      <c r="W493" s="113"/>
      <c r="X493" s="113"/>
      <c r="Y493" s="113"/>
      <c r="Z493" s="113"/>
      <c r="AA493" s="113"/>
      <c r="AB493" s="113"/>
    </row>
    <row r="494" spans="1:28" ht="81" customHeight="1" x14ac:dyDescent="0.25">
      <c r="A494" s="740"/>
      <c r="B494" s="143" t="s">
        <v>470</v>
      </c>
      <c r="C494" s="191" t="s">
        <v>471</v>
      </c>
      <c r="D494" s="31" t="s">
        <v>681</v>
      </c>
      <c r="E494" s="188">
        <v>3704181200</v>
      </c>
      <c r="F494" s="188">
        <v>119142371</v>
      </c>
      <c r="G494" s="191" t="s">
        <v>733</v>
      </c>
      <c r="H494" s="113"/>
      <c r="I494" s="113"/>
      <c r="J494" s="113"/>
      <c r="K494" s="113"/>
      <c r="L494" s="113"/>
      <c r="M494" s="113"/>
      <c r="N494" s="113"/>
      <c r="O494" s="113"/>
      <c r="P494" s="113"/>
      <c r="Q494" s="113"/>
      <c r="R494" s="113"/>
      <c r="S494" s="113"/>
      <c r="T494" s="113"/>
      <c r="U494" s="113"/>
      <c r="V494" s="113"/>
      <c r="W494" s="113"/>
      <c r="X494" s="113"/>
      <c r="Y494" s="113"/>
      <c r="Z494" s="113"/>
      <c r="AA494" s="113"/>
      <c r="AB494" s="113"/>
    </row>
    <row r="495" spans="1:28" ht="92.25" customHeight="1" x14ac:dyDescent="0.25">
      <c r="A495" s="792"/>
      <c r="B495" s="151" t="s">
        <v>475</v>
      </c>
      <c r="C495" s="196" t="s">
        <v>476</v>
      </c>
      <c r="D495" s="210" t="s">
        <v>336</v>
      </c>
      <c r="E495" s="188">
        <v>203608000</v>
      </c>
      <c r="F495" s="188">
        <v>33497600</v>
      </c>
      <c r="G495" s="191" t="s">
        <v>732</v>
      </c>
      <c r="H495" s="113"/>
      <c r="I495" s="113"/>
      <c r="J495" s="113"/>
      <c r="K495" s="113"/>
      <c r="L495" s="113"/>
      <c r="M495" s="113"/>
      <c r="N495" s="113"/>
      <c r="O495" s="113"/>
      <c r="P495" s="113"/>
      <c r="Q495" s="113"/>
      <c r="R495" s="113"/>
      <c r="S495" s="113"/>
      <c r="T495" s="113"/>
      <c r="U495" s="113"/>
      <c r="V495" s="113"/>
      <c r="W495" s="113"/>
      <c r="X495" s="113"/>
      <c r="Y495" s="113"/>
      <c r="Z495" s="113"/>
      <c r="AA495" s="113"/>
      <c r="AB495" s="113"/>
    </row>
    <row r="496" spans="1:28" ht="111" customHeight="1" x14ac:dyDescent="0.25">
      <c r="A496" s="791" t="s">
        <v>425</v>
      </c>
      <c r="B496" s="136" t="s">
        <v>456</v>
      </c>
      <c r="C496" s="187" t="s">
        <v>457</v>
      </c>
      <c r="D496" s="219" t="s">
        <v>321</v>
      </c>
      <c r="E496" s="188">
        <v>1575104800</v>
      </c>
      <c r="F496" s="188">
        <v>573394424</v>
      </c>
      <c r="G496" s="191" t="s">
        <v>728</v>
      </c>
      <c r="H496" s="113"/>
      <c r="I496" s="113"/>
      <c r="J496" s="113"/>
      <c r="K496" s="113"/>
      <c r="L496" s="113"/>
      <c r="M496" s="113"/>
      <c r="N496" s="113"/>
      <c r="O496" s="113"/>
      <c r="P496" s="113"/>
      <c r="Q496" s="113"/>
      <c r="R496" s="113"/>
      <c r="S496" s="113"/>
      <c r="T496" s="113"/>
      <c r="U496" s="113"/>
      <c r="V496" s="113"/>
      <c r="W496" s="113"/>
      <c r="X496" s="113"/>
      <c r="Y496" s="113"/>
      <c r="Z496" s="113"/>
      <c r="AA496" s="113"/>
      <c r="AB496" s="113"/>
    </row>
    <row r="497" spans="1:28" ht="81" customHeight="1" x14ac:dyDescent="0.25">
      <c r="A497" s="740"/>
      <c r="B497" s="143" t="s">
        <v>461</v>
      </c>
      <c r="C497" s="191" t="s">
        <v>462</v>
      </c>
      <c r="D497" s="31" t="s">
        <v>680</v>
      </c>
      <c r="E497" s="188">
        <v>350126000</v>
      </c>
      <c r="F497" s="188">
        <v>104088633</v>
      </c>
      <c r="G497" s="191" t="s">
        <v>729</v>
      </c>
      <c r="H497" s="113"/>
      <c r="I497" s="113"/>
      <c r="J497" s="113"/>
      <c r="K497" s="113"/>
      <c r="L497" s="113"/>
      <c r="M497" s="113"/>
      <c r="N497" s="113"/>
      <c r="O497" s="113"/>
      <c r="P497" s="113"/>
      <c r="Q497" s="113"/>
      <c r="R497" s="113"/>
      <c r="S497" s="113"/>
      <c r="T497" s="113"/>
      <c r="U497" s="113"/>
      <c r="V497" s="113"/>
      <c r="W497" s="113"/>
      <c r="X497" s="113"/>
      <c r="Y497" s="113"/>
      <c r="Z497" s="113"/>
      <c r="AA497" s="113"/>
      <c r="AB497" s="113"/>
    </row>
    <row r="498" spans="1:28" ht="75.75" customHeight="1" x14ac:dyDescent="0.25">
      <c r="A498" s="740"/>
      <c r="B498" s="143" t="s">
        <v>465</v>
      </c>
      <c r="C498" s="191" t="s">
        <v>466</v>
      </c>
      <c r="D498" s="31" t="s">
        <v>332</v>
      </c>
      <c r="E498" s="188">
        <v>166980000</v>
      </c>
      <c r="F498" s="188">
        <v>46299000</v>
      </c>
      <c r="G498" s="191" t="s">
        <v>730</v>
      </c>
      <c r="H498" s="113"/>
      <c r="I498" s="113"/>
      <c r="J498" s="113"/>
      <c r="K498" s="113"/>
      <c r="L498" s="113"/>
      <c r="M498" s="113"/>
      <c r="N498" s="113"/>
      <c r="O498" s="113"/>
      <c r="P498" s="113"/>
      <c r="Q498" s="113"/>
      <c r="R498" s="113"/>
      <c r="S498" s="113"/>
      <c r="T498" s="113"/>
      <c r="U498" s="113"/>
      <c r="V498" s="113"/>
      <c r="W498" s="113"/>
      <c r="X498" s="113"/>
      <c r="Y498" s="113"/>
      <c r="Z498" s="113"/>
      <c r="AA498" s="113"/>
      <c r="AB498" s="113"/>
    </row>
    <row r="499" spans="1:28" ht="66" customHeight="1" x14ac:dyDescent="0.25">
      <c r="A499" s="740"/>
      <c r="B499" s="143" t="s">
        <v>470</v>
      </c>
      <c r="C499" s="191" t="s">
        <v>471</v>
      </c>
      <c r="D499" s="31" t="s">
        <v>681</v>
      </c>
      <c r="E499" s="188">
        <v>3704181200</v>
      </c>
      <c r="F499" s="188">
        <v>1136084619</v>
      </c>
      <c r="G499" s="191" t="s">
        <v>733</v>
      </c>
      <c r="H499" s="113"/>
      <c r="I499" s="113"/>
      <c r="J499" s="113"/>
      <c r="K499" s="113"/>
      <c r="L499" s="113"/>
      <c r="M499" s="113"/>
      <c r="N499" s="113"/>
      <c r="O499" s="113"/>
      <c r="P499" s="113"/>
      <c r="Q499" s="113"/>
      <c r="R499" s="113"/>
      <c r="S499" s="113"/>
      <c r="T499" s="113"/>
      <c r="U499" s="113"/>
      <c r="V499" s="113"/>
      <c r="W499" s="113"/>
      <c r="X499" s="113"/>
      <c r="Y499" s="113"/>
      <c r="Z499" s="113"/>
      <c r="AA499" s="113"/>
      <c r="AB499" s="113"/>
    </row>
    <row r="500" spans="1:28" ht="83.25" customHeight="1" x14ac:dyDescent="0.25">
      <c r="A500" s="792"/>
      <c r="B500" s="151" t="s">
        <v>475</v>
      </c>
      <c r="C500" s="196" t="s">
        <v>476</v>
      </c>
      <c r="D500" s="210" t="s">
        <v>336</v>
      </c>
      <c r="E500" s="188">
        <v>203608000</v>
      </c>
      <c r="F500" s="188">
        <v>43965600</v>
      </c>
      <c r="G500" s="191" t="s">
        <v>732</v>
      </c>
      <c r="H500" s="113"/>
      <c r="I500" s="113"/>
      <c r="J500" s="113"/>
      <c r="K500" s="113"/>
      <c r="L500" s="113"/>
      <c r="M500" s="113"/>
      <c r="N500" s="113"/>
      <c r="O500" s="113"/>
      <c r="P500" s="113"/>
      <c r="Q500" s="113"/>
      <c r="R500" s="113"/>
      <c r="S500" s="113"/>
      <c r="T500" s="113"/>
      <c r="U500" s="113"/>
      <c r="V500" s="113"/>
      <c r="W500" s="113"/>
      <c r="X500" s="113"/>
      <c r="Y500" s="113"/>
      <c r="Z500" s="113"/>
      <c r="AA500" s="113"/>
      <c r="AB500" s="113"/>
    </row>
    <row r="501" spans="1:28" ht="83.25" customHeight="1" x14ac:dyDescent="0.25">
      <c r="A501" s="791" t="s">
        <v>426</v>
      </c>
      <c r="B501" s="136" t="s">
        <v>456</v>
      </c>
      <c r="C501" s="187" t="s">
        <v>457</v>
      </c>
      <c r="D501" s="219" t="s">
        <v>321</v>
      </c>
      <c r="E501" s="188">
        <v>1575104800</v>
      </c>
      <c r="F501" s="188">
        <v>749958322</v>
      </c>
      <c r="G501" s="191" t="s">
        <v>728</v>
      </c>
      <c r="H501" s="113"/>
      <c r="I501" s="113"/>
      <c r="J501" s="113"/>
      <c r="K501" s="113"/>
      <c r="L501" s="113"/>
      <c r="M501" s="113"/>
      <c r="N501" s="113"/>
      <c r="O501" s="113"/>
      <c r="P501" s="113"/>
      <c r="Q501" s="113"/>
      <c r="R501" s="113"/>
      <c r="S501" s="113"/>
      <c r="T501" s="113"/>
      <c r="U501" s="113"/>
      <c r="V501" s="113"/>
      <c r="W501" s="113"/>
      <c r="X501" s="113"/>
      <c r="Y501" s="113"/>
      <c r="Z501" s="113"/>
      <c r="AA501" s="113"/>
      <c r="AB501" s="113"/>
    </row>
    <row r="502" spans="1:28" ht="93" customHeight="1" x14ac:dyDescent="0.25">
      <c r="A502" s="740"/>
      <c r="B502" s="143" t="s">
        <v>461</v>
      </c>
      <c r="C502" s="191" t="s">
        <v>462</v>
      </c>
      <c r="D502" s="31" t="s">
        <v>680</v>
      </c>
      <c r="E502" s="188">
        <v>350126000</v>
      </c>
      <c r="F502" s="188">
        <v>144478966</v>
      </c>
      <c r="G502" s="191" t="s">
        <v>729</v>
      </c>
      <c r="H502" s="113"/>
      <c r="I502" s="113"/>
      <c r="J502" s="113"/>
      <c r="K502" s="113"/>
      <c r="L502" s="113"/>
      <c r="M502" s="113"/>
      <c r="N502" s="113"/>
      <c r="O502" s="113"/>
      <c r="P502" s="113"/>
      <c r="Q502" s="113"/>
      <c r="R502" s="113"/>
      <c r="S502" s="113"/>
      <c r="T502" s="113"/>
      <c r="U502" s="113"/>
      <c r="V502" s="113"/>
      <c r="W502" s="113"/>
      <c r="X502" s="113"/>
      <c r="Y502" s="113"/>
      <c r="Z502" s="113"/>
      <c r="AA502" s="113"/>
      <c r="AB502" s="113"/>
    </row>
    <row r="503" spans="1:28" ht="64.5" customHeight="1" x14ac:dyDescent="0.25">
      <c r="A503" s="740"/>
      <c r="B503" s="143" t="s">
        <v>465</v>
      </c>
      <c r="C503" s="191" t="s">
        <v>466</v>
      </c>
      <c r="D503" s="31" t="s">
        <v>332</v>
      </c>
      <c r="E503" s="188">
        <v>166980000</v>
      </c>
      <c r="F503" s="188">
        <v>76659000</v>
      </c>
      <c r="G503" s="191" t="s">
        <v>730</v>
      </c>
      <c r="H503" s="113"/>
      <c r="I503" s="113"/>
      <c r="J503" s="113"/>
      <c r="K503" s="113"/>
      <c r="L503" s="113"/>
      <c r="M503" s="113"/>
      <c r="N503" s="113"/>
      <c r="O503" s="113"/>
      <c r="P503" s="113"/>
      <c r="Q503" s="113"/>
      <c r="R503" s="113"/>
      <c r="S503" s="113"/>
      <c r="T503" s="113"/>
      <c r="U503" s="113"/>
      <c r="V503" s="113"/>
      <c r="W503" s="113"/>
      <c r="X503" s="113"/>
      <c r="Y503" s="113"/>
      <c r="Z503" s="113"/>
      <c r="AA503" s="113"/>
      <c r="AB503" s="113"/>
    </row>
    <row r="504" spans="1:28" ht="72" customHeight="1" x14ac:dyDescent="0.25">
      <c r="A504" s="740"/>
      <c r="B504" s="143" t="s">
        <v>470</v>
      </c>
      <c r="C504" s="191" t="s">
        <v>471</v>
      </c>
      <c r="D504" s="31" t="s">
        <v>681</v>
      </c>
      <c r="E504" s="188">
        <v>3704181200</v>
      </c>
      <c r="F504" s="188">
        <v>1183626762</v>
      </c>
      <c r="G504" s="191" t="s">
        <v>733</v>
      </c>
      <c r="H504" s="113"/>
      <c r="I504" s="113"/>
      <c r="J504" s="113"/>
      <c r="K504" s="113"/>
      <c r="L504" s="113"/>
      <c r="M504" s="113"/>
      <c r="N504" s="113"/>
      <c r="O504" s="113"/>
      <c r="P504" s="113"/>
      <c r="Q504" s="113"/>
      <c r="R504" s="113"/>
      <c r="S504" s="113"/>
      <c r="T504" s="113"/>
      <c r="U504" s="113"/>
      <c r="V504" s="113"/>
      <c r="W504" s="113"/>
      <c r="X504" s="113"/>
      <c r="Y504" s="113"/>
      <c r="Z504" s="113"/>
      <c r="AA504" s="113"/>
      <c r="AB504" s="113"/>
    </row>
    <row r="505" spans="1:28" ht="75.75" customHeight="1" thickBot="1" x14ac:dyDescent="0.3">
      <c r="A505" s="792"/>
      <c r="B505" s="151" t="s">
        <v>475</v>
      </c>
      <c r="C505" s="196" t="s">
        <v>476</v>
      </c>
      <c r="D505" s="210" t="s">
        <v>336</v>
      </c>
      <c r="E505" s="188">
        <v>203608000</v>
      </c>
      <c r="F505" s="188">
        <v>64823800</v>
      </c>
      <c r="G505" s="191" t="s">
        <v>732</v>
      </c>
      <c r="H505" s="113"/>
      <c r="I505" s="113"/>
      <c r="J505" s="113"/>
      <c r="K505" s="113"/>
      <c r="L505" s="113"/>
      <c r="M505" s="113"/>
      <c r="N505" s="113"/>
      <c r="O505" s="113"/>
      <c r="P505" s="113"/>
      <c r="Q505" s="113"/>
      <c r="R505" s="113"/>
      <c r="S505" s="113"/>
      <c r="T505" s="113"/>
      <c r="U505" s="113"/>
      <c r="V505" s="113"/>
      <c r="W505" s="113"/>
      <c r="X505" s="113"/>
      <c r="Y505" s="113"/>
      <c r="Z505" s="113"/>
      <c r="AA505" s="113"/>
      <c r="AB505" s="113"/>
    </row>
    <row r="506" spans="1:28" ht="73.5" customHeight="1" x14ac:dyDescent="0.25">
      <c r="A506" s="791" t="s">
        <v>427</v>
      </c>
      <c r="B506" s="136" t="s">
        <v>456</v>
      </c>
      <c r="C506" s="187" t="s">
        <v>457</v>
      </c>
      <c r="D506" s="219" t="s">
        <v>321</v>
      </c>
      <c r="E506" s="188">
        <v>1575104800</v>
      </c>
      <c r="F506" s="188">
        <v>911288420</v>
      </c>
      <c r="G506" s="191" t="s">
        <v>728</v>
      </c>
      <c r="H506" s="113"/>
      <c r="I506" s="113"/>
      <c r="J506" s="113"/>
      <c r="K506" s="113"/>
      <c r="L506" s="113"/>
      <c r="M506" s="113"/>
      <c r="N506" s="113"/>
      <c r="O506" s="113"/>
      <c r="P506" s="113"/>
      <c r="Q506" s="113"/>
      <c r="R506" s="113"/>
      <c r="S506" s="113"/>
      <c r="T506" s="113"/>
      <c r="U506" s="113"/>
      <c r="V506" s="113"/>
      <c r="W506" s="113"/>
      <c r="X506" s="113"/>
      <c r="Y506" s="113"/>
      <c r="Z506" s="113"/>
      <c r="AA506" s="113"/>
      <c r="AB506" s="113"/>
    </row>
    <row r="507" spans="1:28" ht="78" customHeight="1" x14ac:dyDescent="0.25">
      <c r="A507" s="740"/>
      <c r="B507" s="143" t="s">
        <v>461</v>
      </c>
      <c r="C507" s="191" t="s">
        <v>462</v>
      </c>
      <c r="D507" s="31" t="s">
        <v>680</v>
      </c>
      <c r="E507" s="188">
        <v>350126000</v>
      </c>
      <c r="F507" s="188">
        <v>186269966</v>
      </c>
      <c r="G507" s="191" t="s">
        <v>729</v>
      </c>
      <c r="H507" s="113"/>
      <c r="I507" s="113"/>
      <c r="J507" s="113"/>
      <c r="K507" s="113"/>
      <c r="L507" s="113"/>
      <c r="M507" s="113"/>
      <c r="N507" s="113"/>
      <c r="O507" s="113"/>
      <c r="P507" s="113"/>
      <c r="Q507" s="113"/>
      <c r="R507" s="113"/>
      <c r="S507" s="113"/>
      <c r="T507" s="113"/>
      <c r="U507" s="113"/>
      <c r="V507" s="113"/>
      <c r="W507" s="113"/>
      <c r="X507" s="113"/>
      <c r="Y507" s="113"/>
      <c r="Z507" s="113"/>
      <c r="AA507" s="113"/>
      <c r="AB507" s="113"/>
    </row>
    <row r="508" spans="1:28" ht="63" customHeight="1" x14ac:dyDescent="0.25">
      <c r="A508" s="740"/>
      <c r="B508" s="143" t="s">
        <v>465</v>
      </c>
      <c r="C508" s="191" t="s">
        <v>466</v>
      </c>
      <c r="D508" s="31" t="s">
        <v>332</v>
      </c>
      <c r="E508" s="188">
        <v>166980000</v>
      </c>
      <c r="F508" s="188">
        <v>91839000</v>
      </c>
      <c r="G508" s="191" t="s">
        <v>730</v>
      </c>
      <c r="H508" s="113"/>
      <c r="I508" s="113"/>
      <c r="J508" s="113"/>
      <c r="K508" s="113"/>
      <c r="L508" s="113"/>
      <c r="M508" s="113"/>
      <c r="N508" s="113"/>
      <c r="O508" s="113"/>
      <c r="P508" s="113"/>
      <c r="Q508" s="113"/>
      <c r="R508" s="113"/>
      <c r="S508" s="113"/>
      <c r="T508" s="113"/>
      <c r="U508" s="113"/>
      <c r="V508" s="113"/>
      <c r="W508" s="113"/>
      <c r="X508" s="113"/>
      <c r="Y508" s="113"/>
      <c r="Z508" s="113"/>
      <c r="AA508" s="113"/>
      <c r="AB508" s="113"/>
    </row>
    <row r="509" spans="1:28" ht="87" customHeight="1" x14ac:dyDescent="0.25">
      <c r="A509" s="740"/>
      <c r="B509" s="143" t="s">
        <v>470</v>
      </c>
      <c r="C509" s="191" t="s">
        <v>471</v>
      </c>
      <c r="D509" s="31" t="s">
        <v>681</v>
      </c>
      <c r="E509" s="188">
        <v>3704181200</v>
      </c>
      <c r="F509" s="188">
        <v>1225252572</v>
      </c>
      <c r="G509" s="191" t="s">
        <v>733</v>
      </c>
      <c r="H509" s="113"/>
      <c r="I509" s="113"/>
      <c r="J509" s="113"/>
      <c r="K509" s="113"/>
      <c r="L509" s="113"/>
      <c r="M509" s="113"/>
      <c r="N509" s="113"/>
      <c r="O509" s="113"/>
      <c r="P509" s="113"/>
      <c r="Q509" s="113"/>
      <c r="R509" s="113"/>
      <c r="S509" s="113"/>
      <c r="T509" s="113"/>
      <c r="U509" s="113"/>
      <c r="V509" s="113"/>
      <c r="W509" s="113"/>
      <c r="X509" s="113"/>
      <c r="Y509" s="113"/>
      <c r="Z509" s="113"/>
      <c r="AA509" s="113"/>
      <c r="AB509" s="113"/>
    </row>
    <row r="510" spans="1:28" ht="79.5" customHeight="1" thickBot="1" x14ac:dyDescent="0.3">
      <c r="A510" s="792"/>
      <c r="B510" s="151" t="s">
        <v>475</v>
      </c>
      <c r="C510" s="196" t="s">
        <v>476</v>
      </c>
      <c r="D510" s="210" t="s">
        <v>336</v>
      </c>
      <c r="E510" s="188">
        <v>203608000</v>
      </c>
      <c r="F510" s="188">
        <v>91779800</v>
      </c>
      <c r="G510" s="191" t="s">
        <v>732</v>
      </c>
      <c r="H510" s="113"/>
      <c r="I510" s="113"/>
      <c r="J510" s="113"/>
      <c r="K510" s="113"/>
      <c r="L510" s="113"/>
      <c r="M510" s="113"/>
      <c r="N510" s="113"/>
      <c r="O510" s="113"/>
      <c r="P510" s="113"/>
      <c r="Q510" s="113"/>
      <c r="R510" s="113"/>
      <c r="S510" s="113"/>
      <c r="T510" s="113"/>
      <c r="U510" s="113"/>
      <c r="V510" s="113"/>
      <c r="W510" s="113"/>
      <c r="X510" s="113"/>
      <c r="Y510" s="113"/>
      <c r="Z510" s="113"/>
      <c r="AA510" s="113"/>
      <c r="AB510" s="113"/>
    </row>
    <row r="511" spans="1:28" ht="81" customHeight="1" x14ac:dyDescent="0.25">
      <c r="A511" s="791" t="s">
        <v>428</v>
      </c>
      <c r="B511" s="136" t="s">
        <v>456</v>
      </c>
      <c r="C511" s="187" t="s">
        <v>457</v>
      </c>
      <c r="D511" s="219" t="s">
        <v>321</v>
      </c>
      <c r="E511" s="188">
        <v>1760473080</v>
      </c>
      <c r="F511" s="188">
        <v>1069452518</v>
      </c>
      <c r="G511" s="191" t="s">
        <v>728</v>
      </c>
      <c r="H511" s="113"/>
      <c r="I511" s="113"/>
      <c r="J511" s="113"/>
      <c r="K511" s="113"/>
      <c r="L511" s="113"/>
      <c r="M511" s="113"/>
      <c r="N511" s="113"/>
      <c r="O511" s="113"/>
      <c r="P511" s="113"/>
      <c r="Q511" s="113"/>
      <c r="R511" s="113"/>
      <c r="S511" s="113"/>
      <c r="T511" s="113"/>
      <c r="U511" s="113"/>
      <c r="V511" s="113"/>
      <c r="W511" s="113"/>
      <c r="X511" s="113"/>
      <c r="Y511" s="113"/>
      <c r="Z511" s="113"/>
      <c r="AA511" s="113"/>
      <c r="AB511" s="113"/>
    </row>
    <row r="512" spans="1:28" ht="72" customHeight="1" x14ac:dyDescent="0.25">
      <c r="A512" s="740"/>
      <c r="B512" s="143" t="s">
        <v>461</v>
      </c>
      <c r="C512" s="191" t="s">
        <v>462</v>
      </c>
      <c r="D512" s="31" t="s">
        <v>680</v>
      </c>
      <c r="E512" s="188">
        <v>381221867</v>
      </c>
      <c r="F512" s="188">
        <v>228060966</v>
      </c>
      <c r="G512" s="191" t="s">
        <v>729</v>
      </c>
      <c r="H512" s="113"/>
      <c r="I512" s="113"/>
      <c r="J512" s="113"/>
      <c r="K512" s="113"/>
      <c r="L512" s="113"/>
      <c r="M512" s="113"/>
      <c r="N512" s="113"/>
      <c r="O512" s="113"/>
      <c r="P512" s="113"/>
      <c r="Q512" s="113"/>
      <c r="R512" s="113"/>
      <c r="S512" s="113"/>
      <c r="T512" s="113"/>
      <c r="U512" s="113"/>
      <c r="V512" s="113"/>
      <c r="W512" s="113"/>
      <c r="X512" s="113"/>
      <c r="Y512" s="113"/>
      <c r="Z512" s="113"/>
      <c r="AA512" s="113"/>
      <c r="AB512" s="113"/>
    </row>
    <row r="513" spans="1:28" ht="78" customHeight="1" x14ac:dyDescent="0.25">
      <c r="A513" s="740"/>
      <c r="B513" s="143" t="s">
        <v>465</v>
      </c>
      <c r="C513" s="191" t="s">
        <v>466</v>
      </c>
      <c r="D513" s="31" t="s">
        <v>332</v>
      </c>
      <c r="E513" s="188">
        <v>162679000</v>
      </c>
      <c r="F513" s="188">
        <v>107019000</v>
      </c>
      <c r="G513" s="191" t="s">
        <v>730</v>
      </c>
      <c r="H513" s="113"/>
      <c r="I513" s="113"/>
      <c r="J513" s="113"/>
      <c r="K513" s="113"/>
      <c r="L513" s="113"/>
      <c r="M513" s="113"/>
      <c r="N513" s="113"/>
      <c r="O513" s="113"/>
      <c r="P513" s="113"/>
      <c r="Q513" s="113"/>
      <c r="R513" s="113"/>
      <c r="S513" s="113"/>
      <c r="T513" s="113"/>
      <c r="U513" s="113"/>
      <c r="V513" s="113"/>
      <c r="W513" s="113"/>
      <c r="X513" s="113"/>
      <c r="Y513" s="113"/>
      <c r="Z513" s="113"/>
      <c r="AA513" s="113"/>
      <c r="AB513" s="113"/>
    </row>
    <row r="514" spans="1:28" ht="54.75" customHeight="1" x14ac:dyDescent="0.25">
      <c r="A514" s="740"/>
      <c r="B514" s="143" t="s">
        <v>470</v>
      </c>
      <c r="C514" s="191" t="s">
        <v>471</v>
      </c>
      <c r="D514" s="31" t="s">
        <v>681</v>
      </c>
      <c r="E514" s="188">
        <v>3418581186</v>
      </c>
      <c r="F514" s="188">
        <v>1420213344</v>
      </c>
      <c r="G514" s="191" t="s">
        <v>733</v>
      </c>
      <c r="H514" s="113"/>
      <c r="I514" s="113"/>
      <c r="J514" s="113"/>
      <c r="K514" s="113"/>
      <c r="L514" s="113"/>
      <c r="M514" s="113"/>
      <c r="N514" s="113"/>
      <c r="O514" s="113"/>
      <c r="P514" s="113"/>
      <c r="Q514" s="113"/>
      <c r="R514" s="113"/>
      <c r="S514" s="113"/>
      <c r="T514" s="113"/>
      <c r="U514" s="113"/>
      <c r="V514" s="113"/>
      <c r="W514" s="113"/>
      <c r="X514" s="113"/>
      <c r="Y514" s="113"/>
      <c r="Z514" s="113"/>
      <c r="AA514" s="113"/>
      <c r="AB514" s="113"/>
    </row>
    <row r="515" spans="1:28" ht="77.25" customHeight="1" thickBot="1" x14ac:dyDescent="0.3">
      <c r="A515" s="792"/>
      <c r="B515" s="151" t="s">
        <v>475</v>
      </c>
      <c r="C515" s="196" t="s">
        <v>476</v>
      </c>
      <c r="D515" s="210" t="s">
        <v>336</v>
      </c>
      <c r="E515" s="188">
        <v>217574467</v>
      </c>
      <c r="F515" s="260">
        <v>118735800</v>
      </c>
      <c r="G515" s="261" t="s">
        <v>732</v>
      </c>
      <c r="H515" s="113"/>
      <c r="I515" s="113"/>
      <c r="J515" s="113"/>
      <c r="K515" s="113"/>
      <c r="L515" s="113"/>
      <c r="M515" s="113"/>
      <c r="N515" s="113"/>
      <c r="O515" s="113"/>
      <c r="P515" s="113"/>
      <c r="Q515" s="113"/>
      <c r="R515" s="113"/>
      <c r="S515" s="113"/>
      <c r="T515" s="113"/>
      <c r="U515" s="113"/>
      <c r="V515" s="113"/>
      <c r="W515" s="113"/>
      <c r="X515" s="113"/>
      <c r="Y515" s="113"/>
      <c r="Z515" s="113"/>
      <c r="AA515" s="113"/>
      <c r="AB515" s="113"/>
    </row>
    <row r="516" spans="1:28" ht="105" x14ac:dyDescent="0.25">
      <c r="A516" s="791" t="s">
        <v>429</v>
      </c>
      <c r="B516" s="136" t="s">
        <v>456</v>
      </c>
      <c r="C516" s="187" t="s">
        <v>457</v>
      </c>
      <c r="D516" s="219" t="s">
        <v>321</v>
      </c>
      <c r="E516" s="259">
        <v>1783375441</v>
      </c>
      <c r="F516" s="262">
        <v>1242938616</v>
      </c>
      <c r="G516" s="263" t="s">
        <v>728</v>
      </c>
      <c r="H516" s="113"/>
      <c r="I516" s="113"/>
      <c r="J516" s="113"/>
      <c r="K516" s="113"/>
      <c r="L516" s="113"/>
      <c r="M516" s="113"/>
      <c r="N516" s="113"/>
      <c r="O516" s="113"/>
      <c r="P516" s="113"/>
      <c r="Q516" s="113"/>
      <c r="R516" s="113"/>
      <c r="S516" s="113"/>
      <c r="T516" s="113"/>
      <c r="U516" s="113"/>
      <c r="V516" s="113"/>
      <c r="W516" s="113"/>
      <c r="X516" s="113"/>
      <c r="Y516" s="113"/>
      <c r="Z516" s="113"/>
      <c r="AA516" s="113"/>
      <c r="AB516" s="113"/>
    </row>
    <row r="517" spans="1:28" ht="75" x14ac:dyDescent="0.25">
      <c r="A517" s="740"/>
      <c r="B517" s="143" t="s">
        <v>461</v>
      </c>
      <c r="C517" s="191" t="s">
        <v>462</v>
      </c>
      <c r="D517" s="31" t="s">
        <v>680</v>
      </c>
      <c r="E517" s="259">
        <v>386321200</v>
      </c>
      <c r="F517" s="262">
        <v>269851966</v>
      </c>
      <c r="G517" s="263" t="s">
        <v>729</v>
      </c>
      <c r="H517" s="113"/>
      <c r="I517" s="113"/>
      <c r="J517" s="113"/>
      <c r="K517" s="113"/>
      <c r="L517" s="113"/>
      <c r="M517" s="113"/>
      <c r="N517" s="113"/>
      <c r="O517" s="113"/>
      <c r="P517" s="113"/>
      <c r="Q517" s="113"/>
      <c r="R517" s="113"/>
      <c r="S517" s="113"/>
      <c r="T517" s="113"/>
      <c r="U517" s="113"/>
      <c r="V517" s="113"/>
      <c r="W517" s="113"/>
      <c r="X517" s="113"/>
      <c r="Y517" s="113"/>
      <c r="Z517" s="113"/>
      <c r="AA517" s="113"/>
      <c r="AB517" s="113"/>
    </row>
    <row r="518" spans="1:28" ht="60" x14ac:dyDescent="0.25">
      <c r="A518" s="740"/>
      <c r="B518" s="143" t="s">
        <v>465</v>
      </c>
      <c r="C518" s="191" t="s">
        <v>466</v>
      </c>
      <c r="D518" s="31" t="s">
        <v>332</v>
      </c>
      <c r="E518" s="259">
        <v>162679000</v>
      </c>
      <c r="F518" s="262">
        <v>122199000</v>
      </c>
      <c r="G518" s="263" t="s">
        <v>730</v>
      </c>
      <c r="H518" s="257"/>
      <c r="I518" s="113"/>
      <c r="J518" s="113"/>
      <c r="K518" s="113"/>
      <c r="L518" s="113"/>
      <c r="M518" s="113"/>
      <c r="N518" s="113"/>
      <c r="O518" s="113"/>
      <c r="P518" s="113"/>
      <c r="Q518" s="113"/>
      <c r="R518" s="113"/>
      <c r="S518" s="113"/>
      <c r="T518" s="113"/>
      <c r="U518" s="113"/>
      <c r="V518" s="113"/>
      <c r="W518" s="113"/>
      <c r="X518" s="113"/>
      <c r="Y518" s="113"/>
      <c r="Z518" s="113"/>
      <c r="AA518" s="113"/>
      <c r="AB518" s="113"/>
    </row>
    <row r="519" spans="1:28" ht="45" x14ac:dyDescent="0.25">
      <c r="A519" s="740"/>
      <c r="B519" s="143" t="s">
        <v>470</v>
      </c>
      <c r="C519" s="191" t="s">
        <v>471</v>
      </c>
      <c r="D519" s="31" t="s">
        <v>681</v>
      </c>
      <c r="E519" s="259">
        <v>3314183492</v>
      </c>
      <c r="F519" s="262">
        <v>1678314550</v>
      </c>
      <c r="G519" s="263" t="s">
        <v>733</v>
      </c>
      <c r="H519" s="258"/>
      <c r="I519" s="113"/>
      <c r="J519" s="113"/>
      <c r="K519" s="113"/>
      <c r="L519" s="113"/>
      <c r="M519" s="113"/>
      <c r="N519" s="113"/>
      <c r="O519" s="113"/>
      <c r="P519" s="113"/>
      <c r="Q519" s="113"/>
      <c r="R519" s="113"/>
      <c r="S519" s="113"/>
      <c r="T519" s="113"/>
      <c r="U519" s="113"/>
      <c r="V519" s="113"/>
      <c r="W519" s="113"/>
      <c r="X519" s="113"/>
      <c r="Y519" s="113"/>
      <c r="Z519" s="113"/>
      <c r="AA519" s="113"/>
      <c r="AB519" s="113"/>
    </row>
    <row r="520" spans="1:28" ht="60.75" thickBot="1" x14ac:dyDescent="0.3">
      <c r="A520" s="792"/>
      <c r="B520" s="151" t="s">
        <v>475</v>
      </c>
      <c r="C520" s="196" t="s">
        <v>476</v>
      </c>
      <c r="D520" s="210" t="s">
        <v>336</v>
      </c>
      <c r="E520" s="259">
        <v>223070467</v>
      </c>
      <c r="F520" s="262">
        <v>145691800</v>
      </c>
      <c r="G520" s="263" t="s">
        <v>732</v>
      </c>
      <c r="H520" s="258"/>
      <c r="I520" s="113"/>
      <c r="J520" s="113"/>
      <c r="K520" s="113"/>
      <c r="L520" s="113"/>
      <c r="M520" s="113"/>
      <c r="N520" s="113"/>
      <c r="O520" s="113"/>
      <c r="P520" s="113"/>
      <c r="Q520" s="113"/>
      <c r="R520" s="113"/>
      <c r="S520" s="113"/>
      <c r="T520" s="113"/>
      <c r="U520" s="113"/>
      <c r="V520" s="113"/>
      <c r="W520" s="113"/>
      <c r="X520" s="113"/>
      <c r="Y520" s="113"/>
      <c r="Z520" s="113"/>
      <c r="AA520" s="113"/>
      <c r="AB520" s="113"/>
    </row>
    <row r="521" spans="1:28" ht="105" x14ac:dyDescent="0.25">
      <c r="A521" s="791" t="s">
        <v>430</v>
      </c>
      <c r="B521" s="136" t="s">
        <v>456</v>
      </c>
      <c r="C521" s="187" t="s">
        <v>457</v>
      </c>
      <c r="D521" s="219" t="s">
        <v>321</v>
      </c>
      <c r="E521" s="259">
        <v>1783375441</v>
      </c>
      <c r="F521" s="262">
        <v>1474267414</v>
      </c>
      <c r="G521" s="263" t="s">
        <v>728</v>
      </c>
      <c r="H521" s="258"/>
      <c r="I521" s="113"/>
      <c r="J521" s="113"/>
      <c r="K521" s="113"/>
      <c r="L521" s="113"/>
      <c r="M521" s="113"/>
      <c r="N521" s="113"/>
      <c r="O521" s="113"/>
      <c r="P521" s="113"/>
      <c r="Q521" s="113"/>
      <c r="R521" s="113"/>
      <c r="S521" s="113"/>
      <c r="T521" s="113"/>
      <c r="U521" s="113"/>
      <c r="V521" s="113"/>
      <c r="W521" s="113"/>
      <c r="X521" s="113"/>
      <c r="Y521" s="113"/>
      <c r="Z521" s="113"/>
      <c r="AA521" s="113"/>
      <c r="AB521" s="113"/>
    </row>
    <row r="522" spans="1:28" ht="75" x14ac:dyDescent="0.25">
      <c r="A522" s="740"/>
      <c r="B522" s="143" t="s">
        <v>461</v>
      </c>
      <c r="C522" s="191" t="s">
        <v>462</v>
      </c>
      <c r="D522" s="31" t="s">
        <v>680</v>
      </c>
      <c r="E522" s="259">
        <v>386321200.00000006</v>
      </c>
      <c r="F522" s="262">
        <v>328274966</v>
      </c>
      <c r="G522" s="263" t="s">
        <v>729</v>
      </c>
      <c r="H522" s="258"/>
      <c r="I522" s="113"/>
      <c r="J522" s="113"/>
      <c r="K522" s="113"/>
      <c r="L522" s="113"/>
      <c r="M522" s="113"/>
      <c r="N522" s="113"/>
      <c r="O522" s="113"/>
      <c r="P522" s="113"/>
      <c r="Q522" s="113"/>
      <c r="R522" s="113"/>
      <c r="S522" s="113"/>
      <c r="T522" s="113"/>
      <c r="U522" s="113"/>
      <c r="V522" s="113"/>
      <c r="W522" s="113"/>
      <c r="X522" s="113"/>
      <c r="Y522" s="113"/>
      <c r="Z522" s="113"/>
      <c r="AA522" s="113"/>
      <c r="AB522" s="113"/>
    </row>
    <row r="523" spans="1:28" ht="60" x14ac:dyDescent="0.25">
      <c r="A523" s="740"/>
      <c r="B523" s="143" t="s">
        <v>465</v>
      </c>
      <c r="C523" s="191" t="s">
        <v>466</v>
      </c>
      <c r="D523" s="31" t="s">
        <v>332</v>
      </c>
      <c r="E523" s="259">
        <v>162679000</v>
      </c>
      <c r="F523" s="262">
        <v>144969000</v>
      </c>
      <c r="G523" s="263" t="s">
        <v>730</v>
      </c>
      <c r="H523" s="258"/>
      <c r="I523" s="113"/>
      <c r="J523" s="113"/>
      <c r="K523" s="113"/>
      <c r="L523" s="113"/>
      <c r="M523" s="113"/>
      <c r="N523" s="113"/>
      <c r="O523" s="113"/>
      <c r="P523" s="113"/>
      <c r="Q523" s="113"/>
      <c r="R523" s="113"/>
      <c r="S523" s="113"/>
      <c r="T523" s="113"/>
      <c r="U523" s="113"/>
      <c r="V523" s="113"/>
      <c r="W523" s="113"/>
      <c r="X523" s="113"/>
      <c r="Y523" s="113"/>
      <c r="Z523" s="113"/>
      <c r="AA523" s="113"/>
      <c r="AB523" s="113"/>
    </row>
    <row r="524" spans="1:28" ht="45" x14ac:dyDescent="0.25">
      <c r="A524" s="740"/>
      <c r="B524" s="143" t="s">
        <v>470</v>
      </c>
      <c r="C524" s="191" t="s">
        <v>471</v>
      </c>
      <c r="D524" s="31" t="s">
        <v>681</v>
      </c>
      <c r="E524" s="259">
        <v>3314183492</v>
      </c>
      <c r="F524" s="262">
        <v>1803869005</v>
      </c>
      <c r="G524" s="263" t="s">
        <v>733</v>
      </c>
      <c r="H524" s="258"/>
      <c r="I524" s="113"/>
      <c r="J524" s="113"/>
      <c r="K524" s="113"/>
      <c r="L524" s="113"/>
      <c r="M524" s="113"/>
      <c r="N524" s="113"/>
      <c r="O524" s="113"/>
      <c r="P524" s="113"/>
      <c r="Q524" s="113"/>
      <c r="R524" s="113"/>
      <c r="S524" s="113"/>
      <c r="T524" s="113"/>
      <c r="U524" s="113"/>
      <c r="V524" s="113"/>
      <c r="W524" s="113"/>
      <c r="X524" s="113"/>
      <c r="Y524" s="113"/>
      <c r="Z524" s="113"/>
      <c r="AA524" s="113"/>
      <c r="AB524" s="113"/>
    </row>
    <row r="525" spans="1:28" ht="60.75" thickBot="1" x14ac:dyDescent="0.3">
      <c r="A525" s="792"/>
      <c r="B525" s="151" t="s">
        <v>475</v>
      </c>
      <c r="C525" s="196" t="s">
        <v>476</v>
      </c>
      <c r="D525" s="210" t="s">
        <v>336</v>
      </c>
      <c r="E525" s="259">
        <v>223070467</v>
      </c>
      <c r="F525" s="262">
        <v>189135800</v>
      </c>
      <c r="G525" s="263" t="s">
        <v>732</v>
      </c>
      <c r="H525" s="258"/>
      <c r="I525" s="113"/>
      <c r="J525" s="113"/>
      <c r="K525" s="113"/>
      <c r="L525" s="113"/>
      <c r="M525" s="113"/>
      <c r="N525" s="113"/>
      <c r="O525" s="113"/>
      <c r="P525" s="113"/>
      <c r="Q525" s="113"/>
      <c r="R525" s="113"/>
      <c r="S525" s="113"/>
      <c r="T525" s="113"/>
      <c r="U525" s="113"/>
      <c r="V525" s="113"/>
      <c r="W525" s="113"/>
      <c r="X525" s="113"/>
      <c r="Y525" s="113"/>
      <c r="Z525" s="113"/>
      <c r="AA525" s="113"/>
      <c r="AB525" s="113"/>
    </row>
    <row r="526" spans="1:28" ht="15.75" customHeight="1" thickBot="1" x14ac:dyDescent="0.3">
      <c r="A526" s="204"/>
      <c r="B526" s="113"/>
      <c r="C526" s="113"/>
      <c r="D526" s="113"/>
      <c r="E526" s="113"/>
      <c r="F526" s="113"/>
      <c r="G526" s="218"/>
      <c r="H526" s="113"/>
      <c r="I526" s="113"/>
      <c r="J526" s="113"/>
      <c r="K526" s="113"/>
      <c r="L526" s="113"/>
      <c r="M526" s="113"/>
      <c r="N526" s="113"/>
      <c r="O526" s="113"/>
      <c r="P526" s="113"/>
      <c r="Q526" s="113"/>
      <c r="R526" s="113"/>
      <c r="S526" s="113"/>
      <c r="T526" s="113"/>
      <c r="U526" s="113"/>
      <c r="V526" s="113"/>
      <c r="W526" s="113"/>
      <c r="X526" s="113"/>
      <c r="Y526" s="113"/>
      <c r="Z526" s="113"/>
      <c r="AA526" s="113"/>
      <c r="AB526" s="113"/>
    </row>
    <row r="527" spans="1:28" ht="15.75" customHeight="1" x14ac:dyDescent="0.3">
      <c r="A527" s="789" t="s">
        <v>734</v>
      </c>
      <c r="B527" s="592"/>
      <c r="C527" s="592"/>
      <c r="D527" s="592"/>
      <c r="E527" s="592"/>
      <c r="F527" s="592"/>
      <c r="G527" s="689"/>
      <c r="H527" s="113"/>
      <c r="I527" s="113"/>
      <c r="J527" s="113"/>
      <c r="K527" s="113"/>
      <c r="L527" s="113"/>
      <c r="M527" s="113"/>
      <c r="N527" s="113"/>
      <c r="O527" s="113"/>
      <c r="P527" s="113"/>
      <c r="Q527" s="113"/>
      <c r="R527" s="113"/>
      <c r="S527" s="113"/>
      <c r="T527" s="113"/>
      <c r="U527" s="113"/>
      <c r="V527" s="113"/>
      <c r="W527" s="113"/>
      <c r="X527" s="113"/>
      <c r="Y527" s="113"/>
      <c r="Z527" s="113"/>
      <c r="AA527" s="113"/>
      <c r="AB527" s="113"/>
    </row>
    <row r="528" spans="1:28" ht="51.75" customHeight="1" thickBot="1" x14ac:dyDescent="0.3">
      <c r="A528" s="114" t="s">
        <v>29</v>
      </c>
      <c r="B528" s="78" t="s">
        <v>443</v>
      </c>
      <c r="C528" s="78" t="s">
        <v>444</v>
      </c>
      <c r="D528" s="78" t="s">
        <v>675</v>
      </c>
      <c r="E528" s="78" t="s">
        <v>735</v>
      </c>
      <c r="F528" s="78" t="s">
        <v>736</v>
      </c>
      <c r="G528" s="186" t="s">
        <v>678</v>
      </c>
      <c r="H528" s="113"/>
      <c r="I528" s="113"/>
      <c r="J528" s="113"/>
      <c r="K528" s="113"/>
      <c r="L528" s="113"/>
      <c r="M528" s="113"/>
      <c r="N528" s="113"/>
      <c r="O528" s="113"/>
      <c r="P528" s="113"/>
      <c r="Q528" s="113"/>
      <c r="R528" s="113"/>
      <c r="S528" s="113"/>
      <c r="T528" s="113"/>
      <c r="U528" s="113"/>
      <c r="V528" s="113"/>
      <c r="W528" s="113"/>
      <c r="X528" s="113"/>
      <c r="Y528" s="113"/>
      <c r="Z528" s="113"/>
      <c r="AA528" s="113"/>
      <c r="AB528" s="113"/>
    </row>
    <row r="529" spans="1:28" ht="120" x14ac:dyDescent="0.25">
      <c r="A529" s="791" t="s">
        <v>432</v>
      </c>
      <c r="B529" s="136" t="s">
        <v>456</v>
      </c>
      <c r="C529" s="187" t="s">
        <v>457</v>
      </c>
      <c r="D529" s="219" t="s">
        <v>321</v>
      </c>
      <c r="E529" s="259">
        <v>2298933000</v>
      </c>
      <c r="F529" s="262">
        <v>192733000</v>
      </c>
      <c r="G529" s="270" t="s">
        <v>850</v>
      </c>
      <c r="H529" s="113"/>
      <c r="I529" s="113"/>
      <c r="J529" s="113"/>
      <c r="K529" s="113"/>
      <c r="L529" s="113"/>
      <c r="M529" s="113"/>
      <c r="N529" s="113"/>
      <c r="O529" s="113"/>
      <c r="P529" s="113"/>
      <c r="Q529" s="113"/>
      <c r="R529" s="113"/>
      <c r="S529" s="113"/>
      <c r="T529" s="113"/>
      <c r="U529" s="113"/>
      <c r="V529" s="113"/>
      <c r="W529" s="113"/>
      <c r="X529" s="113"/>
      <c r="Y529" s="113"/>
      <c r="Z529" s="113"/>
      <c r="AA529" s="113"/>
      <c r="AB529" s="113"/>
    </row>
    <row r="530" spans="1:28" ht="75" x14ac:dyDescent="0.25">
      <c r="A530" s="740"/>
      <c r="B530" s="143" t="s">
        <v>461</v>
      </c>
      <c r="C530" s="191" t="s">
        <v>462</v>
      </c>
      <c r="D530" s="31" t="s">
        <v>680</v>
      </c>
      <c r="E530" s="259">
        <v>536822000</v>
      </c>
      <c r="F530" s="262">
        <v>33391000</v>
      </c>
      <c r="G530" s="263" t="s">
        <v>851</v>
      </c>
      <c r="H530" s="113"/>
      <c r="I530" s="113"/>
      <c r="J530" s="113"/>
      <c r="K530" s="113"/>
      <c r="L530" s="113"/>
      <c r="M530" s="113"/>
      <c r="N530" s="113"/>
      <c r="O530" s="113"/>
      <c r="P530" s="113"/>
      <c r="Q530" s="113"/>
      <c r="R530" s="113"/>
      <c r="S530" s="113"/>
      <c r="T530" s="113"/>
      <c r="U530" s="113"/>
      <c r="V530" s="113"/>
      <c r="W530" s="113"/>
      <c r="X530" s="113"/>
      <c r="Y530" s="113"/>
      <c r="Z530" s="113"/>
      <c r="AA530" s="113"/>
      <c r="AB530" s="113"/>
    </row>
    <row r="531" spans="1:28" ht="60" x14ac:dyDescent="0.25">
      <c r="A531" s="740"/>
      <c r="B531" s="143" t="s">
        <v>465</v>
      </c>
      <c r="C531" s="191" t="s">
        <v>466</v>
      </c>
      <c r="D531" s="31" t="s">
        <v>332</v>
      </c>
      <c r="E531" s="259">
        <v>184052000</v>
      </c>
      <c r="F531" s="262">
        <v>30360000</v>
      </c>
      <c r="G531" s="263" t="s">
        <v>852</v>
      </c>
      <c r="H531" s="113"/>
      <c r="I531" s="113"/>
      <c r="J531" s="113"/>
      <c r="K531" s="113"/>
      <c r="L531" s="113"/>
      <c r="M531" s="113"/>
      <c r="N531" s="113"/>
      <c r="O531" s="113"/>
      <c r="P531" s="113"/>
      <c r="Q531" s="113"/>
      <c r="R531" s="113"/>
      <c r="S531" s="113"/>
      <c r="T531" s="113"/>
      <c r="U531" s="113"/>
      <c r="V531" s="113"/>
      <c r="W531" s="113"/>
      <c r="X531" s="113"/>
      <c r="Y531" s="113"/>
      <c r="Z531" s="113"/>
      <c r="AA531" s="113"/>
      <c r="AB531" s="113"/>
    </row>
    <row r="532" spans="1:28" ht="45" x14ac:dyDescent="0.25">
      <c r="A532" s="740"/>
      <c r="B532" s="143" t="s">
        <v>470</v>
      </c>
      <c r="C532" s="191" t="s">
        <v>471</v>
      </c>
      <c r="D532" s="31" t="s">
        <v>681</v>
      </c>
      <c r="E532" s="259">
        <v>4214372000</v>
      </c>
      <c r="F532" s="262">
        <v>59590000</v>
      </c>
      <c r="G532" s="263" t="s">
        <v>853</v>
      </c>
      <c r="H532" s="113"/>
      <c r="I532" s="113"/>
      <c r="J532" s="113"/>
      <c r="K532" s="113"/>
      <c r="L532" s="113"/>
      <c r="M532" s="113"/>
      <c r="N532" s="113"/>
      <c r="O532" s="113"/>
      <c r="P532" s="113"/>
      <c r="Q532" s="113"/>
      <c r="R532" s="113"/>
      <c r="S532" s="113"/>
      <c r="T532" s="113"/>
      <c r="U532" s="113"/>
      <c r="V532" s="113"/>
      <c r="W532" s="113"/>
      <c r="X532" s="113"/>
      <c r="Y532" s="113"/>
      <c r="Z532" s="113"/>
      <c r="AA532" s="113"/>
      <c r="AB532" s="113"/>
    </row>
    <row r="533" spans="1:28" ht="60.75" thickBot="1" x14ac:dyDescent="0.3">
      <c r="A533" s="792"/>
      <c r="B533" s="151" t="s">
        <v>475</v>
      </c>
      <c r="C533" s="196" t="s">
        <v>476</v>
      </c>
      <c r="D533" s="210" t="s">
        <v>336</v>
      </c>
      <c r="E533" s="259">
        <v>326821000</v>
      </c>
      <c r="F533" s="262">
        <v>42789000</v>
      </c>
      <c r="G533" s="263" t="s">
        <v>854</v>
      </c>
      <c r="H533" s="113"/>
      <c r="I533" s="113"/>
      <c r="J533" s="113"/>
      <c r="K533" s="113"/>
      <c r="L533" s="113"/>
      <c r="M533" s="113"/>
      <c r="N533" s="113"/>
      <c r="O533" s="113"/>
      <c r="P533" s="113"/>
      <c r="Q533" s="113"/>
      <c r="R533" s="113"/>
      <c r="S533" s="113"/>
      <c r="T533" s="113"/>
      <c r="U533" s="113"/>
      <c r="V533" s="113"/>
      <c r="W533" s="113"/>
      <c r="X533" s="113"/>
      <c r="Y533" s="113"/>
      <c r="Z533" s="113"/>
      <c r="AA533" s="113"/>
      <c r="AB533" s="113"/>
    </row>
    <row r="534" spans="1:28" ht="120" x14ac:dyDescent="0.25">
      <c r="A534" s="791" t="s">
        <v>434</v>
      </c>
      <c r="B534" s="136" t="s">
        <v>456</v>
      </c>
      <c r="C534" s="187" t="s">
        <v>457</v>
      </c>
      <c r="D534" s="219" t="s">
        <v>321</v>
      </c>
      <c r="E534" s="259">
        <v>2298933000</v>
      </c>
      <c r="F534" s="262">
        <v>286231000</v>
      </c>
      <c r="G534" s="270" t="s">
        <v>850</v>
      </c>
      <c r="H534" s="113"/>
      <c r="I534" s="113"/>
      <c r="J534" s="113"/>
      <c r="K534" s="113"/>
      <c r="L534" s="113"/>
      <c r="M534" s="113"/>
      <c r="N534" s="113"/>
      <c r="O534" s="113"/>
      <c r="P534" s="113"/>
      <c r="Q534" s="113"/>
      <c r="R534" s="113"/>
      <c r="S534" s="113"/>
      <c r="T534" s="113"/>
      <c r="U534" s="113"/>
      <c r="V534" s="113"/>
      <c r="W534" s="113"/>
      <c r="X534" s="113"/>
      <c r="Y534" s="113"/>
      <c r="Z534" s="113"/>
      <c r="AA534" s="113"/>
      <c r="AB534" s="113"/>
    </row>
    <row r="535" spans="1:28" ht="75" x14ac:dyDescent="0.25">
      <c r="A535" s="740"/>
      <c r="B535" s="143" t="s">
        <v>461</v>
      </c>
      <c r="C535" s="191" t="s">
        <v>462</v>
      </c>
      <c r="D535" s="31" t="s">
        <v>680</v>
      </c>
      <c r="E535" s="259">
        <v>536822000</v>
      </c>
      <c r="F535" s="262">
        <v>117696000</v>
      </c>
      <c r="G535" s="263" t="s">
        <v>851</v>
      </c>
      <c r="H535" s="113"/>
      <c r="I535" s="113"/>
      <c r="J535" s="113"/>
      <c r="K535" s="113"/>
      <c r="L535" s="113"/>
      <c r="M535" s="113"/>
      <c r="N535" s="113"/>
      <c r="O535" s="113"/>
      <c r="P535" s="113"/>
      <c r="Q535" s="113"/>
      <c r="R535" s="113"/>
      <c r="S535" s="113"/>
      <c r="T535" s="113"/>
      <c r="U535" s="113"/>
      <c r="V535" s="113"/>
      <c r="W535" s="113"/>
      <c r="X535" s="113"/>
      <c r="Y535" s="113"/>
      <c r="Z535" s="113"/>
      <c r="AA535" s="113"/>
      <c r="AB535" s="113"/>
    </row>
    <row r="536" spans="1:28" ht="60" x14ac:dyDescent="0.25">
      <c r="A536" s="740"/>
      <c r="B536" s="143" t="s">
        <v>465</v>
      </c>
      <c r="C536" s="191" t="s">
        <v>466</v>
      </c>
      <c r="D536" s="31" t="s">
        <v>332</v>
      </c>
      <c r="E536" s="259">
        <v>184052000</v>
      </c>
      <c r="F536" s="262">
        <v>30360000</v>
      </c>
      <c r="G536" s="263" t="s">
        <v>852</v>
      </c>
      <c r="H536" s="113"/>
      <c r="I536" s="113"/>
      <c r="J536" s="113"/>
      <c r="K536" s="113"/>
      <c r="L536" s="113"/>
      <c r="M536" s="113"/>
      <c r="N536" s="113"/>
      <c r="O536" s="113"/>
      <c r="P536" s="113"/>
      <c r="Q536" s="113"/>
      <c r="R536" s="113"/>
      <c r="S536" s="113"/>
      <c r="T536" s="113"/>
      <c r="U536" s="113"/>
      <c r="V536" s="113"/>
      <c r="W536" s="113"/>
      <c r="X536" s="113"/>
      <c r="Y536" s="113"/>
      <c r="Z536" s="113"/>
      <c r="AA536" s="113"/>
      <c r="AB536" s="113"/>
    </row>
    <row r="537" spans="1:28" ht="45" x14ac:dyDescent="0.25">
      <c r="A537" s="740"/>
      <c r="B537" s="143" t="s">
        <v>470</v>
      </c>
      <c r="C537" s="191" t="s">
        <v>471</v>
      </c>
      <c r="D537" s="31" t="s">
        <v>681</v>
      </c>
      <c r="E537" s="259">
        <v>4214372000</v>
      </c>
      <c r="F537" s="262">
        <v>84513714</v>
      </c>
      <c r="G537" s="263" t="s">
        <v>853</v>
      </c>
      <c r="H537" s="113"/>
      <c r="I537" s="113"/>
      <c r="J537" s="113"/>
      <c r="K537" s="113"/>
      <c r="L537" s="113"/>
      <c r="M537" s="113"/>
      <c r="N537" s="113"/>
      <c r="O537" s="113"/>
      <c r="P537" s="113"/>
      <c r="Q537" s="113"/>
      <c r="R537" s="113"/>
      <c r="S537" s="113"/>
      <c r="T537" s="113"/>
      <c r="U537" s="113"/>
      <c r="V537" s="113"/>
      <c r="W537" s="113"/>
      <c r="X537" s="113"/>
      <c r="Y537" s="113"/>
      <c r="Z537" s="113"/>
      <c r="AA537" s="113"/>
      <c r="AB537" s="113"/>
    </row>
    <row r="538" spans="1:28" ht="60.75" thickBot="1" x14ac:dyDescent="0.3">
      <c r="A538" s="792"/>
      <c r="B538" s="151" t="s">
        <v>475</v>
      </c>
      <c r="C538" s="196" t="s">
        <v>476</v>
      </c>
      <c r="D538" s="210" t="s">
        <v>336</v>
      </c>
      <c r="E538" s="259">
        <v>326821000</v>
      </c>
      <c r="F538" s="262">
        <v>91824000</v>
      </c>
      <c r="G538" s="263" t="s">
        <v>854</v>
      </c>
      <c r="H538" s="113"/>
      <c r="I538" s="113"/>
      <c r="J538" s="113"/>
      <c r="K538" s="113"/>
      <c r="L538" s="113"/>
      <c r="M538" s="113"/>
      <c r="N538" s="113"/>
      <c r="O538" s="113"/>
      <c r="P538" s="113"/>
      <c r="Q538" s="113"/>
      <c r="R538" s="113"/>
      <c r="S538" s="113"/>
      <c r="T538" s="113"/>
      <c r="U538" s="113"/>
      <c r="V538" s="113"/>
      <c r="W538" s="113"/>
      <c r="X538" s="113"/>
      <c r="Y538" s="113"/>
      <c r="Z538" s="113"/>
      <c r="AA538" s="113"/>
      <c r="AB538" s="113"/>
    </row>
    <row r="539" spans="1:28" ht="84.75" customHeight="1" x14ac:dyDescent="0.25">
      <c r="A539" s="797" t="s">
        <v>435</v>
      </c>
      <c r="B539" s="304" t="s">
        <v>456</v>
      </c>
      <c r="C539" s="305" t="s">
        <v>457</v>
      </c>
      <c r="D539" s="306" t="s">
        <v>321</v>
      </c>
      <c r="E539" s="307">
        <v>2298933000</v>
      </c>
      <c r="F539" s="308">
        <v>94454334</v>
      </c>
      <c r="G539" s="309" t="s">
        <v>850</v>
      </c>
      <c r="H539" s="113"/>
      <c r="I539" s="113"/>
      <c r="J539" s="113"/>
      <c r="K539" s="113"/>
      <c r="L539" s="113"/>
      <c r="M539" s="113"/>
      <c r="N539" s="113"/>
      <c r="O539" s="113"/>
      <c r="P539" s="113"/>
      <c r="Q539" s="113"/>
      <c r="R539" s="113"/>
      <c r="S539" s="113"/>
      <c r="T539" s="113"/>
      <c r="U539" s="113"/>
      <c r="V539" s="113"/>
      <c r="W539" s="113"/>
      <c r="X539" s="113"/>
      <c r="Y539" s="113"/>
      <c r="Z539" s="113"/>
      <c r="AA539" s="113"/>
      <c r="AB539" s="113"/>
    </row>
    <row r="540" spans="1:28" ht="75" x14ac:dyDescent="0.25">
      <c r="A540" s="798"/>
      <c r="B540" s="310" t="s">
        <v>461</v>
      </c>
      <c r="C540" s="311" t="s">
        <v>462</v>
      </c>
      <c r="D540" s="312" t="s">
        <v>680</v>
      </c>
      <c r="E540" s="307">
        <v>536822000</v>
      </c>
      <c r="F540" s="308">
        <v>28665300</v>
      </c>
      <c r="G540" s="313" t="s">
        <v>851</v>
      </c>
      <c r="H540" s="113"/>
      <c r="I540" s="113"/>
      <c r="J540" s="113"/>
      <c r="K540" s="113"/>
      <c r="L540" s="113"/>
      <c r="M540" s="113"/>
      <c r="N540" s="113"/>
      <c r="O540" s="113"/>
      <c r="P540" s="113"/>
      <c r="Q540" s="113"/>
      <c r="R540" s="113"/>
      <c r="S540" s="113"/>
      <c r="T540" s="113"/>
      <c r="U540" s="113"/>
      <c r="V540" s="113"/>
      <c r="W540" s="113"/>
      <c r="X540" s="113"/>
      <c r="Y540" s="113"/>
      <c r="Z540" s="113"/>
      <c r="AA540" s="113"/>
      <c r="AB540" s="113"/>
    </row>
    <row r="541" spans="1:28" ht="60" x14ac:dyDescent="0.25">
      <c r="A541" s="798"/>
      <c r="B541" s="310" t="s">
        <v>465</v>
      </c>
      <c r="C541" s="311" t="s">
        <v>466</v>
      </c>
      <c r="D541" s="312" t="s">
        <v>332</v>
      </c>
      <c r="E541" s="307">
        <v>184052000</v>
      </c>
      <c r="F541" s="308">
        <v>20240000</v>
      </c>
      <c r="G541" s="313" t="s">
        <v>852</v>
      </c>
      <c r="H541" s="113"/>
      <c r="I541" s="113"/>
      <c r="J541" s="113"/>
      <c r="K541" s="113"/>
      <c r="L541" s="113"/>
      <c r="M541" s="113"/>
      <c r="N541" s="113"/>
      <c r="O541" s="113"/>
      <c r="P541" s="113"/>
      <c r="Q541" s="113"/>
      <c r="R541" s="113"/>
      <c r="S541" s="113"/>
      <c r="T541" s="113"/>
      <c r="U541" s="113"/>
      <c r="V541" s="113"/>
      <c r="W541" s="113"/>
      <c r="X541" s="113"/>
      <c r="Y541" s="113"/>
      <c r="Z541" s="113"/>
      <c r="AA541" s="113"/>
      <c r="AB541" s="113"/>
    </row>
    <row r="542" spans="1:28" ht="45" x14ac:dyDescent="0.25">
      <c r="A542" s="798"/>
      <c r="B542" s="310" t="s">
        <v>470</v>
      </c>
      <c r="C542" s="311" t="s">
        <v>471</v>
      </c>
      <c r="D542" s="312" t="s">
        <v>681</v>
      </c>
      <c r="E542" s="307">
        <v>4214372000</v>
      </c>
      <c r="F542" s="308">
        <v>45366179</v>
      </c>
      <c r="G542" s="313" t="s">
        <v>853</v>
      </c>
      <c r="H542" s="113"/>
      <c r="I542" s="113"/>
      <c r="J542" s="113"/>
      <c r="K542" s="113"/>
      <c r="L542" s="113"/>
      <c r="M542" s="113"/>
      <c r="N542" s="113"/>
      <c r="O542" s="113"/>
      <c r="P542" s="113"/>
      <c r="Q542" s="113"/>
      <c r="R542" s="113"/>
      <c r="S542" s="113"/>
      <c r="T542" s="113"/>
      <c r="U542" s="113"/>
      <c r="V542" s="113"/>
      <c r="W542" s="113"/>
      <c r="X542" s="113"/>
      <c r="Y542" s="113"/>
      <c r="Z542" s="113"/>
      <c r="AA542" s="113"/>
      <c r="AB542" s="113"/>
    </row>
    <row r="543" spans="1:28" ht="60.75" thickBot="1" x14ac:dyDescent="0.3">
      <c r="A543" s="799"/>
      <c r="B543" s="314" t="s">
        <v>475</v>
      </c>
      <c r="C543" s="315" t="s">
        <v>476</v>
      </c>
      <c r="D543" s="316" t="s">
        <v>336</v>
      </c>
      <c r="E543" s="307">
        <v>326821000</v>
      </c>
      <c r="F543" s="308">
        <v>28739133</v>
      </c>
      <c r="G543" s="313" t="s">
        <v>854</v>
      </c>
      <c r="H543" s="113"/>
      <c r="I543" s="113"/>
      <c r="J543" s="113"/>
      <c r="K543" s="113"/>
      <c r="L543" s="113"/>
      <c r="M543" s="113"/>
      <c r="N543" s="113"/>
      <c r="O543" s="113"/>
      <c r="P543" s="113"/>
      <c r="Q543" s="113"/>
      <c r="R543" s="113"/>
      <c r="S543" s="113"/>
      <c r="T543" s="113"/>
      <c r="U543" s="113"/>
      <c r="V543" s="113"/>
      <c r="W543" s="113"/>
      <c r="X543" s="113"/>
      <c r="Y543" s="113"/>
      <c r="Z543" s="113"/>
      <c r="AA543" s="113"/>
      <c r="AB543" s="113"/>
    </row>
    <row r="544" spans="1:28" ht="120" x14ac:dyDescent="0.25">
      <c r="A544" s="802" t="s">
        <v>436</v>
      </c>
      <c r="B544" s="336" t="s">
        <v>456</v>
      </c>
      <c r="C544" s="337" t="s">
        <v>457</v>
      </c>
      <c r="D544" s="338" t="s">
        <v>321</v>
      </c>
      <c r="E544" s="339">
        <v>2298933000</v>
      </c>
      <c r="F544" s="340">
        <v>174433601</v>
      </c>
      <c r="G544" s="341" t="s">
        <v>850</v>
      </c>
      <c r="H544" s="113"/>
      <c r="I544" s="113"/>
      <c r="J544" s="113"/>
      <c r="K544" s="113"/>
      <c r="L544" s="113"/>
      <c r="M544" s="113"/>
      <c r="N544" s="113"/>
      <c r="O544" s="113"/>
      <c r="P544" s="113"/>
      <c r="Q544" s="113"/>
      <c r="R544" s="113"/>
      <c r="S544" s="113"/>
      <c r="T544" s="113"/>
      <c r="U544" s="113"/>
      <c r="V544" s="113"/>
      <c r="W544" s="113"/>
      <c r="X544" s="113"/>
      <c r="Y544" s="113"/>
      <c r="Z544" s="113"/>
      <c r="AA544" s="113"/>
      <c r="AB544" s="113"/>
    </row>
    <row r="545" spans="1:28" ht="75" x14ac:dyDescent="0.25">
      <c r="A545" s="803"/>
      <c r="B545" s="342" t="s">
        <v>461</v>
      </c>
      <c r="C545" s="343" t="s">
        <v>462</v>
      </c>
      <c r="D545" s="344" t="s">
        <v>680</v>
      </c>
      <c r="E545" s="339">
        <v>536822000</v>
      </c>
      <c r="F545" s="340">
        <v>58020033</v>
      </c>
      <c r="G545" s="345" t="s">
        <v>851</v>
      </c>
      <c r="H545" s="113"/>
      <c r="I545" s="113"/>
      <c r="J545" s="113"/>
      <c r="K545" s="113"/>
      <c r="L545" s="113"/>
      <c r="M545" s="113"/>
      <c r="N545" s="113"/>
      <c r="O545" s="113"/>
      <c r="P545" s="113"/>
      <c r="Q545" s="113"/>
      <c r="R545" s="113"/>
      <c r="S545" s="113"/>
      <c r="T545" s="113"/>
      <c r="U545" s="113"/>
      <c r="V545" s="113"/>
      <c r="W545" s="113"/>
      <c r="X545" s="113"/>
      <c r="Y545" s="113"/>
      <c r="Z545" s="113"/>
      <c r="AA545" s="113"/>
      <c r="AB545" s="113"/>
    </row>
    <row r="546" spans="1:28" ht="60" x14ac:dyDescent="0.25">
      <c r="A546" s="803"/>
      <c r="B546" s="342" t="s">
        <v>465</v>
      </c>
      <c r="C546" s="343" t="s">
        <v>466</v>
      </c>
      <c r="D546" s="344" t="s">
        <v>332</v>
      </c>
      <c r="E546" s="339">
        <v>184052000</v>
      </c>
      <c r="F546" s="340">
        <v>30360000</v>
      </c>
      <c r="G546" s="345" t="s">
        <v>852</v>
      </c>
      <c r="H546" s="113"/>
      <c r="I546" s="113"/>
      <c r="J546" s="113"/>
      <c r="K546" s="113"/>
      <c r="L546" s="113"/>
      <c r="M546" s="113"/>
      <c r="N546" s="113"/>
      <c r="O546" s="113"/>
      <c r="P546" s="113"/>
      <c r="Q546" s="113"/>
      <c r="R546" s="113"/>
      <c r="S546" s="113"/>
      <c r="T546" s="113"/>
      <c r="U546" s="113"/>
      <c r="V546" s="113"/>
      <c r="W546" s="113"/>
      <c r="X546" s="113"/>
      <c r="Y546" s="113"/>
      <c r="Z546" s="113"/>
      <c r="AA546" s="113"/>
      <c r="AB546" s="113"/>
    </row>
    <row r="547" spans="1:28" ht="62.25" customHeight="1" x14ac:dyDescent="0.25">
      <c r="A547" s="803"/>
      <c r="B547" s="342" t="s">
        <v>470</v>
      </c>
      <c r="C547" s="343" t="s">
        <v>471</v>
      </c>
      <c r="D547" s="344" t="s">
        <v>681</v>
      </c>
      <c r="E547" s="339">
        <v>4214372000</v>
      </c>
      <c r="F547" s="340">
        <v>76706983</v>
      </c>
      <c r="G547" s="345" t="s">
        <v>853</v>
      </c>
      <c r="H547" s="113"/>
      <c r="I547" s="113"/>
      <c r="J547" s="113"/>
      <c r="K547" s="113"/>
      <c r="L547" s="113"/>
      <c r="M547" s="113"/>
      <c r="N547" s="113"/>
      <c r="O547" s="113"/>
      <c r="P547" s="113"/>
      <c r="Q547" s="113"/>
      <c r="R547" s="113"/>
      <c r="S547" s="113"/>
      <c r="T547" s="113"/>
      <c r="U547" s="113"/>
      <c r="V547" s="113"/>
      <c r="W547" s="113"/>
      <c r="X547" s="113"/>
      <c r="Y547" s="113"/>
      <c r="Z547" s="113"/>
      <c r="AA547" s="113"/>
      <c r="AB547" s="113"/>
    </row>
    <row r="548" spans="1:28" ht="78" customHeight="1" thickBot="1" x14ac:dyDescent="0.3">
      <c r="A548" s="804"/>
      <c r="B548" s="346" t="s">
        <v>475</v>
      </c>
      <c r="C548" s="347" t="s">
        <v>476</v>
      </c>
      <c r="D548" s="348" t="s">
        <v>336</v>
      </c>
      <c r="E548" s="339">
        <v>326821000</v>
      </c>
      <c r="F548" s="340">
        <v>52809133</v>
      </c>
      <c r="G548" s="345" t="s">
        <v>854</v>
      </c>
      <c r="H548" s="113"/>
      <c r="I548" s="113"/>
      <c r="J548" s="113"/>
      <c r="K548" s="113"/>
      <c r="L548" s="113"/>
      <c r="M548" s="113"/>
      <c r="N548" s="113"/>
      <c r="O548" s="113"/>
      <c r="P548" s="113"/>
      <c r="Q548" s="113"/>
      <c r="R548" s="113"/>
      <c r="S548" s="113"/>
      <c r="T548" s="113"/>
      <c r="U548" s="113"/>
      <c r="V548" s="113"/>
      <c r="W548" s="113"/>
      <c r="X548" s="113"/>
      <c r="Y548" s="113"/>
      <c r="Z548" s="113"/>
      <c r="AA548" s="113"/>
      <c r="AB548" s="113"/>
    </row>
    <row r="549" spans="1:28" ht="120" x14ac:dyDescent="0.25">
      <c r="A549" s="791" t="s">
        <v>437</v>
      </c>
      <c r="B549" s="336" t="s">
        <v>456</v>
      </c>
      <c r="C549" s="337" t="s">
        <v>457</v>
      </c>
      <c r="D549" s="338" t="s">
        <v>321</v>
      </c>
      <c r="E549" s="339">
        <v>2298933000</v>
      </c>
      <c r="F549" s="340">
        <v>249275433</v>
      </c>
      <c r="G549" s="341" t="s">
        <v>850</v>
      </c>
      <c r="H549" s="113"/>
      <c r="I549" s="113"/>
      <c r="J549" s="113"/>
      <c r="K549" s="113"/>
      <c r="L549" s="113"/>
      <c r="M549" s="113"/>
      <c r="N549" s="113"/>
      <c r="O549" s="113"/>
      <c r="P549" s="113"/>
      <c r="Q549" s="113"/>
      <c r="R549" s="113"/>
      <c r="S549" s="113"/>
      <c r="T549" s="113"/>
      <c r="U549" s="113"/>
      <c r="V549" s="113"/>
      <c r="W549" s="113"/>
      <c r="X549" s="113"/>
      <c r="Y549" s="113"/>
      <c r="Z549" s="113"/>
      <c r="AA549" s="113"/>
      <c r="AB549" s="113"/>
    </row>
    <row r="550" spans="1:28" ht="75" x14ac:dyDescent="0.25">
      <c r="A550" s="800"/>
      <c r="B550" s="342" t="s">
        <v>461</v>
      </c>
      <c r="C550" s="343" t="s">
        <v>462</v>
      </c>
      <c r="D550" s="344" t="s">
        <v>680</v>
      </c>
      <c r="E550" s="339">
        <v>536822000</v>
      </c>
      <c r="F550" s="340">
        <v>87465633</v>
      </c>
      <c r="G550" s="345" t="s">
        <v>851</v>
      </c>
      <c r="H550" s="113"/>
      <c r="I550" s="113"/>
      <c r="J550" s="113"/>
      <c r="K550" s="113"/>
      <c r="L550" s="113"/>
      <c r="M550" s="113"/>
      <c r="N550" s="113"/>
      <c r="O550" s="113"/>
      <c r="P550" s="113"/>
      <c r="Q550" s="113"/>
      <c r="R550" s="113"/>
      <c r="S550" s="113"/>
      <c r="T550" s="113"/>
      <c r="U550" s="113"/>
      <c r="V550" s="113"/>
      <c r="W550" s="113"/>
      <c r="X550" s="113"/>
      <c r="Y550" s="113"/>
      <c r="Z550" s="113"/>
      <c r="AA550" s="113"/>
      <c r="AB550" s="113"/>
    </row>
    <row r="551" spans="1:28" ht="60" x14ac:dyDescent="0.25">
      <c r="A551" s="800"/>
      <c r="B551" s="342" t="s">
        <v>465</v>
      </c>
      <c r="C551" s="343" t="s">
        <v>466</v>
      </c>
      <c r="D551" s="344" t="s">
        <v>332</v>
      </c>
      <c r="E551" s="339">
        <v>184052000</v>
      </c>
      <c r="F551" s="340">
        <v>35590400</v>
      </c>
      <c r="G551" s="345" t="s">
        <v>852</v>
      </c>
      <c r="H551" s="113"/>
      <c r="I551" s="113"/>
      <c r="J551" s="113"/>
      <c r="K551" s="113"/>
      <c r="L551" s="113"/>
      <c r="M551" s="113"/>
      <c r="N551" s="113"/>
      <c r="O551" s="113"/>
      <c r="P551" s="113"/>
      <c r="Q551" s="113"/>
      <c r="R551" s="113"/>
      <c r="S551" s="113"/>
      <c r="T551" s="113"/>
      <c r="U551" s="113"/>
      <c r="V551" s="113"/>
      <c r="W551" s="113"/>
      <c r="X551" s="113"/>
      <c r="Y551" s="113"/>
      <c r="Z551" s="113"/>
      <c r="AA551" s="113"/>
      <c r="AB551" s="113"/>
    </row>
    <row r="552" spans="1:28" ht="61.5" customHeight="1" x14ac:dyDescent="0.25">
      <c r="A552" s="800"/>
      <c r="B552" s="342" t="s">
        <v>470</v>
      </c>
      <c r="C552" s="343" t="s">
        <v>471</v>
      </c>
      <c r="D552" s="344" t="s">
        <v>681</v>
      </c>
      <c r="E552" s="339">
        <v>4214372000</v>
      </c>
      <c r="F552" s="340">
        <v>98280301</v>
      </c>
      <c r="G552" s="345" t="s">
        <v>853</v>
      </c>
      <c r="H552" s="113"/>
      <c r="I552" s="113"/>
      <c r="J552" s="113"/>
      <c r="K552" s="113"/>
      <c r="L552" s="113"/>
      <c r="M552" s="113"/>
      <c r="N552" s="113"/>
      <c r="O552" s="113"/>
      <c r="P552" s="113"/>
      <c r="Q552" s="113"/>
      <c r="R552" s="113"/>
      <c r="S552" s="113"/>
      <c r="T552" s="113"/>
      <c r="U552" s="113"/>
      <c r="V552" s="113"/>
      <c r="W552" s="113"/>
      <c r="X552" s="113"/>
      <c r="Y552" s="113"/>
      <c r="Z552" s="113"/>
      <c r="AA552" s="113"/>
      <c r="AB552" s="113"/>
    </row>
    <row r="553" spans="1:28" ht="69" customHeight="1" thickBot="1" x14ac:dyDescent="0.3">
      <c r="A553" s="801"/>
      <c r="B553" s="346" t="s">
        <v>475</v>
      </c>
      <c r="C553" s="347" t="s">
        <v>476</v>
      </c>
      <c r="D553" s="348" t="s">
        <v>336</v>
      </c>
      <c r="E553" s="339">
        <v>326821000</v>
      </c>
      <c r="F553" s="340">
        <v>73230000</v>
      </c>
      <c r="G553" s="345" t="s">
        <v>854</v>
      </c>
      <c r="H553" s="113"/>
      <c r="I553" s="113"/>
      <c r="J553" s="113"/>
      <c r="K553" s="113"/>
      <c r="L553" s="113"/>
      <c r="M553" s="113"/>
      <c r="N553" s="113"/>
      <c r="O553" s="113"/>
      <c r="P553" s="113"/>
      <c r="Q553" s="113"/>
      <c r="R553" s="113"/>
      <c r="S553" s="113"/>
      <c r="T553" s="113"/>
      <c r="U553" s="113"/>
      <c r="V553" s="113"/>
      <c r="W553" s="113"/>
      <c r="X553" s="113"/>
      <c r="Y553" s="113"/>
      <c r="Z553" s="113"/>
      <c r="AA553" s="113"/>
      <c r="AB553" s="113"/>
    </row>
    <row r="554" spans="1:28" ht="15.75" hidden="1" customHeight="1" x14ac:dyDescent="0.25">
      <c r="A554" s="220" t="s">
        <v>425</v>
      </c>
      <c r="B554" s="221"/>
      <c r="C554" s="221"/>
      <c r="D554" s="221"/>
      <c r="E554" s="221"/>
      <c r="F554" s="221"/>
      <c r="G554" s="222"/>
      <c r="H554" s="113"/>
      <c r="I554" s="113"/>
      <c r="J554" s="113"/>
      <c r="K554" s="113"/>
      <c r="L554" s="113"/>
      <c r="M554" s="113"/>
      <c r="N554" s="113"/>
      <c r="O554" s="113"/>
      <c r="P554" s="113"/>
      <c r="Q554" s="113"/>
      <c r="R554" s="113"/>
      <c r="S554" s="113"/>
      <c r="T554" s="113"/>
      <c r="U554" s="113"/>
      <c r="V554" s="113"/>
      <c r="W554" s="113"/>
      <c r="X554" s="113"/>
      <c r="Y554" s="113"/>
      <c r="Z554" s="113"/>
      <c r="AA554" s="113"/>
      <c r="AB554" s="113"/>
    </row>
    <row r="555" spans="1:28" ht="15.75" hidden="1" customHeight="1" x14ac:dyDescent="0.25">
      <c r="A555" s="126" t="s">
        <v>426</v>
      </c>
      <c r="B555" s="118"/>
      <c r="C555" s="118"/>
      <c r="D555" s="118"/>
      <c r="E555" s="118"/>
      <c r="F555" s="118"/>
      <c r="G555" s="133"/>
      <c r="H555" s="113"/>
      <c r="I555" s="113"/>
      <c r="J555" s="113"/>
      <c r="K555" s="113"/>
      <c r="L555" s="113"/>
      <c r="M555" s="113"/>
      <c r="N555" s="113"/>
      <c r="O555" s="113"/>
      <c r="P555" s="113"/>
      <c r="Q555" s="113"/>
      <c r="R555" s="113"/>
      <c r="S555" s="113"/>
      <c r="T555" s="113"/>
      <c r="U555" s="113"/>
      <c r="V555" s="113"/>
      <c r="W555" s="113"/>
      <c r="X555" s="113"/>
      <c r="Y555" s="113"/>
      <c r="Z555" s="113"/>
      <c r="AA555" s="113"/>
      <c r="AB555" s="113"/>
    </row>
    <row r="556" spans="1:28" ht="15.75" hidden="1" customHeight="1" x14ac:dyDescent="0.25">
      <c r="A556" s="126" t="s">
        <v>427</v>
      </c>
      <c r="B556" s="118"/>
      <c r="C556" s="118"/>
      <c r="D556" s="118"/>
      <c r="E556" s="118"/>
      <c r="F556" s="118"/>
      <c r="G556" s="133"/>
      <c r="H556" s="113"/>
      <c r="I556" s="113"/>
      <c r="J556" s="113"/>
      <c r="K556" s="113"/>
      <c r="L556" s="113"/>
      <c r="M556" s="113"/>
      <c r="N556" s="113"/>
      <c r="O556" s="113"/>
      <c r="P556" s="113"/>
      <c r="Q556" s="113"/>
      <c r="R556" s="113"/>
      <c r="S556" s="113"/>
      <c r="T556" s="113"/>
      <c r="U556" s="113"/>
      <c r="V556" s="113"/>
      <c r="W556" s="113"/>
      <c r="X556" s="113"/>
      <c r="Y556" s="113"/>
      <c r="Z556" s="113"/>
      <c r="AA556" s="113"/>
      <c r="AB556" s="113"/>
    </row>
    <row r="557" spans="1:28" ht="15.75" hidden="1" customHeight="1" x14ac:dyDescent="0.25">
      <c r="A557" s="126" t="s">
        <v>428</v>
      </c>
      <c r="B557" s="118"/>
      <c r="C557" s="118"/>
      <c r="D557" s="118"/>
      <c r="E557" s="118"/>
      <c r="F557" s="118"/>
      <c r="G557" s="133"/>
      <c r="H557" s="113"/>
      <c r="I557" s="113"/>
      <c r="J557" s="113"/>
      <c r="K557" s="113"/>
      <c r="L557" s="113"/>
      <c r="M557" s="113"/>
      <c r="N557" s="113"/>
      <c r="O557" s="113"/>
      <c r="P557" s="113"/>
      <c r="Q557" s="113"/>
      <c r="R557" s="113"/>
      <c r="S557" s="113"/>
      <c r="T557" s="113"/>
      <c r="U557" s="113"/>
      <c r="V557" s="113"/>
      <c r="W557" s="113"/>
      <c r="X557" s="113"/>
      <c r="Y557" s="113"/>
      <c r="Z557" s="113"/>
      <c r="AA557" s="113"/>
      <c r="AB557" s="113"/>
    </row>
    <row r="558" spans="1:28" ht="15.75" hidden="1" customHeight="1" x14ac:dyDescent="0.25">
      <c r="A558" s="126" t="s">
        <v>429</v>
      </c>
      <c r="B558" s="118"/>
      <c r="C558" s="118"/>
      <c r="D558" s="118"/>
      <c r="E558" s="118"/>
      <c r="F558" s="118"/>
      <c r="G558" s="133"/>
      <c r="H558" s="113"/>
      <c r="I558" s="113"/>
      <c r="J558" s="113"/>
      <c r="K558" s="113"/>
      <c r="L558" s="113"/>
      <c r="M558" s="113"/>
      <c r="N558" s="113"/>
      <c r="O558" s="113"/>
      <c r="P558" s="113"/>
      <c r="Q558" s="113"/>
      <c r="R558" s="113"/>
      <c r="S558" s="113"/>
      <c r="T558" s="113"/>
      <c r="U558" s="113"/>
      <c r="V558" s="113"/>
      <c r="W558" s="113"/>
      <c r="X558" s="113"/>
      <c r="Y558" s="113"/>
      <c r="Z558" s="113"/>
      <c r="AA558" s="113"/>
      <c r="AB558" s="113"/>
    </row>
    <row r="559" spans="1:28" ht="15.75" hidden="1" customHeight="1" thickBot="1" x14ac:dyDescent="0.3">
      <c r="A559" s="129" t="s">
        <v>430</v>
      </c>
      <c r="B559" s="123"/>
      <c r="C559" s="123"/>
      <c r="D559" s="123"/>
      <c r="E559" s="123"/>
      <c r="F559" s="123"/>
      <c r="G559" s="184"/>
      <c r="H559" s="113"/>
      <c r="I559" s="113"/>
      <c r="J559" s="113"/>
      <c r="K559" s="113"/>
      <c r="L559" s="113"/>
      <c r="M559" s="113"/>
      <c r="N559" s="113"/>
      <c r="O559" s="113"/>
      <c r="P559" s="113"/>
      <c r="Q559" s="113"/>
      <c r="R559" s="113"/>
      <c r="S559" s="113"/>
      <c r="T559" s="113"/>
      <c r="U559" s="113"/>
      <c r="V559" s="113"/>
      <c r="W559" s="113"/>
      <c r="X559" s="113"/>
      <c r="Y559" s="113"/>
      <c r="Z559" s="113"/>
      <c r="AA559" s="113"/>
      <c r="AB559" s="113"/>
    </row>
    <row r="560" spans="1:28" ht="15.75" customHeight="1" thickBot="1" x14ac:dyDescent="0.3">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row>
    <row r="561" spans="1:28" ht="24.75" customHeight="1" x14ac:dyDescent="0.3">
      <c r="A561" s="789" t="s">
        <v>737</v>
      </c>
      <c r="B561" s="592"/>
      <c r="C561" s="592"/>
      <c r="D561" s="592"/>
      <c r="E561" s="592"/>
      <c r="F561" s="592"/>
      <c r="G561" s="592"/>
      <c r="H561" s="689"/>
      <c r="I561" s="113"/>
      <c r="J561" s="113"/>
      <c r="K561" s="113"/>
      <c r="L561" s="113"/>
      <c r="M561" s="113"/>
      <c r="N561" s="113"/>
      <c r="O561" s="113"/>
      <c r="P561" s="113"/>
      <c r="Q561" s="113"/>
      <c r="R561" s="113"/>
      <c r="S561" s="113"/>
      <c r="T561" s="113"/>
      <c r="U561" s="113"/>
      <c r="V561" s="113"/>
      <c r="W561" s="113"/>
      <c r="X561" s="113"/>
      <c r="Y561" s="113"/>
      <c r="Z561" s="113"/>
      <c r="AA561" s="113"/>
      <c r="AB561" s="113"/>
    </row>
    <row r="562" spans="1:28" ht="46.5" customHeight="1" x14ac:dyDescent="0.25">
      <c r="A562" s="134" t="s">
        <v>25</v>
      </c>
      <c r="B562" s="91" t="s">
        <v>738</v>
      </c>
      <c r="C562" s="223" t="s">
        <v>446</v>
      </c>
      <c r="D562" s="223" t="s">
        <v>447</v>
      </c>
      <c r="E562" s="223" t="s">
        <v>739</v>
      </c>
      <c r="F562" s="223" t="s">
        <v>740</v>
      </c>
      <c r="G562" s="223" t="s">
        <v>741</v>
      </c>
      <c r="H562" s="135" t="s">
        <v>678</v>
      </c>
      <c r="I562" s="113"/>
      <c r="J562" s="113"/>
      <c r="K562" s="113"/>
      <c r="L562" s="113"/>
      <c r="M562" s="113"/>
      <c r="N562" s="113"/>
      <c r="O562" s="113"/>
      <c r="P562" s="113"/>
      <c r="Q562" s="113"/>
      <c r="R562" s="113"/>
      <c r="S562" s="113"/>
      <c r="T562" s="113"/>
      <c r="U562" s="113"/>
      <c r="V562" s="113"/>
      <c r="W562" s="113"/>
      <c r="X562" s="113"/>
      <c r="Y562" s="113"/>
      <c r="Z562" s="113"/>
      <c r="AA562" s="113"/>
      <c r="AB562" s="113"/>
    </row>
    <row r="563" spans="1:28" ht="87" customHeight="1" x14ac:dyDescent="0.25">
      <c r="A563" s="793" t="s">
        <v>425</v>
      </c>
      <c r="B563" s="138" t="s">
        <v>742</v>
      </c>
      <c r="C563" s="138" t="s">
        <v>743</v>
      </c>
      <c r="D563" s="224">
        <v>20</v>
      </c>
      <c r="E563" s="138">
        <v>6</v>
      </c>
      <c r="F563" s="225">
        <v>1</v>
      </c>
      <c r="G563" s="226">
        <f t="shared" ref="G563:G592" si="12">F563/E563</f>
        <v>0.16666666666666666</v>
      </c>
      <c r="H563" s="142" t="s">
        <v>744</v>
      </c>
    </row>
    <row r="564" spans="1:28" ht="84" customHeight="1" x14ac:dyDescent="0.25">
      <c r="A564" s="578"/>
      <c r="B564" s="145" t="s">
        <v>745</v>
      </c>
      <c r="C564" s="145" t="s">
        <v>743</v>
      </c>
      <c r="D564" s="227">
        <v>20</v>
      </c>
      <c r="E564" s="145">
        <v>6</v>
      </c>
      <c r="F564" s="228">
        <v>1</v>
      </c>
      <c r="G564" s="229">
        <f t="shared" si="12"/>
        <v>0.16666666666666666</v>
      </c>
      <c r="H564" s="230" t="s">
        <v>746</v>
      </c>
    </row>
    <row r="565" spans="1:28" ht="96.75" customHeight="1" x14ac:dyDescent="0.25">
      <c r="A565" s="578"/>
      <c r="B565" s="145" t="s">
        <v>747</v>
      </c>
      <c r="C565" s="145" t="s">
        <v>743</v>
      </c>
      <c r="D565" s="227">
        <v>20</v>
      </c>
      <c r="E565" s="145">
        <v>6</v>
      </c>
      <c r="F565" s="228">
        <v>1</v>
      </c>
      <c r="G565" s="231">
        <f t="shared" si="12"/>
        <v>0.16666666666666666</v>
      </c>
      <c r="H565" s="148" t="s">
        <v>748</v>
      </c>
    </row>
    <row r="566" spans="1:28" ht="79.5" customHeight="1" x14ac:dyDescent="0.25">
      <c r="A566" s="578"/>
      <c r="B566" s="145" t="s">
        <v>749</v>
      </c>
      <c r="C566" s="145" t="s">
        <v>177</v>
      </c>
      <c r="D566" s="227">
        <v>20</v>
      </c>
      <c r="E566" s="149">
        <v>0.1</v>
      </c>
      <c r="F566" s="232">
        <v>1.67E-2</v>
      </c>
      <c r="G566" s="229">
        <f t="shared" si="12"/>
        <v>0.16699999999999998</v>
      </c>
      <c r="H566" s="233" t="s">
        <v>750</v>
      </c>
    </row>
    <row r="567" spans="1:28" ht="80.25" customHeight="1" x14ac:dyDescent="0.25">
      <c r="A567" s="580"/>
      <c r="B567" s="153" t="s">
        <v>751</v>
      </c>
      <c r="C567" s="153" t="s">
        <v>743</v>
      </c>
      <c r="D567" s="234">
        <v>20</v>
      </c>
      <c r="E567" s="153">
        <v>6</v>
      </c>
      <c r="F567" s="235">
        <v>1</v>
      </c>
      <c r="G567" s="236">
        <f t="shared" si="12"/>
        <v>0.16666666666666666</v>
      </c>
      <c r="H567" s="237" t="s">
        <v>752</v>
      </c>
    </row>
    <row r="568" spans="1:28" ht="72" customHeight="1" x14ac:dyDescent="0.25">
      <c r="A568" s="772" t="s">
        <v>426</v>
      </c>
      <c r="B568" s="138" t="s">
        <v>742</v>
      </c>
      <c r="C568" s="138" t="s">
        <v>743</v>
      </c>
      <c r="D568" s="224">
        <v>20</v>
      </c>
      <c r="E568" s="138">
        <v>6</v>
      </c>
      <c r="F568" s="225">
        <v>2</v>
      </c>
      <c r="G568" s="226">
        <f t="shared" si="12"/>
        <v>0.33333333333333331</v>
      </c>
      <c r="H568" s="230" t="s">
        <v>753</v>
      </c>
    </row>
    <row r="569" spans="1:28" ht="87.75" customHeight="1" x14ac:dyDescent="0.25">
      <c r="A569" s="740"/>
      <c r="B569" s="145" t="s">
        <v>745</v>
      </c>
      <c r="C569" s="145" t="s">
        <v>743</v>
      </c>
      <c r="D569" s="227">
        <v>20</v>
      </c>
      <c r="E569" s="145">
        <v>6</v>
      </c>
      <c r="F569" s="228">
        <v>2</v>
      </c>
      <c r="G569" s="229">
        <f t="shared" si="12"/>
        <v>0.33333333333333331</v>
      </c>
      <c r="H569" s="148" t="s">
        <v>754</v>
      </c>
    </row>
    <row r="570" spans="1:28" ht="60" customHeight="1" x14ac:dyDescent="0.25">
      <c r="A570" s="740"/>
      <c r="B570" s="145" t="s">
        <v>747</v>
      </c>
      <c r="C570" s="145" t="s">
        <v>743</v>
      </c>
      <c r="D570" s="227">
        <v>20</v>
      </c>
      <c r="E570" s="145">
        <v>6</v>
      </c>
      <c r="F570" s="228">
        <v>2</v>
      </c>
      <c r="G570" s="231">
        <f t="shared" si="12"/>
        <v>0.33333333333333331</v>
      </c>
      <c r="H570" s="148" t="s">
        <v>755</v>
      </c>
    </row>
    <row r="571" spans="1:28" ht="60" customHeight="1" x14ac:dyDescent="0.25">
      <c r="A571" s="740"/>
      <c r="B571" s="145" t="s">
        <v>749</v>
      </c>
      <c r="C571" s="145" t="s">
        <v>177</v>
      </c>
      <c r="D571" s="227">
        <v>20</v>
      </c>
      <c r="E571" s="149">
        <v>0.1</v>
      </c>
      <c r="F571" s="232">
        <v>3.3399999999999999E-2</v>
      </c>
      <c r="G571" s="229">
        <f t="shared" si="12"/>
        <v>0.33399999999999996</v>
      </c>
      <c r="H571" s="233" t="s">
        <v>756</v>
      </c>
    </row>
    <row r="572" spans="1:28" ht="60" customHeight="1" x14ac:dyDescent="0.25">
      <c r="A572" s="740"/>
      <c r="B572" s="153" t="s">
        <v>751</v>
      </c>
      <c r="C572" s="153" t="s">
        <v>743</v>
      </c>
      <c r="D572" s="234">
        <v>20</v>
      </c>
      <c r="E572" s="153">
        <v>6</v>
      </c>
      <c r="F572" s="235">
        <v>2</v>
      </c>
      <c r="G572" s="236">
        <f t="shared" si="12"/>
        <v>0.33333333333333331</v>
      </c>
      <c r="H572" s="237" t="s">
        <v>757</v>
      </c>
    </row>
    <row r="573" spans="1:28" ht="60" customHeight="1" x14ac:dyDescent="0.25">
      <c r="A573" s="771" t="s">
        <v>427</v>
      </c>
      <c r="B573" s="138" t="s">
        <v>742</v>
      </c>
      <c r="C573" s="138" t="s">
        <v>743</v>
      </c>
      <c r="D573" s="224">
        <v>20</v>
      </c>
      <c r="E573" s="138">
        <v>6</v>
      </c>
      <c r="F573" s="225">
        <v>3</v>
      </c>
      <c r="G573" s="226">
        <f t="shared" si="12"/>
        <v>0.5</v>
      </c>
      <c r="H573" s="142" t="s">
        <v>758</v>
      </c>
    </row>
    <row r="574" spans="1:28" ht="60" customHeight="1" x14ac:dyDescent="0.25">
      <c r="A574" s="740"/>
      <c r="B574" s="145" t="s">
        <v>745</v>
      </c>
      <c r="C574" s="145" t="s">
        <v>743</v>
      </c>
      <c r="D574" s="227">
        <v>20</v>
      </c>
      <c r="E574" s="145">
        <v>6</v>
      </c>
      <c r="F574" s="228">
        <v>3</v>
      </c>
      <c r="G574" s="229">
        <f t="shared" si="12"/>
        <v>0.5</v>
      </c>
      <c r="H574" s="230" t="s">
        <v>759</v>
      </c>
    </row>
    <row r="575" spans="1:28" ht="60" customHeight="1" x14ac:dyDescent="0.25">
      <c r="A575" s="740"/>
      <c r="B575" s="145" t="s">
        <v>747</v>
      </c>
      <c r="C575" s="145" t="s">
        <v>743</v>
      </c>
      <c r="D575" s="227">
        <v>20</v>
      </c>
      <c r="E575" s="145">
        <v>6</v>
      </c>
      <c r="F575" s="228">
        <v>3</v>
      </c>
      <c r="G575" s="231">
        <f t="shared" si="12"/>
        <v>0.5</v>
      </c>
      <c r="H575" s="148" t="s">
        <v>760</v>
      </c>
    </row>
    <row r="576" spans="1:28" ht="60" customHeight="1" x14ac:dyDescent="0.25">
      <c r="A576" s="740"/>
      <c r="B576" s="145" t="s">
        <v>749</v>
      </c>
      <c r="C576" s="145" t="s">
        <v>177</v>
      </c>
      <c r="D576" s="227">
        <v>20</v>
      </c>
      <c r="E576" s="149">
        <v>0.1</v>
      </c>
      <c r="F576" s="232">
        <v>5.0099999999999999E-2</v>
      </c>
      <c r="G576" s="229">
        <f t="shared" si="12"/>
        <v>0.501</v>
      </c>
      <c r="H576" s="233" t="s">
        <v>761</v>
      </c>
    </row>
    <row r="577" spans="1:8" ht="74.25" customHeight="1" x14ac:dyDescent="0.25">
      <c r="A577" s="740"/>
      <c r="B577" s="153" t="s">
        <v>751</v>
      </c>
      <c r="C577" s="153" t="s">
        <v>743</v>
      </c>
      <c r="D577" s="234">
        <v>20</v>
      </c>
      <c r="E577" s="153">
        <v>6</v>
      </c>
      <c r="F577" s="235">
        <v>3</v>
      </c>
      <c r="G577" s="236">
        <f t="shared" si="12"/>
        <v>0.5</v>
      </c>
      <c r="H577" s="237" t="s">
        <v>762</v>
      </c>
    </row>
    <row r="578" spans="1:8" ht="63.75" customHeight="1" x14ac:dyDescent="0.25">
      <c r="A578" s="771" t="s">
        <v>428</v>
      </c>
      <c r="B578" s="138" t="s">
        <v>742</v>
      </c>
      <c r="C578" s="138" t="s">
        <v>743</v>
      </c>
      <c r="D578" s="224">
        <v>20</v>
      </c>
      <c r="E578" s="138">
        <v>6</v>
      </c>
      <c r="F578" s="225">
        <v>4</v>
      </c>
      <c r="G578" s="226">
        <f t="shared" si="12"/>
        <v>0.66666666666666663</v>
      </c>
      <c r="H578" s="142" t="s">
        <v>763</v>
      </c>
    </row>
    <row r="579" spans="1:8" ht="72" customHeight="1" x14ac:dyDescent="0.25">
      <c r="A579" s="740"/>
      <c r="B579" s="145" t="s">
        <v>745</v>
      </c>
      <c r="C579" s="145" t="s">
        <v>743</v>
      </c>
      <c r="D579" s="227">
        <v>20</v>
      </c>
      <c r="E579" s="145">
        <v>6</v>
      </c>
      <c r="F579" s="228">
        <v>4</v>
      </c>
      <c r="G579" s="229">
        <f t="shared" si="12"/>
        <v>0.66666666666666663</v>
      </c>
      <c r="H579" s="230" t="s">
        <v>764</v>
      </c>
    </row>
    <row r="580" spans="1:8" ht="70.5" customHeight="1" x14ac:dyDescent="0.25">
      <c r="A580" s="740"/>
      <c r="B580" s="145" t="s">
        <v>747</v>
      </c>
      <c r="C580" s="145" t="s">
        <v>743</v>
      </c>
      <c r="D580" s="227">
        <v>20</v>
      </c>
      <c r="E580" s="145">
        <v>6</v>
      </c>
      <c r="F580" s="228">
        <v>4</v>
      </c>
      <c r="G580" s="231">
        <f t="shared" si="12"/>
        <v>0.66666666666666663</v>
      </c>
      <c r="H580" s="148" t="s">
        <v>765</v>
      </c>
    </row>
    <row r="581" spans="1:8" ht="77.25" customHeight="1" x14ac:dyDescent="0.25">
      <c r="A581" s="740"/>
      <c r="B581" s="145" t="s">
        <v>749</v>
      </c>
      <c r="C581" s="145" t="s">
        <v>177</v>
      </c>
      <c r="D581" s="227">
        <v>20</v>
      </c>
      <c r="E581" s="149">
        <v>0.1</v>
      </c>
      <c r="F581" s="232">
        <v>6.6799999999999998E-2</v>
      </c>
      <c r="G581" s="229">
        <f t="shared" si="12"/>
        <v>0.66799999999999993</v>
      </c>
      <c r="H581" s="148" t="s">
        <v>766</v>
      </c>
    </row>
    <row r="582" spans="1:8" ht="106.5" customHeight="1" x14ac:dyDescent="0.25">
      <c r="A582" s="740"/>
      <c r="B582" s="153" t="s">
        <v>751</v>
      </c>
      <c r="C582" s="153" t="s">
        <v>743</v>
      </c>
      <c r="D582" s="234">
        <v>20</v>
      </c>
      <c r="E582" s="153">
        <v>6</v>
      </c>
      <c r="F582" s="235">
        <v>4</v>
      </c>
      <c r="G582" s="236">
        <f t="shared" si="12"/>
        <v>0.66666666666666663</v>
      </c>
      <c r="H582" s="237" t="s">
        <v>752</v>
      </c>
    </row>
    <row r="583" spans="1:8" ht="66.75" customHeight="1" x14ac:dyDescent="0.25">
      <c r="A583" s="771" t="s">
        <v>429</v>
      </c>
      <c r="B583" s="138" t="s">
        <v>742</v>
      </c>
      <c r="C583" s="138" t="s">
        <v>743</v>
      </c>
      <c r="D583" s="224">
        <v>20</v>
      </c>
      <c r="E583" s="138">
        <v>6</v>
      </c>
      <c r="F583" s="225">
        <v>5</v>
      </c>
      <c r="G583" s="226">
        <f t="shared" si="12"/>
        <v>0.83333333333333337</v>
      </c>
      <c r="H583" s="142" t="s">
        <v>767</v>
      </c>
    </row>
    <row r="584" spans="1:8" ht="66.75" customHeight="1" x14ac:dyDescent="0.25">
      <c r="A584" s="740"/>
      <c r="B584" s="145" t="s">
        <v>745</v>
      </c>
      <c r="C584" s="145" t="s">
        <v>743</v>
      </c>
      <c r="D584" s="227">
        <v>20</v>
      </c>
      <c r="E584" s="145">
        <v>6</v>
      </c>
      <c r="F584" s="228">
        <v>5</v>
      </c>
      <c r="G584" s="229">
        <f t="shared" si="12"/>
        <v>0.83333333333333337</v>
      </c>
      <c r="H584" s="230" t="s">
        <v>768</v>
      </c>
    </row>
    <row r="585" spans="1:8" ht="86.25" customHeight="1" x14ac:dyDescent="0.25">
      <c r="A585" s="740"/>
      <c r="B585" s="145" t="s">
        <v>747</v>
      </c>
      <c r="C585" s="145" t="s">
        <v>743</v>
      </c>
      <c r="D585" s="227">
        <v>20</v>
      </c>
      <c r="E585" s="145">
        <v>6</v>
      </c>
      <c r="F585" s="228">
        <v>5</v>
      </c>
      <c r="G585" s="231">
        <f t="shared" si="12"/>
        <v>0.83333333333333337</v>
      </c>
      <c r="H585" s="148" t="s">
        <v>769</v>
      </c>
    </row>
    <row r="586" spans="1:8" ht="87.75" customHeight="1" x14ac:dyDescent="0.25">
      <c r="A586" s="740"/>
      <c r="B586" s="145" t="s">
        <v>749</v>
      </c>
      <c r="C586" s="145" t="s">
        <v>177</v>
      </c>
      <c r="D586" s="227">
        <v>20</v>
      </c>
      <c r="E586" s="149">
        <v>0.1</v>
      </c>
      <c r="F586" s="232">
        <v>8.3400000000000002E-2</v>
      </c>
      <c r="G586" s="229">
        <f t="shared" si="12"/>
        <v>0.83399999999999996</v>
      </c>
      <c r="H586" s="148" t="s">
        <v>766</v>
      </c>
    </row>
    <row r="587" spans="1:8" ht="103.5" customHeight="1" x14ac:dyDescent="0.25">
      <c r="A587" s="740"/>
      <c r="B587" s="153" t="s">
        <v>751</v>
      </c>
      <c r="C587" s="153" t="s">
        <v>743</v>
      </c>
      <c r="D587" s="234">
        <v>20</v>
      </c>
      <c r="E587" s="153">
        <v>6</v>
      </c>
      <c r="F587" s="235">
        <v>5</v>
      </c>
      <c r="G587" s="236">
        <f t="shared" si="12"/>
        <v>0.83333333333333337</v>
      </c>
      <c r="H587" s="237" t="s">
        <v>770</v>
      </c>
    </row>
    <row r="588" spans="1:8" ht="84" customHeight="1" x14ac:dyDescent="0.25">
      <c r="A588" s="771" t="s">
        <v>430</v>
      </c>
      <c r="B588" s="138" t="s">
        <v>742</v>
      </c>
      <c r="C588" s="138" t="s">
        <v>743</v>
      </c>
      <c r="D588" s="224">
        <v>20</v>
      </c>
      <c r="E588" s="138">
        <v>6</v>
      </c>
      <c r="F588" s="225">
        <v>6</v>
      </c>
      <c r="G588" s="226">
        <f t="shared" si="12"/>
        <v>1</v>
      </c>
      <c r="H588" s="142" t="s">
        <v>771</v>
      </c>
    </row>
    <row r="589" spans="1:8" ht="92.25" customHeight="1" x14ac:dyDescent="0.25">
      <c r="A589" s="740"/>
      <c r="B589" s="145" t="s">
        <v>745</v>
      </c>
      <c r="C589" s="145" t="s">
        <v>743</v>
      </c>
      <c r="D589" s="227">
        <v>20</v>
      </c>
      <c r="E589" s="145">
        <v>6</v>
      </c>
      <c r="F589" s="228">
        <v>6</v>
      </c>
      <c r="G589" s="229">
        <f t="shared" si="12"/>
        <v>1</v>
      </c>
      <c r="H589" s="230" t="s">
        <v>772</v>
      </c>
    </row>
    <row r="590" spans="1:8" ht="108.75" customHeight="1" x14ac:dyDescent="0.25">
      <c r="A590" s="740"/>
      <c r="B590" s="145" t="s">
        <v>747</v>
      </c>
      <c r="C590" s="145" t="s">
        <v>743</v>
      </c>
      <c r="D590" s="227">
        <v>20</v>
      </c>
      <c r="E590" s="145">
        <v>6</v>
      </c>
      <c r="F590" s="228">
        <v>6</v>
      </c>
      <c r="G590" s="231">
        <f t="shared" si="12"/>
        <v>1</v>
      </c>
      <c r="H590" s="148" t="s">
        <v>773</v>
      </c>
    </row>
    <row r="591" spans="1:8" ht="106.5" customHeight="1" x14ac:dyDescent="0.25">
      <c r="A591" s="740"/>
      <c r="B591" s="145" t="s">
        <v>749</v>
      </c>
      <c r="C591" s="145" t="s">
        <v>177</v>
      </c>
      <c r="D591" s="227">
        <v>20</v>
      </c>
      <c r="E591" s="149">
        <v>0.1</v>
      </c>
      <c r="F591" s="232">
        <v>0.1</v>
      </c>
      <c r="G591" s="229">
        <f t="shared" si="12"/>
        <v>1</v>
      </c>
      <c r="H591" s="148" t="s">
        <v>774</v>
      </c>
    </row>
    <row r="592" spans="1:8" ht="83.25" customHeight="1" x14ac:dyDescent="0.25">
      <c r="A592" s="740"/>
      <c r="B592" s="153" t="s">
        <v>751</v>
      </c>
      <c r="C592" s="153" t="s">
        <v>743</v>
      </c>
      <c r="D592" s="234">
        <v>20</v>
      </c>
      <c r="E592" s="153">
        <v>6</v>
      </c>
      <c r="F592" s="235">
        <v>6</v>
      </c>
      <c r="G592" s="236">
        <f t="shared" si="12"/>
        <v>1</v>
      </c>
      <c r="H592" s="148" t="s">
        <v>775</v>
      </c>
    </row>
    <row r="593" spans="1:28" ht="23.25" customHeight="1" x14ac:dyDescent="0.25">
      <c r="A593" s="113"/>
      <c r="B593" s="113"/>
      <c r="C593" s="113"/>
      <c r="D593" s="113"/>
      <c r="E593" s="113"/>
      <c r="F593" s="113"/>
      <c r="G593" s="113"/>
      <c r="H593" s="113"/>
    </row>
    <row r="594" spans="1:28" ht="15.75" customHeight="1" x14ac:dyDescent="0.25">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row>
    <row r="595" spans="1:28" ht="21" customHeight="1" x14ac:dyDescent="0.3">
      <c r="A595" s="789" t="s">
        <v>776</v>
      </c>
      <c r="B595" s="592"/>
      <c r="C595" s="592"/>
      <c r="D595" s="592"/>
      <c r="E595" s="592"/>
      <c r="F595" s="592"/>
      <c r="G595" s="592"/>
      <c r="H595" s="689"/>
      <c r="I595" s="113"/>
      <c r="J595" s="113"/>
      <c r="K595" s="113"/>
      <c r="L595" s="113"/>
      <c r="M595" s="113"/>
      <c r="N595" s="113"/>
      <c r="O595" s="113"/>
      <c r="P595" s="113"/>
      <c r="Q595" s="113"/>
      <c r="R595" s="113"/>
      <c r="S595" s="113"/>
      <c r="T595" s="113"/>
      <c r="U595" s="113"/>
      <c r="V595" s="113"/>
      <c r="W595" s="113"/>
      <c r="X595" s="113"/>
      <c r="Y595" s="113"/>
      <c r="Z595" s="113"/>
      <c r="AA595" s="113"/>
      <c r="AB595" s="113"/>
    </row>
    <row r="596" spans="1:28" ht="53.25" customHeight="1" x14ac:dyDescent="0.25">
      <c r="A596" s="114" t="s">
        <v>26</v>
      </c>
      <c r="B596" s="115" t="s">
        <v>738</v>
      </c>
      <c r="C596" s="238" t="s">
        <v>446</v>
      </c>
      <c r="D596" s="238" t="s">
        <v>505</v>
      </c>
      <c r="E596" s="238" t="s">
        <v>777</v>
      </c>
      <c r="F596" s="238" t="s">
        <v>778</v>
      </c>
      <c r="G596" s="238" t="s">
        <v>779</v>
      </c>
      <c r="H596" s="116" t="s">
        <v>678</v>
      </c>
      <c r="I596" s="113"/>
      <c r="J596" s="113"/>
      <c r="K596" s="113"/>
      <c r="L596" s="113"/>
      <c r="M596" s="113"/>
      <c r="N596" s="113"/>
      <c r="O596" s="113"/>
      <c r="P596" s="113"/>
      <c r="Q596" s="113"/>
      <c r="R596" s="113"/>
      <c r="S596" s="113"/>
      <c r="T596" s="113"/>
      <c r="U596" s="113"/>
      <c r="V596" s="113"/>
      <c r="W596" s="113"/>
      <c r="X596" s="113"/>
      <c r="Y596" s="113"/>
      <c r="Z596" s="113"/>
      <c r="AA596" s="113"/>
      <c r="AB596" s="113"/>
    </row>
    <row r="597" spans="1:28" ht="85.5" customHeight="1" x14ac:dyDescent="0.25">
      <c r="A597" s="790" t="s">
        <v>432</v>
      </c>
      <c r="B597" s="138" t="s">
        <v>742</v>
      </c>
      <c r="C597" s="138" t="s">
        <v>743</v>
      </c>
      <c r="D597" s="224">
        <v>20</v>
      </c>
      <c r="E597" s="30">
        <v>12</v>
      </c>
      <c r="F597" s="30">
        <v>1</v>
      </c>
      <c r="G597" s="147">
        <f t="shared" ref="G597:G656" si="13">F597/E597</f>
        <v>8.3333333333333329E-2</v>
      </c>
      <c r="H597" s="239" t="s">
        <v>780</v>
      </c>
      <c r="I597" s="113"/>
      <c r="J597" s="113"/>
      <c r="K597" s="113"/>
      <c r="L597" s="113"/>
      <c r="M597" s="113"/>
      <c r="N597" s="113"/>
      <c r="O597" s="113"/>
      <c r="P597" s="113"/>
      <c r="Q597" s="113"/>
      <c r="R597" s="113"/>
      <c r="S597" s="113"/>
      <c r="T597" s="113"/>
      <c r="U597" s="113"/>
      <c r="V597" s="113"/>
      <c r="W597" s="113"/>
      <c r="X597" s="113"/>
      <c r="Y597" s="113"/>
      <c r="Z597" s="113"/>
      <c r="AA597" s="113"/>
      <c r="AB597" s="113"/>
    </row>
    <row r="598" spans="1:28" ht="110.25" customHeight="1" x14ac:dyDescent="0.25">
      <c r="A598" s="740"/>
      <c r="B598" s="145" t="s">
        <v>745</v>
      </c>
      <c r="C598" s="145" t="s">
        <v>743</v>
      </c>
      <c r="D598" s="227">
        <v>20</v>
      </c>
      <c r="E598" s="30">
        <v>12</v>
      </c>
      <c r="F598" s="30">
        <v>1</v>
      </c>
      <c r="G598" s="147">
        <f t="shared" si="13"/>
        <v>8.3333333333333329E-2</v>
      </c>
      <c r="H598" s="239" t="s">
        <v>781</v>
      </c>
      <c r="I598" s="113"/>
      <c r="J598" s="113"/>
      <c r="K598" s="113"/>
      <c r="L598" s="113"/>
      <c r="M598" s="113"/>
      <c r="N598" s="113"/>
      <c r="O598" s="113"/>
      <c r="P598" s="113"/>
      <c r="Q598" s="113"/>
      <c r="R598" s="113"/>
      <c r="S598" s="113"/>
      <c r="T598" s="113"/>
      <c r="U598" s="113"/>
      <c r="V598" s="113"/>
      <c r="W598" s="113"/>
      <c r="X598" s="113"/>
      <c r="Y598" s="113"/>
      <c r="Z598" s="113"/>
      <c r="AA598" s="113"/>
      <c r="AB598" s="113"/>
    </row>
    <row r="599" spans="1:28" ht="99.75" customHeight="1" x14ac:dyDescent="0.25">
      <c r="A599" s="740"/>
      <c r="B599" s="145" t="s">
        <v>747</v>
      </c>
      <c r="C599" s="145" t="s">
        <v>743</v>
      </c>
      <c r="D599" s="227">
        <v>20</v>
      </c>
      <c r="E599" s="30">
        <v>12</v>
      </c>
      <c r="F599" s="30">
        <v>1</v>
      </c>
      <c r="G599" s="147">
        <f t="shared" si="13"/>
        <v>8.3333333333333329E-2</v>
      </c>
      <c r="H599" s="239" t="s">
        <v>782</v>
      </c>
      <c r="I599" s="113"/>
      <c r="J599" s="113"/>
      <c r="K599" s="113"/>
      <c r="L599" s="113"/>
      <c r="M599" s="113"/>
      <c r="N599" s="113"/>
      <c r="O599" s="113"/>
      <c r="P599" s="113"/>
      <c r="Q599" s="113"/>
      <c r="R599" s="113"/>
      <c r="S599" s="113"/>
      <c r="T599" s="113"/>
      <c r="U599" s="113"/>
      <c r="V599" s="113"/>
      <c r="W599" s="113"/>
      <c r="X599" s="113"/>
      <c r="Y599" s="113"/>
      <c r="Z599" s="113"/>
      <c r="AA599" s="113"/>
      <c r="AB599" s="113"/>
    </row>
    <row r="600" spans="1:28" ht="85.5" customHeight="1" x14ac:dyDescent="0.25">
      <c r="A600" s="740"/>
      <c r="B600" s="145" t="s">
        <v>749</v>
      </c>
      <c r="C600" s="145" t="s">
        <v>177</v>
      </c>
      <c r="D600" s="227">
        <v>20</v>
      </c>
      <c r="E600" s="194">
        <v>20</v>
      </c>
      <c r="F600" s="240">
        <v>1.66</v>
      </c>
      <c r="G600" s="241">
        <f t="shared" si="13"/>
        <v>8.299999999999999E-2</v>
      </c>
      <c r="H600" s="242" t="s">
        <v>783</v>
      </c>
      <c r="I600" s="113"/>
      <c r="J600" s="113"/>
      <c r="K600" s="113"/>
      <c r="L600" s="113"/>
      <c r="M600" s="113"/>
      <c r="N600" s="113"/>
      <c r="O600" s="113"/>
      <c r="P600" s="113"/>
      <c r="Q600" s="113"/>
      <c r="R600" s="113"/>
      <c r="S600" s="113"/>
      <c r="T600" s="113"/>
      <c r="U600" s="113"/>
      <c r="V600" s="113"/>
      <c r="W600" s="113"/>
      <c r="X600" s="113"/>
      <c r="Y600" s="113"/>
      <c r="Z600" s="113"/>
      <c r="AA600" s="113"/>
      <c r="AB600" s="113"/>
    </row>
    <row r="601" spans="1:28" ht="76.5" customHeight="1" x14ac:dyDescent="0.25">
      <c r="A601" s="740"/>
      <c r="B601" s="153" t="s">
        <v>751</v>
      </c>
      <c r="C601" s="153" t="s">
        <v>743</v>
      </c>
      <c r="D601" s="234">
        <v>20</v>
      </c>
      <c r="E601" s="155">
        <v>12</v>
      </c>
      <c r="F601" s="155">
        <v>1</v>
      </c>
      <c r="G601" s="154">
        <f t="shared" si="13"/>
        <v>8.3333333333333329E-2</v>
      </c>
      <c r="H601" s="243" t="s">
        <v>784</v>
      </c>
      <c r="I601" s="113"/>
      <c r="J601" s="113"/>
      <c r="K601" s="113"/>
      <c r="L601" s="113"/>
      <c r="M601" s="113"/>
      <c r="N601" s="113"/>
      <c r="O601" s="113"/>
      <c r="P601" s="113"/>
      <c r="Q601" s="113"/>
      <c r="R601" s="113"/>
      <c r="S601" s="113"/>
      <c r="T601" s="113"/>
      <c r="U601" s="113"/>
      <c r="V601" s="113"/>
      <c r="W601" s="113"/>
      <c r="X601" s="113"/>
      <c r="Y601" s="113"/>
      <c r="Z601" s="113"/>
      <c r="AA601" s="113"/>
      <c r="AB601" s="113"/>
    </row>
    <row r="602" spans="1:28" ht="51" customHeight="1" x14ac:dyDescent="0.25">
      <c r="A602" s="791" t="s">
        <v>434</v>
      </c>
      <c r="B602" s="138" t="s">
        <v>742</v>
      </c>
      <c r="C602" s="138" t="s">
        <v>743</v>
      </c>
      <c r="D602" s="224">
        <v>20</v>
      </c>
      <c r="E602" s="30">
        <v>12</v>
      </c>
      <c r="F602" s="30">
        <v>2</v>
      </c>
      <c r="G602" s="147">
        <f t="shared" si="13"/>
        <v>0.16666666666666666</v>
      </c>
      <c r="H602" s="239" t="s">
        <v>785</v>
      </c>
      <c r="I602" s="113"/>
      <c r="J602" s="113"/>
      <c r="K602" s="113"/>
      <c r="L602" s="113"/>
      <c r="M602" s="113"/>
      <c r="N602" s="113"/>
      <c r="O602" s="113"/>
      <c r="P602" s="113"/>
      <c r="Q602" s="113"/>
      <c r="R602" s="113"/>
      <c r="S602" s="113"/>
      <c r="T602" s="113"/>
      <c r="U602" s="113"/>
      <c r="V602" s="113"/>
      <c r="W602" s="113"/>
      <c r="X602" s="113"/>
      <c r="Y602" s="113"/>
      <c r="Z602" s="113"/>
      <c r="AA602" s="113"/>
      <c r="AB602" s="113"/>
    </row>
    <row r="603" spans="1:28" ht="51" customHeight="1" x14ac:dyDescent="0.25">
      <c r="A603" s="740"/>
      <c r="B603" s="145" t="s">
        <v>745</v>
      </c>
      <c r="C603" s="145" t="s">
        <v>743</v>
      </c>
      <c r="D603" s="227">
        <v>20</v>
      </c>
      <c r="E603" s="30">
        <v>12</v>
      </c>
      <c r="F603" s="30">
        <v>2</v>
      </c>
      <c r="G603" s="147">
        <f t="shared" si="13"/>
        <v>0.16666666666666666</v>
      </c>
      <c r="H603" s="239" t="s">
        <v>786</v>
      </c>
      <c r="I603" s="113"/>
      <c r="J603" s="113"/>
      <c r="K603" s="113"/>
      <c r="L603" s="113"/>
      <c r="M603" s="113"/>
      <c r="N603" s="113"/>
      <c r="O603" s="113"/>
      <c r="P603" s="113"/>
      <c r="Q603" s="113"/>
      <c r="R603" s="113"/>
      <c r="S603" s="113"/>
      <c r="T603" s="113"/>
      <c r="U603" s="113"/>
      <c r="V603" s="113"/>
      <c r="W603" s="113"/>
      <c r="X603" s="113"/>
      <c r="Y603" s="113"/>
      <c r="Z603" s="113"/>
      <c r="AA603" s="113"/>
      <c r="AB603" s="113"/>
    </row>
    <row r="604" spans="1:28" ht="51" customHeight="1" x14ac:dyDescent="0.25">
      <c r="A604" s="740"/>
      <c r="B604" s="145" t="s">
        <v>747</v>
      </c>
      <c r="C604" s="145" t="s">
        <v>743</v>
      </c>
      <c r="D604" s="227">
        <v>20</v>
      </c>
      <c r="E604" s="30">
        <v>12</v>
      </c>
      <c r="F604" s="30">
        <v>2</v>
      </c>
      <c r="G604" s="147">
        <f t="shared" si="13"/>
        <v>0.16666666666666666</v>
      </c>
      <c r="H604" s="239" t="s">
        <v>787</v>
      </c>
      <c r="I604" s="113"/>
      <c r="J604" s="113"/>
      <c r="K604" s="113"/>
      <c r="L604" s="113"/>
      <c r="M604" s="113"/>
      <c r="N604" s="113"/>
      <c r="O604" s="113"/>
      <c r="P604" s="113"/>
      <c r="Q604" s="113"/>
      <c r="R604" s="113"/>
      <c r="S604" s="113"/>
      <c r="T604" s="113"/>
      <c r="U604" s="113"/>
      <c r="V604" s="113"/>
      <c r="W604" s="113"/>
      <c r="X604" s="113"/>
      <c r="Y604" s="113"/>
      <c r="Z604" s="113"/>
      <c r="AA604" s="113"/>
      <c r="AB604" s="113"/>
    </row>
    <row r="605" spans="1:28" ht="51" customHeight="1" x14ac:dyDescent="0.25">
      <c r="A605" s="740"/>
      <c r="B605" s="145" t="s">
        <v>749</v>
      </c>
      <c r="C605" s="145" t="s">
        <v>177</v>
      </c>
      <c r="D605" s="227">
        <v>20</v>
      </c>
      <c r="E605" s="194">
        <v>20</v>
      </c>
      <c r="F605" s="194">
        <f>1.66+1.66</f>
        <v>3.32</v>
      </c>
      <c r="G605" s="241">
        <f t="shared" si="13"/>
        <v>0.16599999999999998</v>
      </c>
      <c r="H605" s="242" t="s">
        <v>788</v>
      </c>
      <c r="I605" s="113"/>
      <c r="J605" s="113"/>
      <c r="K605" s="113"/>
      <c r="L605" s="113"/>
      <c r="M605" s="113"/>
      <c r="N605" s="113"/>
      <c r="O605" s="113"/>
      <c r="P605" s="113"/>
      <c r="Q605" s="113"/>
      <c r="R605" s="113"/>
      <c r="S605" s="113"/>
      <c r="T605" s="113"/>
      <c r="U605" s="113"/>
      <c r="V605" s="113"/>
      <c r="W605" s="113"/>
      <c r="X605" s="113"/>
      <c r="Y605" s="113"/>
      <c r="Z605" s="113"/>
      <c r="AA605" s="113"/>
      <c r="AB605" s="113"/>
    </row>
    <row r="606" spans="1:28" ht="51" customHeight="1" x14ac:dyDescent="0.25">
      <c r="A606" s="792"/>
      <c r="B606" s="153" t="s">
        <v>751</v>
      </c>
      <c r="C606" s="153" t="s">
        <v>743</v>
      </c>
      <c r="D606" s="234">
        <v>20</v>
      </c>
      <c r="E606" s="155">
        <v>12</v>
      </c>
      <c r="F606" s="155">
        <v>2</v>
      </c>
      <c r="G606" s="154">
        <f t="shared" si="13"/>
        <v>0.16666666666666666</v>
      </c>
      <c r="H606" s="243" t="s">
        <v>789</v>
      </c>
      <c r="I606" s="113"/>
      <c r="J606" s="113"/>
      <c r="K606" s="113"/>
      <c r="L606" s="113"/>
      <c r="M606" s="113"/>
      <c r="N606" s="113"/>
      <c r="O606" s="113"/>
      <c r="P606" s="113"/>
      <c r="Q606" s="113"/>
      <c r="R606" s="113"/>
      <c r="S606" s="113"/>
      <c r="T606" s="113"/>
      <c r="U606" s="113"/>
      <c r="V606" s="113"/>
      <c r="W606" s="113"/>
      <c r="X606" s="113"/>
      <c r="Y606" s="113"/>
      <c r="Z606" s="113"/>
      <c r="AA606" s="113"/>
      <c r="AB606" s="113"/>
    </row>
    <row r="607" spans="1:28" ht="76.5" customHeight="1" x14ac:dyDescent="0.25">
      <c r="A607" s="791" t="s">
        <v>435</v>
      </c>
      <c r="B607" s="138" t="s">
        <v>742</v>
      </c>
      <c r="C607" s="138" t="s">
        <v>743</v>
      </c>
      <c r="D607" s="224">
        <v>20</v>
      </c>
      <c r="E607" s="30">
        <v>12</v>
      </c>
      <c r="F607" s="30">
        <v>3</v>
      </c>
      <c r="G607" s="147">
        <f t="shared" si="13"/>
        <v>0.25</v>
      </c>
      <c r="H607" s="244" t="s">
        <v>790</v>
      </c>
      <c r="I607" s="113"/>
      <c r="J607" s="113"/>
      <c r="K607" s="113"/>
      <c r="L607" s="113"/>
      <c r="M607" s="113"/>
      <c r="N607" s="113"/>
      <c r="O607" s="113"/>
      <c r="P607" s="113"/>
      <c r="Q607" s="113"/>
      <c r="R607" s="113"/>
      <c r="S607" s="113"/>
      <c r="T607" s="113"/>
      <c r="U607" s="113"/>
      <c r="V607" s="113"/>
      <c r="W607" s="113"/>
      <c r="X607" s="113"/>
      <c r="Y607" s="113"/>
      <c r="Z607" s="113"/>
      <c r="AA607" s="113"/>
      <c r="AB607" s="113"/>
    </row>
    <row r="608" spans="1:28" ht="80.25" customHeight="1" x14ac:dyDescent="0.25">
      <c r="A608" s="740"/>
      <c r="B608" s="145" t="s">
        <v>745</v>
      </c>
      <c r="C608" s="145" t="s">
        <v>743</v>
      </c>
      <c r="D608" s="227">
        <v>20</v>
      </c>
      <c r="E608" s="30">
        <v>12</v>
      </c>
      <c r="F608" s="30">
        <v>3</v>
      </c>
      <c r="G608" s="147">
        <f t="shared" si="13"/>
        <v>0.25</v>
      </c>
      <c r="H608" s="239" t="s">
        <v>791</v>
      </c>
      <c r="I608" s="113"/>
      <c r="J608" s="113"/>
      <c r="K608" s="113"/>
      <c r="L608" s="113"/>
      <c r="M608" s="113"/>
      <c r="N608" s="113"/>
      <c r="O608" s="113"/>
      <c r="P608" s="113"/>
      <c r="Q608" s="113"/>
      <c r="R608" s="113"/>
      <c r="S608" s="113"/>
      <c r="T608" s="113"/>
      <c r="U608" s="113"/>
      <c r="V608" s="113"/>
      <c r="W608" s="113"/>
      <c r="X608" s="113"/>
      <c r="Y608" s="113"/>
      <c r="Z608" s="113"/>
      <c r="AA608" s="113"/>
      <c r="AB608" s="113"/>
    </row>
    <row r="609" spans="1:28" ht="75" customHeight="1" x14ac:dyDescent="0.25">
      <c r="A609" s="740"/>
      <c r="B609" s="145" t="s">
        <v>747</v>
      </c>
      <c r="C609" s="145" t="s">
        <v>743</v>
      </c>
      <c r="D609" s="227">
        <v>20</v>
      </c>
      <c r="E609" s="30">
        <v>12</v>
      </c>
      <c r="F609" s="30">
        <v>3</v>
      </c>
      <c r="G609" s="147">
        <f t="shared" si="13"/>
        <v>0.25</v>
      </c>
      <c r="H609" s="239" t="s">
        <v>792</v>
      </c>
      <c r="I609" s="113"/>
      <c r="J609" s="113"/>
      <c r="K609" s="113"/>
      <c r="L609" s="113"/>
      <c r="M609" s="113"/>
      <c r="N609" s="113"/>
      <c r="O609" s="113"/>
      <c r="P609" s="113"/>
      <c r="Q609" s="113"/>
      <c r="R609" s="113"/>
      <c r="S609" s="113"/>
      <c r="T609" s="113"/>
      <c r="U609" s="113"/>
      <c r="V609" s="113"/>
      <c r="W609" s="113"/>
      <c r="X609" s="113"/>
      <c r="Y609" s="113"/>
      <c r="Z609" s="113"/>
      <c r="AA609" s="113"/>
      <c r="AB609" s="113"/>
    </row>
    <row r="610" spans="1:28" ht="61.5" customHeight="1" x14ac:dyDescent="0.25">
      <c r="A610" s="740"/>
      <c r="B610" s="145" t="s">
        <v>749</v>
      </c>
      <c r="C610" s="145" t="s">
        <v>177</v>
      </c>
      <c r="D610" s="227">
        <v>20</v>
      </c>
      <c r="E610" s="194">
        <v>20</v>
      </c>
      <c r="F610" s="194">
        <v>4.99</v>
      </c>
      <c r="G610" s="241">
        <f t="shared" si="13"/>
        <v>0.2495</v>
      </c>
      <c r="H610" s="242" t="s">
        <v>793</v>
      </c>
      <c r="I610" s="113"/>
      <c r="J610" s="113"/>
      <c r="K610" s="113"/>
      <c r="L610" s="113"/>
      <c r="M610" s="113"/>
      <c r="N610" s="113"/>
      <c r="O610" s="113"/>
      <c r="P610" s="113"/>
      <c r="Q610" s="113"/>
      <c r="R610" s="113"/>
      <c r="S610" s="113"/>
      <c r="T610" s="113"/>
      <c r="U610" s="113"/>
      <c r="V610" s="113"/>
      <c r="W610" s="113"/>
      <c r="X610" s="113"/>
      <c r="Y610" s="113"/>
      <c r="Z610" s="113"/>
      <c r="AA610" s="113"/>
      <c r="AB610" s="113"/>
    </row>
    <row r="611" spans="1:28" ht="63" customHeight="1" x14ac:dyDescent="0.25">
      <c r="A611" s="792"/>
      <c r="B611" s="153" t="s">
        <v>751</v>
      </c>
      <c r="C611" s="153" t="s">
        <v>743</v>
      </c>
      <c r="D611" s="234">
        <v>20</v>
      </c>
      <c r="E611" s="155">
        <v>12</v>
      </c>
      <c r="F611" s="155">
        <v>3</v>
      </c>
      <c r="G611" s="154">
        <f t="shared" si="13"/>
        <v>0.25</v>
      </c>
      <c r="H611" s="243" t="s">
        <v>794</v>
      </c>
      <c r="I611" s="113"/>
      <c r="J611" s="113"/>
      <c r="K611" s="113"/>
      <c r="L611" s="113"/>
      <c r="M611" s="113"/>
      <c r="N611" s="113"/>
      <c r="O611" s="113"/>
      <c r="P611" s="113"/>
      <c r="Q611" s="113"/>
      <c r="R611" s="113"/>
      <c r="S611" s="113"/>
      <c r="T611" s="113"/>
      <c r="U611" s="113"/>
      <c r="V611" s="113"/>
      <c r="W611" s="113"/>
      <c r="X611" s="113"/>
      <c r="Y611" s="113"/>
      <c r="Z611" s="113"/>
      <c r="AA611" s="113"/>
      <c r="AB611" s="113"/>
    </row>
    <row r="612" spans="1:28" ht="78.75" customHeight="1" x14ac:dyDescent="0.25">
      <c r="A612" s="791" t="s">
        <v>436</v>
      </c>
      <c r="B612" s="138" t="s">
        <v>742</v>
      </c>
      <c r="C612" s="138" t="s">
        <v>743</v>
      </c>
      <c r="D612" s="224">
        <v>20</v>
      </c>
      <c r="E612" s="30">
        <v>12</v>
      </c>
      <c r="F612" s="30">
        <v>4</v>
      </c>
      <c r="G612" s="147">
        <f t="shared" si="13"/>
        <v>0.33333333333333331</v>
      </c>
      <c r="H612" s="244" t="s">
        <v>795</v>
      </c>
      <c r="I612" s="113"/>
      <c r="J612" s="113"/>
      <c r="K612" s="113"/>
      <c r="L612" s="113"/>
      <c r="M612" s="113"/>
      <c r="N612" s="113"/>
      <c r="O612" s="113"/>
      <c r="P612" s="113"/>
      <c r="Q612" s="113"/>
      <c r="R612" s="113"/>
      <c r="S612" s="113"/>
      <c r="T612" s="113"/>
      <c r="U612" s="113"/>
      <c r="V612" s="113"/>
      <c r="W612" s="113"/>
      <c r="X612" s="113"/>
      <c r="Y612" s="113"/>
      <c r="Z612" s="113"/>
      <c r="AA612" s="113"/>
      <c r="AB612" s="113"/>
    </row>
    <row r="613" spans="1:28" ht="76.5" customHeight="1" x14ac:dyDescent="0.25">
      <c r="A613" s="740"/>
      <c r="B613" s="145" t="s">
        <v>745</v>
      </c>
      <c r="C613" s="145" t="s">
        <v>743</v>
      </c>
      <c r="D613" s="227">
        <v>20</v>
      </c>
      <c r="E613" s="30">
        <v>12</v>
      </c>
      <c r="F613" s="30">
        <v>4</v>
      </c>
      <c r="G613" s="147">
        <f t="shared" si="13"/>
        <v>0.33333333333333331</v>
      </c>
      <c r="H613" s="239" t="s">
        <v>796</v>
      </c>
      <c r="I613" s="113"/>
      <c r="J613" s="113"/>
      <c r="K613" s="113"/>
      <c r="L613" s="113"/>
      <c r="M613" s="113"/>
      <c r="N613" s="113"/>
      <c r="O613" s="113"/>
      <c r="P613" s="113"/>
      <c r="Q613" s="113"/>
      <c r="R613" s="113"/>
      <c r="S613" s="113"/>
      <c r="T613" s="113"/>
      <c r="U613" s="113"/>
      <c r="V613" s="113"/>
      <c r="W613" s="113"/>
      <c r="X613" s="113"/>
      <c r="Y613" s="113"/>
      <c r="Z613" s="113"/>
      <c r="AA613" s="113"/>
      <c r="AB613" s="113"/>
    </row>
    <row r="614" spans="1:28" ht="84.75" customHeight="1" x14ac:dyDescent="0.25">
      <c r="A614" s="740"/>
      <c r="B614" s="145" t="s">
        <v>747</v>
      </c>
      <c r="C614" s="145" t="s">
        <v>743</v>
      </c>
      <c r="D614" s="227">
        <v>20</v>
      </c>
      <c r="E614" s="30">
        <v>12</v>
      </c>
      <c r="F614" s="30">
        <v>4</v>
      </c>
      <c r="G614" s="147">
        <f t="shared" si="13"/>
        <v>0.33333333333333331</v>
      </c>
      <c r="H614" s="239" t="s">
        <v>797</v>
      </c>
      <c r="I614" s="113"/>
      <c r="J614" s="113"/>
      <c r="K614" s="113"/>
      <c r="L614" s="113"/>
      <c r="M614" s="113"/>
      <c r="N614" s="113"/>
      <c r="O614" s="113"/>
      <c r="P614" s="113"/>
      <c r="Q614" s="113"/>
      <c r="R614" s="113"/>
      <c r="S614" s="113"/>
      <c r="T614" s="113"/>
      <c r="U614" s="113"/>
      <c r="V614" s="113"/>
      <c r="W614" s="113"/>
      <c r="X614" s="113"/>
      <c r="Y614" s="113"/>
      <c r="Z614" s="113"/>
      <c r="AA614" s="113"/>
      <c r="AB614" s="113"/>
    </row>
    <row r="615" spans="1:28" ht="66" customHeight="1" x14ac:dyDescent="0.25">
      <c r="A615" s="740"/>
      <c r="B615" s="145" t="s">
        <v>749</v>
      </c>
      <c r="C615" s="145" t="s">
        <v>177</v>
      </c>
      <c r="D615" s="227">
        <v>20</v>
      </c>
      <c r="E615" s="194">
        <v>20</v>
      </c>
      <c r="F615" s="194">
        <v>6.66</v>
      </c>
      <c r="G615" s="241">
        <f t="shared" si="13"/>
        <v>0.33300000000000002</v>
      </c>
      <c r="H615" s="242" t="s">
        <v>798</v>
      </c>
      <c r="I615" s="113"/>
      <c r="J615" s="113"/>
      <c r="K615" s="113"/>
      <c r="L615" s="113"/>
      <c r="M615" s="113"/>
      <c r="N615" s="113"/>
      <c r="O615" s="113"/>
      <c r="P615" s="113"/>
      <c r="Q615" s="113"/>
      <c r="R615" s="113"/>
      <c r="S615" s="113"/>
      <c r="T615" s="113"/>
      <c r="U615" s="113"/>
      <c r="V615" s="113"/>
      <c r="W615" s="113"/>
      <c r="X615" s="113"/>
      <c r="Y615" s="113"/>
      <c r="Z615" s="113"/>
      <c r="AA615" s="113"/>
      <c r="AB615" s="113"/>
    </row>
    <row r="616" spans="1:28" ht="78" customHeight="1" x14ac:dyDescent="0.25">
      <c r="A616" s="792"/>
      <c r="B616" s="153" t="s">
        <v>751</v>
      </c>
      <c r="C616" s="153" t="s">
        <v>743</v>
      </c>
      <c r="D616" s="234">
        <v>20</v>
      </c>
      <c r="E616" s="155">
        <v>12</v>
      </c>
      <c r="F616" s="155">
        <v>4</v>
      </c>
      <c r="G616" s="154">
        <f t="shared" si="13"/>
        <v>0.33333333333333331</v>
      </c>
      <c r="H616" s="243" t="s">
        <v>799</v>
      </c>
      <c r="I616" s="113"/>
      <c r="J616" s="113"/>
      <c r="K616" s="113"/>
      <c r="L616" s="113"/>
      <c r="M616" s="113"/>
      <c r="N616" s="113"/>
      <c r="O616" s="113"/>
      <c r="P616" s="113"/>
      <c r="Q616" s="113"/>
      <c r="R616" s="113"/>
      <c r="S616" s="113"/>
      <c r="T616" s="113"/>
      <c r="U616" s="113"/>
      <c r="V616" s="113"/>
      <c r="W616" s="113"/>
      <c r="X616" s="113"/>
      <c r="Y616" s="113"/>
      <c r="Z616" s="113"/>
      <c r="AA616" s="113"/>
      <c r="AB616" s="113"/>
    </row>
    <row r="617" spans="1:28" ht="44.25" customHeight="1" x14ac:dyDescent="0.25">
      <c r="A617" s="791" t="s">
        <v>437</v>
      </c>
      <c r="B617" s="138" t="s">
        <v>742</v>
      </c>
      <c r="C617" s="138" t="s">
        <v>743</v>
      </c>
      <c r="D617" s="224">
        <v>20</v>
      </c>
      <c r="E617" s="30">
        <v>12</v>
      </c>
      <c r="F617" s="30">
        <v>5</v>
      </c>
      <c r="G617" s="147">
        <f t="shared" si="13"/>
        <v>0.41666666666666669</v>
      </c>
      <c r="H617" s="244" t="s">
        <v>800</v>
      </c>
      <c r="I617" s="113"/>
      <c r="J617" s="113"/>
      <c r="K617" s="113"/>
      <c r="L617" s="113"/>
      <c r="M617" s="113"/>
      <c r="N617" s="113"/>
      <c r="O617" s="113"/>
      <c r="P617" s="113"/>
      <c r="Q617" s="113"/>
      <c r="R617" s="113"/>
      <c r="S617" s="113"/>
      <c r="T617" s="113"/>
      <c r="U617" s="113"/>
      <c r="V617" s="113"/>
      <c r="W617" s="113"/>
      <c r="X617" s="113"/>
      <c r="Y617" s="113"/>
      <c r="Z617" s="113"/>
      <c r="AA617" s="113"/>
      <c r="AB617" s="113"/>
    </row>
    <row r="618" spans="1:28" ht="44.25" customHeight="1" x14ac:dyDescent="0.25">
      <c r="A618" s="740"/>
      <c r="B618" s="145" t="s">
        <v>745</v>
      </c>
      <c r="C618" s="145" t="s">
        <v>743</v>
      </c>
      <c r="D618" s="227">
        <v>20</v>
      </c>
      <c r="E618" s="30">
        <v>12</v>
      </c>
      <c r="F618" s="30">
        <v>5</v>
      </c>
      <c r="G618" s="147">
        <f t="shared" si="13"/>
        <v>0.41666666666666669</v>
      </c>
      <c r="H618" s="239" t="s">
        <v>801</v>
      </c>
      <c r="I618" s="113"/>
      <c r="J618" s="113"/>
      <c r="K618" s="113"/>
      <c r="L618" s="113"/>
      <c r="M618" s="113"/>
      <c r="N618" s="113"/>
      <c r="O618" s="113"/>
      <c r="P618" s="113"/>
      <c r="Q618" s="113"/>
      <c r="R618" s="113"/>
      <c r="S618" s="113"/>
      <c r="T618" s="113"/>
      <c r="U618" s="113"/>
      <c r="V618" s="113"/>
      <c r="W618" s="113"/>
      <c r="X618" s="113"/>
      <c r="Y618" s="113"/>
      <c r="Z618" s="113"/>
      <c r="AA618" s="113"/>
      <c r="AB618" s="113"/>
    </row>
    <row r="619" spans="1:28" ht="44.25" customHeight="1" x14ac:dyDescent="0.25">
      <c r="A619" s="740"/>
      <c r="B619" s="145" t="s">
        <v>747</v>
      </c>
      <c r="C619" s="145" t="s">
        <v>743</v>
      </c>
      <c r="D619" s="227">
        <v>20</v>
      </c>
      <c r="E619" s="30">
        <v>12</v>
      </c>
      <c r="F619" s="30">
        <v>5</v>
      </c>
      <c r="G619" s="147">
        <f t="shared" si="13"/>
        <v>0.41666666666666669</v>
      </c>
      <c r="H619" s="239" t="s">
        <v>802</v>
      </c>
      <c r="I619" s="113"/>
      <c r="J619" s="113"/>
      <c r="K619" s="113"/>
      <c r="L619" s="113"/>
      <c r="M619" s="113"/>
      <c r="N619" s="113"/>
      <c r="O619" s="113"/>
      <c r="P619" s="113"/>
      <c r="Q619" s="113"/>
      <c r="R619" s="113"/>
      <c r="S619" s="113"/>
      <c r="T619" s="113"/>
      <c r="U619" s="113"/>
      <c r="V619" s="113"/>
      <c r="W619" s="113"/>
      <c r="X619" s="113"/>
      <c r="Y619" s="113"/>
      <c r="Z619" s="113"/>
      <c r="AA619" s="113"/>
      <c r="AB619" s="113"/>
    </row>
    <row r="620" spans="1:28" ht="44.25" customHeight="1" x14ac:dyDescent="0.25">
      <c r="A620" s="740"/>
      <c r="B620" s="145" t="s">
        <v>749</v>
      </c>
      <c r="C620" s="145" t="s">
        <v>177</v>
      </c>
      <c r="D620" s="227">
        <v>20</v>
      </c>
      <c r="E620" s="194">
        <v>20</v>
      </c>
      <c r="F620" s="194">
        <v>8.33</v>
      </c>
      <c r="G620" s="241">
        <f t="shared" si="13"/>
        <v>0.41649999999999998</v>
      </c>
      <c r="H620" s="242" t="s">
        <v>803</v>
      </c>
      <c r="I620" s="113"/>
      <c r="J620" s="113"/>
      <c r="K620" s="113"/>
      <c r="L620" s="113"/>
      <c r="M620" s="113"/>
      <c r="N620" s="113"/>
      <c r="O620" s="113"/>
      <c r="P620" s="113"/>
      <c r="Q620" s="113"/>
      <c r="R620" s="113"/>
      <c r="S620" s="113"/>
      <c r="T620" s="113"/>
      <c r="U620" s="113"/>
      <c r="V620" s="113"/>
      <c r="W620" s="113"/>
      <c r="X620" s="113"/>
      <c r="Y620" s="113"/>
      <c r="Z620" s="113"/>
      <c r="AA620" s="113"/>
      <c r="AB620" s="113"/>
    </row>
    <row r="621" spans="1:28" ht="44.25" customHeight="1" x14ac:dyDescent="0.25">
      <c r="A621" s="792"/>
      <c r="B621" s="153" t="s">
        <v>751</v>
      </c>
      <c r="C621" s="153" t="s">
        <v>743</v>
      </c>
      <c r="D621" s="234">
        <v>20</v>
      </c>
      <c r="E621" s="155">
        <v>12</v>
      </c>
      <c r="F621" s="155">
        <v>5</v>
      </c>
      <c r="G621" s="154">
        <f t="shared" si="13"/>
        <v>0.41666666666666669</v>
      </c>
      <c r="H621" s="243" t="s">
        <v>804</v>
      </c>
      <c r="I621" s="113"/>
      <c r="J621" s="113"/>
      <c r="K621" s="113"/>
      <c r="L621" s="113"/>
      <c r="M621" s="113"/>
      <c r="N621" s="113"/>
      <c r="O621" s="113"/>
      <c r="P621" s="113"/>
      <c r="Q621" s="113"/>
      <c r="R621" s="113"/>
      <c r="S621" s="113"/>
      <c r="T621" s="113"/>
      <c r="U621" s="113"/>
      <c r="V621" s="113"/>
      <c r="W621" s="113"/>
      <c r="X621" s="113"/>
      <c r="Y621" s="113"/>
      <c r="Z621" s="113"/>
      <c r="AA621" s="113"/>
      <c r="AB621" s="113"/>
    </row>
    <row r="622" spans="1:28" ht="72" customHeight="1" x14ac:dyDescent="0.25">
      <c r="A622" s="791" t="s">
        <v>438</v>
      </c>
      <c r="B622" s="138" t="s">
        <v>742</v>
      </c>
      <c r="C622" s="138" t="s">
        <v>743</v>
      </c>
      <c r="D622" s="224">
        <v>20</v>
      </c>
      <c r="E622" s="30">
        <v>12</v>
      </c>
      <c r="F622" s="30">
        <v>6</v>
      </c>
      <c r="G622" s="147">
        <f t="shared" si="13"/>
        <v>0.5</v>
      </c>
      <c r="H622" s="244" t="s">
        <v>800</v>
      </c>
      <c r="I622" s="113"/>
      <c r="J622" s="113"/>
      <c r="K622" s="113"/>
      <c r="L622" s="113"/>
      <c r="M622" s="113"/>
      <c r="N622" s="113"/>
      <c r="O622" s="113"/>
      <c r="P622" s="113"/>
      <c r="Q622" s="113"/>
      <c r="R622" s="113"/>
      <c r="S622" s="113"/>
      <c r="T622" s="113"/>
      <c r="U622" s="113"/>
      <c r="V622" s="113"/>
      <c r="W622" s="113"/>
      <c r="X622" s="113"/>
      <c r="Y622" s="113"/>
      <c r="Z622" s="113"/>
      <c r="AA622" s="113"/>
      <c r="AB622" s="113"/>
    </row>
    <row r="623" spans="1:28" ht="72" customHeight="1" x14ac:dyDescent="0.25">
      <c r="A623" s="740"/>
      <c r="B623" s="145" t="s">
        <v>745</v>
      </c>
      <c r="C623" s="145" t="s">
        <v>743</v>
      </c>
      <c r="D623" s="227">
        <v>20</v>
      </c>
      <c r="E623" s="30">
        <v>12</v>
      </c>
      <c r="F623" s="30">
        <v>6</v>
      </c>
      <c r="G623" s="147">
        <f t="shared" si="13"/>
        <v>0.5</v>
      </c>
      <c r="H623" s="239" t="s">
        <v>801</v>
      </c>
      <c r="I623" s="113"/>
      <c r="J623" s="113"/>
      <c r="K623" s="113"/>
      <c r="L623" s="113"/>
      <c r="M623" s="113"/>
      <c r="N623" s="113"/>
      <c r="O623" s="113"/>
      <c r="P623" s="113"/>
      <c r="Q623" s="113"/>
      <c r="R623" s="113"/>
      <c r="S623" s="113"/>
      <c r="T623" s="113"/>
      <c r="U623" s="113"/>
      <c r="V623" s="113"/>
      <c r="W623" s="113"/>
      <c r="X623" s="113"/>
      <c r="Y623" s="113"/>
      <c r="Z623" s="113"/>
      <c r="AA623" s="113"/>
      <c r="AB623" s="113"/>
    </row>
    <row r="624" spans="1:28" ht="72" customHeight="1" x14ac:dyDescent="0.25">
      <c r="A624" s="740"/>
      <c r="B624" s="145" t="s">
        <v>747</v>
      </c>
      <c r="C624" s="145" t="s">
        <v>743</v>
      </c>
      <c r="D624" s="227">
        <v>20</v>
      </c>
      <c r="E624" s="30">
        <v>12</v>
      </c>
      <c r="F624" s="30">
        <v>6</v>
      </c>
      <c r="G624" s="147">
        <f t="shared" si="13"/>
        <v>0.5</v>
      </c>
      <c r="H624" s="239" t="s">
        <v>802</v>
      </c>
      <c r="I624" s="113"/>
      <c r="J624" s="113"/>
      <c r="K624" s="113"/>
      <c r="L624" s="113"/>
      <c r="M624" s="113"/>
      <c r="N624" s="113"/>
      <c r="O624" s="113"/>
      <c r="P624" s="113"/>
      <c r="Q624" s="113"/>
      <c r="R624" s="113"/>
      <c r="S624" s="113"/>
      <c r="T624" s="113"/>
      <c r="U624" s="113"/>
      <c r="V624" s="113"/>
      <c r="W624" s="113"/>
      <c r="X624" s="113"/>
      <c r="Y624" s="113"/>
      <c r="Z624" s="113"/>
      <c r="AA624" s="113"/>
      <c r="AB624" s="113"/>
    </row>
    <row r="625" spans="1:28" ht="72" customHeight="1" x14ac:dyDescent="0.25">
      <c r="A625" s="740"/>
      <c r="B625" s="145" t="s">
        <v>749</v>
      </c>
      <c r="C625" s="145" t="s">
        <v>177</v>
      </c>
      <c r="D625" s="227">
        <v>20</v>
      </c>
      <c r="E625" s="194">
        <v>20</v>
      </c>
      <c r="F625" s="245">
        <v>0.1</v>
      </c>
      <c r="G625" s="241">
        <f t="shared" si="13"/>
        <v>5.0000000000000001E-3</v>
      </c>
      <c r="H625" s="242" t="s">
        <v>803</v>
      </c>
      <c r="I625" s="113"/>
      <c r="J625" s="113"/>
      <c r="K625" s="113"/>
      <c r="L625" s="113"/>
      <c r="M625" s="113"/>
      <c r="N625" s="113"/>
      <c r="O625" s="113"/>
      <c r="P625" s="113"/>
      <c r="Q625" s="113"/>
      <c r="R625" s="113"/>
      <c r="S625" s="113"/>
      <c r="T625" s="113"/>
      <c r="U625" s="113"/>
      <c r="V625" s="113"/>
      <c r="W625" s="113"/>
      <c r="X625" s="113"/>
      <c r="Y625" s="113"/>
      <c r="Z625" s="113"/>
      <c r="AA625" s="113"/>
      <c r="AB625" s="113"/>
    </row>
    <row r="626" spans="1:28" ht="72" customHeight="1" x14ac:dyDescent="0.25">
      <c r="A626" s="792"/>
      <c r="B626" s="153" t="s">
        <v>751</v>
      </c>
      <c r="C626" s="153" t="s">
        <v>743</v>
      </c>
      <c r="D626" s="234">
        <v>20</v>
      </c>
      <c r="E626" s="155">
        <v>12</v>
      </c>
      <c r="F626" s="155">
        <v>6</v>
      </c>
      <c r="G626" s="154">
        <f t="shared" si="13"/>
        <v>0.5</v>
      </c>
      <c r="H626" s="243" t="s">
        <v>805</v>
      </c>
      <c r="I626" s="113"/>
      <c r="J626" s="113"/>
      <c r="K626" s="113"/>
      <c r="L626" s="113"/>
      <c r="M626" s="113"/>
      <c r="N626" s="113"/>
      <c r="O626" s="113"/>
      <c r="P626" s="113"/>
      <c r="Q626" s="113"/>
      <c r="R626" s="113"/>
      <c r="S626" s="113"/>
      <c r="T626" s="113"/>
      <c r="U626" s="113"/>
      <c r="V626" s="113"/>
      <c r="W626" s="113"/>
      <c r="X626" s="113"/>
      <c r="Y626" s="113"/>
      <c r="Z626" s="113"/>
      <c r="AA626" s="113"/>
      <c r="AB626" s="113"/>
    </row>
    <row r="627" spans="1:28" ht="36.75" customHeight="1" x14ac:dyDescent="0.25">
      <c r="A627" s="791" t="s">
        <v>425</v>
      </c>
      <c r="B627" s="138" t="s">
        <v>742</v>
      </c>
      <c r="C627" s="138" t="s">
        <v>743</v>
      </c>
      <c r="D627" s="224">
        <v>20</v>
      </c>
      <c r="E627" s="30">
        <v>12</v>
      </c>
      <c r="F627" s="30">
        <v>7</v>
      </c>
      <c r="G627" s="147">
        <f t="shared" si="13"/>
        <v>0.58333333333333337</v>
      </c>
      <c r="H627" s="244" t="s">
        <v>800</v>
      </c>
      <c r="I627" s="113"/>
      <c r="J627" s="113"/>
      <c r="K627" s="113"/>
      <c r="L627" s="113"/>
      <c r="M627" s="113"/>
      <c r="N627" s="113"/>
      <c r="O627" s="113"/>
      <c r="P627" s="113"/>
      <c r="Q627" s="113"/>
      <c r="R627" s="113"/>
      <c r="S627" s="113"/>
      <c r="T627" s="113"/>
      <c r="U627" s="113"/>
      <c r="V627" s="113"/>
      <c r="W627" s="113"/>
      <c r="X627" s="113"/>
      <c r="Y627" s="113"/>
      <c r="Z627" s="113"/>
      <c r="AA627" s="113"/>
      <c r="AB627" s="113"/>
    </row>
    <row r="628" spans="1:28" ht="36.75" customHeight="1" x14ac:dyDescent="0.25">
      <c r="A628" s="740"/>
      <c r="B628" s="145" t="s">
        <v>745</v>
      </c>
      <c r="C628" s="145" t="s">
        <v>743</v>
      </c>
      <c r="D628" s="227">
        <v>20</v>
      </c>
      <c r="E628" s="30">
        <v>12</v>
      </c>
      <c r="F628" s="30">
        <v>7</v>
      </c>
      <c r="G628" s="147">
        <f t="shared" si="13"/>
        <v>0.58333333333333337</v>
      </c>
      <c r="H628" s="239" t="s">
        <v>801</v>
      </c>
      <c r="I628" s="113"/>
      <c r="J628" s="113"/>
      <c r="K628" s="113"/>
      <c r="L628" s="113"/>
      <c r="M628" s="113"/>
      <c r="N628" s="113"/>
      <c r="O628" s="113"/>
      <c r="P628" s="113"/>
      <c r="Q628" s="113"/>
      <c r="R628" s="113"/>
      <c r="S628" s="113"/>
      <c r="T628" s="113"/>
      <c r="U628" s="113"/>
      <c r="V628" s="113"/>
      <c r="W628" s="113"/>
      <c r="X628" s="113"/>
      <c r="Y628" s="113"/>
      <c r="Z628" s="113"/>
      <c r="AA628" s="113"/>
      <c r="AB628" s="113"/>
    </row>
    <row r="629" spans="1:28" ht="36.75" customHeight="1" x14ac:dyDescent="0.25">
      <c r="A629" s="740"/>
      <c r="B629" s="145" t="s">
        <v>747</v>
      </c>
      <c r="C629" s="145" t="s">
        <v>743</v>
      </c>
      <c r="D629" s="227">
        <v>20</v>
      </c>
      <c r="E629" s="30">
        <v>12</v>
      </c>
      <c r="F629" s="30">
        <v>7</v>
      </c>
      <c r="G629" s="147">
        <f t="shared" si="13"/>
        <v>0.58333333333333337</v>
      </c>
      <c r="H629" s="239" t="s">
        <v>802</v>
      </c>
      <c r="I629" s="113"/>
      <c r="J629" s="113"/>
      <c r="K629" s="113"/>
      <c r="L629" s="113"/>
      <c r="M629" s="113"/>
      <c r="N629" s="113"/>
      <c r="O629" s="113"/>
      <c r="P629" s="113"/>
      <c r="Q629" s="113"/>
      <c r="R629" s="113"/>
      <c r="S629" s="113"/>
      <c r="T629" s="113"/>
      <c r="U629" s="113"/>
      <c r="V629" s="113"/>
      <c r="W629" s="113"/>
      <c r="X629" s="113"/>
      <c r="Y629" s="113"/>
      <c r="Z629" s="113"/>
      <c r="AA629" s="113"/>
      <c r="AB629" s="113"/>
    </row>
    <row r="630" spans="1:28" ht="36.75" customHeight="1" x14ac:dyDescent="0.25">
      <c r="A630" s="740"/>
      <c r="B630" s="145" t="s">
        <v>749</v>
      </c>
      <c r="C630" s="145" t="s">
        <v>177</v>
      </c>
      <c r="D630" s="227">
        <v>20</v>
      </c>
      <c r="E630" s="194">
        <v>20</v>
      </c>
      <c r="F630" s="30">
        <v>11.67</v>
      </c>
      <c r="G630" s="241">
        <f t="shared" si="13"/>
        <v>0.58350000000000002</v>
      </c>
      <c r="H630" s="242" t="s">
        <v>803</v>
      </c>
      <c r="I630" s="113"/>
      <c r="J630" s="113"/>
      <c r="K630" s="113"/>
      <c r="L630" s="113"/>
      <c r="M630" s="113"/>
      <c r="N630" s="113"/>
      <c r="O630" s="113"/>
      <c r="P630" s="113"/>
      <c r="Q630" s="113"/>
      <c r="R630" s="113"/>
      <c r="S630" s="113"/>
      <c r="T630" s="113"/>
      <c r="U630" s="113"/>
      <c r="V630" s="113"/>
      <c r="W630" s="113"/>
      <c r="X630" s="113"/>
      <c r="Y630" s="113"/>
      <c r="Z630" s="113"/>
      <c r="AA630" s="113"/>
      <c r="AB630" s="113"/>
    </row>
    <row r="631" spans="1:28" ht="36.75" customHeight="1" x14ac:dyDescent="0.25">
      <c r="A631" s="792"/>
      <c r="B631" s="153" t="s">
        <v>751</v>
      </c>
      <c r="C631" s="153" t="s">
        <v>743</v>
      </c>
      <c r="D631" s="234">
        <v>20</v>
      </c>
      <c r="E631" s="155">
        <v>12</v>
      </c>
      <c r="F631" s="155">
        <v>7</v>
      </c>
      <c r="G631" s="154">
        <f t="shared" si="13"/>
        <v>0.58333333333333337</v>
      </c>
      <c r="H631" s="243" t="s">
        <v>805</v>
      </c>
      <c r="I631" s="113"/>
      <c r="J631" s="113"/>
      <c r="K631" s="113"/>
      <c r="L631" s="113"/>
      <c r="M631" s="113"/>
      <c r="N631" s="113"/>
      <c r="O631" s="113"/>
      <c r="P631" s="113"/>
      <c r="Q631" s="113"/>
      <c r="R631" s="113"/>
      <c r="S631" s="113"/>
      <c r="T631" s="113"/>
      <c r="U631" s="113"/>
      <c r="V631" s="113"/>
      <c r="W631" s="113"/>
      <c r="X631" s="113"/>
      <c r="Y631" s="113"/>
      <c r="Z631" s="113"/>
      <c r="AA631" s="113"/>
      <c r="AB631" s="113"/>
    </row>
    <row r="632" spans="1:28" ht="45.75" customHeight="1" x14ac:dyDescent="0.25">
      <c r="A632" s="791" t="s">
        <v>426</v>
      </c>
      <c r="B632" s="138" t="s">
        <v>742</v>
      </c>
      <c r="C632" s="138" t="s">
        <v>743</v>
      </c>
      <c r="D632" s="224">
        <v>20</v>
      </c>
      <c r="E632" s="30">
        <v>12</v>
      </c>
      <c r="F632" s="30">
        <v>8</v>
      </c>
      <c r="G632" s="147">
        <f t="shared" si="13"/>
        <v>0.66666666666666663</v>
      </c>
      <c r="H632" s="244" t="s">
        <v>806</v>
      </c>
      <c r="I632" s="113"/>
      <c r="J632" s="113"/>
      <c r="K632" s="113"/>
      <c r="L632" s="113"/>
      <c r="M632" s="113"/>
      <c r="N632" s="113"/>
      <c r="O632" s="113"/>
      <c r="P632" s="113"/>
      <c r="Q632" s="113"/>
      <c r="R632" s="113"/>
      <c r="S632" s="113"/>
      <c r="T632" s="113"/>
      <c r="U632" s="113"/>
      <c r="V632" s="113"/>
      <c r="W632" s="113"/>
      <c r="X632" s="113"/>
      <c r="Y632" s="113"/>
      <c r="Z632" s="113"/>
      <c r="AA632" s="113"/>
      <c r="AB632" s="113"/>
    </row>
    <row r="633" spans="1:28" ht="45.75" customHeight="1" x14ac:dyDescent="0.25">
      <c r="A633" s="740"/>
      <c r="B633" s="145" t="s">
        <v>745</v>
      </c>
      <c r="C633" s="145" t="s">
        <v>743</v>
      </c>
      <c r="D633" s="227">
        <v>20</v>
      </c>
      <c r="E633" s="30">
        <v>12</v>
      </c>
      <c r="F633" s="30">
        <v>8</v>
      </c>
      <c r="G633" s="147">
        <f t="shared" si="13"/>
        <v>0.66666666666666663</v>
      </c>
      <c r="H633" s="239" t="s">
        <v>801</v>
      </c>
      <c r="I633" s="113"/>
      <c r="J633" s="113"/>
      <c r="K633" s="113"/>
      <c r="L633" s="113"/>
      <c r="M633" s="113"/>
      <c r="N633" s="113"/>
      <c r="O633" s="113"/>
      <c r="P633" s="113"/>
      <c r="Q633" s="113"/>
      <c r="R633" s="113"/>
      <c r="S633" s="113"/>
      <c r="T633" s="113"/>
      <c r="U633" s="113"/>
      <c r="V633" s="113"/>
      <c r="W633" s="113"/>
      <c r="X633" s="113"/>
      <c r="Y633" s="113"/>
      <c r="Z633" s="113"/>
      <c r="AA633" s="113"/>
      <c r="AB633" s="113"/>
    </row>
    <row r="634" spans="1:28" ht="45.75" customHeight="1" x14ac:dyDescent="0.25">
      <c r="A634" s="740"/>
      <c r="B634" s="145" t="s">
        <v>747</v>
      </c>
      <c r="C634" s="145" t="s">
        <v>743</v>
      </c>
      <c r="D634" s="227">
        <v>20</v>
      </c>
      <c r="E634" s="30">
        <v>12</v>
      </c>
      <c r="F634" s="30">
        <v>8</v>
      </c>
      <c r="G634" s="147">
        <f t="shared" si="13"/>
        <v>0.66666666666666663</v>
      </c>
      <c r="H634" s="239" t="s">
        <v>802</v>
      </c>
      <c r="I634" s="113"/>
      <c r="J634" s="113"/>
      <c r="K634" s="113"/>
      <c r="L634" s="113"/>
      <c r="M634" s="113"/>
      <c r="N634" s="113"/>
      <c r="O634" s="113"/>
      <c r="P634" s="113"/>
      <c r="Q634" s="113"/>
      <c r="R634" s="113"/>
      <c r="S634" s="113"/>
      <c r="T634" s="113"/>
      <c r="U634" s="113"/>
      <c r="V634" s="113"/>
      <c r="W634" s="113"/>
      <c r="X634" s="113"/>
      <c r="Y634" s="113"/>
      <c r="Z634" s="113"/>
      <c r="AA634" s="113"/>
      <c r="AB634" s="113"/>
    </row>
    <row r="635" spans="1:28" ht="45.75" customHeight="1" x14ac:dyDescent="0.25">
      <c r="A635" s="740"/>
      <c r="B635" s="145" t="s">
        <v>749</v>
      </c>
      <c r="C635" s="145" t="s">
        <v>177</v>
      </c>
      <c r="D635" s="227">
        <v>20</v>
      </c>
      <c r="E635" s="194">
        <v>20</v>
      </c>
      <c r="F635" s="30">
        <v>13.34</v>
      </c>
      <c r="G635" s="241">
        <f t="shared" si="13"/>
        <v>0.66700000000000004</v>
      </c>
      <c r="H635" s="242" t="s">
        <v>803</v>
      </c>
      <c r="I635" s="113"/>
      <c r="J635" s="113"/>
      <c r="K635" s="113"/>
      <c r="L635" s="113"/>
      <c r="M635" s="113"/>
      <c r="N635" s="113"/>
      <c r="O635" s="113"/>
      <c r="P635" s="113"/>
      <c r="Q635" s="113"/>
      <c r="R635" s="113"/>
      <c r="S635" s="113"/>
      <c r="T635" s="113"/>
      <c r="U635" s="113"/>
      <c r="V635" s="113"/>
      <c r="W635" s="113"/>
      <c r="X635" s="113"/>
      <c r="Y635" s="113"/>
      <c r="Z635" s="113"/>
      <c r="AA635" s="113"/>
      <c r="AB635" s="113"/>
    </row>
    <row r="636" spans="1:28" ht="45.75" customHeight="1" x14ac:dyDescent="0.25">
      <c r="A636" s="792"/>
      <c r="B636" s="153" t="s">
        <v>751</v>
      </c>
      <c r="C636" s="153" t="s">
        <v>743</v>
      </c>
      <c r="D636" s="234">
        <v>20</v>
      </c>
      <c r="E636" s="155">
        <v>12</v>
      </c>
      <c r="F636" s="155">
        <v>8</v>
      </c>
      <c r="G636" s="154">
        <f t="shared" si="13"/>
        <v>0.66666666666666663</v>
      </c>
      <c r="H636" s="243" t="s">
        <v>805</v>
      </c>
      <c r="I636" s="113"/>
      <c r="J636" s="113"/>
      <c r="K636" s="113"/>
      <c r="L636" s="113"/>
      <c r="M636" s="113"/>
      <c r="N636" s="113"/>
      <c r="O636" s="113"/>
      <c r="P636" s="113"/>
      <c r="Q636" s="113"/>
      <c r="R636" s="113"/>
      <c r="S636" s="113"/>
      <c r="T636" s="113"/>
      <c r="U636" s="113"/>
      <c r="V636" s="113"/>
      <c r="W636" s="113"/>
      <c r="X636" s="113"/>
      <c r="Y636" s="113"/>
      <c r="Z636" s="113"/>
      <c r="AA636" s="113"/>
      <c r="AB636" s="113"/>
    </row>
    <row r="637" spans="1:28" ht="34.5" customHeight="1" x14ac:dyDescent="0.25">
      <c r="A637" s="791" t="s">
        <v>427</v>
      </c>
      <c r="B637" s="138" t="s">
        <v>742</v>
      </c>
      <c r="C637" s="138" t="s">
        <v>743</v>
      </c>
      <c r="D637" s="224">
        <v>20</v>
      </c>
      <c r="E637" s="30">
        <v>12</v>
      </c>
      <c r="F637" s="30">
        <v>9</v>
      </c>
      <c r="G637" s="147">
        <f t="shared" si="13"/>
        <v>0.75</v>
      </c>
      <c r="H637" s="244" t="s">
        <v>806</v>
      </c>
      <c r="I637" s="113"/>
      <c r="J637" s="113"/>
      <c r="K637" s="113"/>
      <c r="L637" s="113"/>
      <c r="M637" s="113"/>
      <c r="N637" s="113"/>
      <c r="O637" s="113"/>
      <c r="P637" s="113"/>
      <c r="Q637" s="113"/>
      <c r="R637" s="113"/>
      <c r="S637" s="113"/>
      <c r="T637" s="113"/>
      <c r="U637" s="113"/>
      <c r="V637" s="113"/>
      <c r="W637" s="113"/>
      <c r="X637" s="113"/>
      <c r="Y637" s="113"/>
      <c r="Z637" s="113"/>
      <c r="AA637" s="113"/>
      <c r="AB637" s="113"/>
    </row>
    <row r="638" spans="1:28" ht="34.5" customHeight="1" x14ac:dyDescent="0.25">
      <c r="A638" s="740"/>
      <c r="B638" s="145" t="s">
        <v>745</v>
      </c>
      <c r="C638" s="145" t="s">
        <v>743</v>
      </c>
      <c r="D638" s="227">
        <v>20</v>
      </c>
      <c r="E638" s="30">
        <v>12</v>
      </c>
      <c r="F638" s="30">
        <v>9</v>
      </c>
      <c r="G638" s="147">
        <f t="shared" si="13"/>
        <v>0.75</v>
      </c>
      <c r="H638" s="239" t="s">
        <v>801</v>
      </c>
      <c r="I638" s="113"/>
      <c r="J638" s="113"/>
      <c r="K638" s="113"/>
      <c r="L638" s="113"/>
      <c r="M638" s="113"/>
      <c r="N638" s="113"/>
      <c r="O638" s="113"/>
      <c r="P638" s="113"/>
      <c r="Q638" s="113"/>
      <c r="R638" s="113"/>
      <c r="S638" s="113"/>
      <c r="T638" s="113"/>
      <c r="U638" s="113"/>
      <c r="V638" s="113"/>
      <c r="W638" s="113"/>
      <c r="X638" s="113"/>
      <c r="Y638" s="113"/>
      <c r="Z638" s="113"/>
      <c r="AA638" s="113"/>
      <c r="AB638" s="113"/>
    </row>
    <row r="639" spans="1:28" ht="34.5" customHeight="1" x14ac:dyDescent="0.25">
      <c r="A639" s="740"/>
      <c r="B639" s="145" t="s">
        <v>747</v>
      </c>
      <c r="C639" s="145" t="s">
        <v>743</v>
      </c>
      <c r="D639" s="227">
        <v>20</v>
      </c>
      <c r="E639" s="30">
        <v>12</v>
      </c>
      <c r="F639" s="30">
        <v>9</v>
      </c>
      <c r="G639" s="147">
        <f t="shared" si="13"/>
        <v>0.75</v>
      </c>
      <c r="H639" s="239" t="s">
        <v>802</v>
      </c>
      <c r="I639" s="113"/>
      <c r="J639" s="113"/>
      <c r="K639" s="113"/>
      <c r="L639" s="113"/>
      <c r="M639" s="113"/>
      <c r="N639" s="113"/>
      <c r="O639" s="113"/>
      <c r="P639" s="113"/>
      <c r="Q639" s="113"/>
      <c r="R639" s="113"/>
      <c r="S639" s="113"/>
      <c r="T639" s="113"/>
      <c r="U639" s="113"/>
      <c r="V639" s="113"/>
      <c r="W639" s="113"/>
      <c r="X639" s="113"/>
      <c r="Y639" s="113"/>
      <c r="Z639" s="113"/>
      <c r="AA639" s="113"/>
      <c r="AB639" s="113"/>
    </row>
    <row r="640" spans="1:28" ht="34.5" customHeight="1" x14ac:dyDescent="0.25">
      <c r="A640" s="740"/>
      <c r="B640" s="145" t="s">
        <v>749</v>
      </c>
      <c r="C640" s="145" t="s">
        <v>177</v>
      </c>
      <c r="D640" s="227">
        <v>20</v>
      </c>
      <c r="E640" s="194">
        <v>20</v>
      </c>
      <c r="F640" s="30">
        <v>15.01</v>
      </c>
      <c r="G640" s="241">
        <f t="shared" si="13"/>
        <v>0.75049999999999994</v>
      </c>
      <c r="H640" s="242" t="s">
        <v>803</v>
      </c>
      <c r="I640" s="113"/>
      <c r="J640" s="113"/>
      <c r="K640" s="113"/>
      <c r="L640" s="113"/>
      <c r="M640" s="113"/>
      <c r="N640" s="113"/>
      <c r="O640" s="113"/>
      <c r="P640" s="113"/>
      <c r="Q640" s="113"/>
      <c r="R640" s="113"/>
      <c r="S640" s="113"/>
      <c r="T640" s="113"/>
      <c r="U640" s="113"/>
      <c r="V640" s="113"/>
      <c r="W640" s="113"/>
      <c r="X640" s="113"/>
      <c r="Y640" s="113"/>
      <c r="Z640" s="113"/>
      <c r="AA640" s="113"/>
      <c r="AB640" s="113"/>
    </row>
    <row r="641" spans="1:28" ht="34.5" customHeight="1" x14ac:dyDescent="0.25">
      <c r="A641" s="792"/>
      <c r="B641" s="153" t="s">
        <v>751</v>
      </c>
      <c r="C641" s="153" t="s">
        <v>743</v>
      </c>
      <c r="D641" s="234">
        <v>20</v>
      </c>
      <c r="E641" s="155">
        <v>12</v>
      </c>
      <c r="F641" s="155">
        <v>9</v>
      </c>
      <c r="G641" s="154">
        <f t="shared" si="13"/>
        <v>0.75</v>
      </c>
      <c r="H641" s="243" t="s">
        <v>805</v>
      </c>
      <c r="I641" s="113"/>
      <c r="J641" s="113"/>
      <c r="K641" s="113"/>
      <c r="L641" s="113"/>
      <c r="M641" s="113"/>
      <c r="N641" s="113"/>
      <c r="O641" s="113"/>
      <c r="P641" s="113"/>
      <c r="Q641" s="113"/>
      <c r="R641" s="113"/>
      <c r="S641" s="113"/>
      <c r="T641" s="113"/>
      <c r="U641" s="113"/>
      <c r="V641" s="113"/>
      <c r="W641" s="113"/>
      <c r="X641" s="113"/>
      <c r="Y641" s="113"/>
      <c r="Z641" s="113"/>
      <c r="AA641" s="113"/>
      <c r="AB641" s="113"/>
    </row>
    <row r="642" spans="1:28" ht="72.75" customHeight="1" x14ac:dyDescent="0.25">
      <c r="A642" s="791" t="s">
        <v>428</v>
      </c>
      <c r="B642" s="138" t="s">
        <v>742</v>
      </c>
      <c r="C642" s="138" t="s">
        <v>743</v>
      </c>
      <c r="D642" s="224">
        <v>20</v>
      </c>
      <c r="E642" s="30">
        <v>12</v>
      </c>
      <c r="F642" s="30">
        <v>9</v>
      </c>
      <c r="G642" s="147">
        <f t="shared" si="13"/>
        <v>0.75</v>
      </c>
      <c r="H642" s="244" t="s">
        <v>806</v>
      </c>
      <c r="I642" s="113"/>
      <c r="J642" s="113"/>
      <c r="K642" s="113"/>
      <c r="L642" s="113"/>
      <c r="M642" s="113"/>
      <c r="N642" s="113"/>
      <c r="O642" s="113"/>
      <c r="P642" s="113"/>
      <c r="Q642" s="113"/>
      <c r="R642" s="113"/>
      <c r="S642" s="113"/>
      <c r="T642" s="113"/>
      <c r="U642" s="113"/>
      <c r="V642" s="113"/>
      <c r="W642" s="113"/>
      <c r="X642" s="113"/>
      <c r="Y642" s="113"/>
      <c r="Z642" s="113"/>
      <c r="AA642" s="113"/>
      <c r="AB642" s="113"/>
    </row>
    <row r="643" spans="1:28" ht="83.25" customHeight="1" x14ac:dyDescent="0.25">
      <c r="A643" s="740"/>
      <c r="B643" s="145" t="s">
        <v>745</v>
      </c>
      <c r="C643" s="145" t="s">
        <v>743</v>
      </c>
      <c r="D643" s="227">
        <v>20</v>
      </c>
      <c r="E643" s="30">
        <v>12</v>
      </c>
      <c r="F643" s="30">
        <v>10</v>
      </c>
      <c r="G643" s="147">
        <f t="shared" si="13"/>
        <v>0.83333333333333337</v>
      </c>
      <c r="H643" s="239" t="s">
        <v>801</v>
      </c>
      <c r="I643" s="113"/>
      <c r="J643" s="113"/>
      <c r="K643" s="113"/>
      <c r="L643" s="113"/>
      <c r="M643" s="113"/>
      <c r="N643" s="113"/>
      <c r="O643" s="113"/>
      <c r="P643" s="113"/>
      <c r="Q643" s="113"/>
      <c r="R643" s="113"/>
      <c r="S643" s="113"/>
      <c r="T643" s="113"/>
      <c r="U643" s="113"/>
      <c r="V643" s="113"/>
      <c r="W643" s="113"/>
      <c r="X643" s="113"/>
      <c r="Y643" s="113"/>
      <c r="Z643" s="113"/>
      <c r="AA643" s="113"/>
      <c r="AB643" s="113"/>
    </row>
    <row r="644" spans="1:28" ht="76.5" customHeight="1" x14ac:dyDescent="0.25">
      <c r="A644" s="740"/>
      <c r="B644" s="145" t="s">
        <v>747</v>
      </c>
      <c r="C644" s="145" t="s">
        <v>743</v>
      </c>
      <c r="D644" s="227">
        <v>20</v>
      </c>
      <c r="E644" s="30">
        <v>12</v>
      </c>
      <c r="F644" s="30">
        <v>10</v>
      </c>
      <c r="G644" s="147">
        <f t="shared" si="13"/>
        <v>0.83333333333333337</v>
      </c>
      <c r="H644" s="239" t="s">
        <v>802</v>
      </c>
      <c r="I644" s="113"/>
      <c r="J644" s="113"/>
      <c r="K644" s="113"/>
      <c r="L644" s="113"/>
      <c r="M644" s="113"/>
      <c r="N644" s="113"/>
      <c r="O644" s="113"/>
      <c r="P644" s="113"/>
      <c r="Q644" s="113"/>
      <c r="R644" s="113"/>
      <c r="S644" s="113"/>
      <c r="T644" s="113"/>
      <c r="U644" s="113"/>
      <c r="V644" s="113"/>
      <c r="W644" s="113"/>
      <c r="X644" s="113"/>
      <c r="Y644" s="113"/>
      <c r="Z644" s="113"/>
      <c r="AA644" s="113"/>
      <c r="AB644" s="113"/>
    </row>
    <row r="645" spans="1:28" ht="91.5" customHeight="1" x14ac:dyDescent="0.25">
      <c r="A645" s="740"/>
      <c r="B645" s="145" t="s">
        <v>749</v>
      </c>
      <c r="C645" s="145" t="s">
        <v>177</v>
      </c>
      <c r="D645" s="227">
        <v>20</v>
      </c>
      <c r="E645" s="194">
        <v>20</v>
      </c>
      <c r="F645" s="30">
        <v>16.68</v>
      </c>
      <c r="G645" s="241">
        <f t="shared" si="13"/>
        <v>0.83399999999999996</v>
      </c>
      <c r="H645" s="242" t="s">
        <v>803</v>
      </c>
      <c r="I645" s="113"/>
      <c r="J645" s="113"/>
      <c r="K645" s="113"/>
      <c r="L645" s="113"/>
      <c r="M645" s="113"/>
      <c r="N645" s="113"/>
      <c r="O645" s="113"/>
      <c r="P645" s="113"/>
      <c r="Q645" s="113"/>
      <c r="R645" s="113"/>
      <c r="S645" s="113"/>
      <c r="T645" s="113"/>
      <c r="U645" s="113"/>
      <c r="V645" s="113"/>
      <c r="W645" s="113"/>
      <c r="X645" s="113"/>
      <c r="Y645" s="113"/>
      <c r="Z645" s="113"/>
      <c r="AA645" s="113"/>
      <c r="AB645" s="113"/>
    </row>
    <row r="646" spans="1:28" ht="72.75" customHeight="1" x14ac:dyDescent="0.25">
      <c r="A646" s="792"/>
      <c r="B646" s="153" t="s">
        <v>751</v>
      </c>
      <c r="C646" s="153" t="s">
        <v>743</v>
      </c>
      <c r="D646" s="234">
        <v>20</v>
      </c>
      <c r="E646" s="155">
        <v>12</v>
      </c>
      <c r="F646" s="155">
        <v>10</v>
      </c>
      <c r="G646" s="154">
        <f t="shared" si="13"/>
        <v>0.83333333333333337</v>
      </c>
      <c r="H646" s="243" t="s">
        <v>805</v>
      </c>
      <c r="I646" s="113"/>
      <c r="J646" s="113"/>
      <c r="K646" s="113"/>
      <c r="L646" s="113"/>
      <c r="M646" s="113"/>
      <c r="N646" s="113"/>
      <c r="O646" s="113"/>
      <c r="P646" s="113"/>
      <c r="Q646" s="113"/>
      <c r="R646" s="113"/>
      <c r="S646" s="113"/>
      <c r="T646" s="113"/>
      <c r="U646" s="113"/>
      <c r="V646" s="113"/>
      <c r="W646" s="113"/>
      <c r="X646" s="113"/>
      <c r="Y646" s="113"/>
      <c r="Z646" s="113"/>
      <c r="AA646" s="113"/>
      <c r="AB646" s="113"/>
    </row>
    <row r="647" spans="1:28" ht="69.75" customHeight="1" x14ac:dyDescent="0.25">
      <c r="A647" s="791" t="s">
        <v>429</v>
      </c>
      <c r="B647" s="138" t="s">
        <v>742</v>
      </c>
      <c r="C647" s="138" t="s">
        <v>743</v>
      </c>
      <c r="D647" s="224">
        <v>20</v>
      </c>
      <c r="E647" s="30">
        <v>12</v>
      </c>
      <c r="F647" s="30">
        <v>11</v>
      </c>
      <c r="G647" s="147">
        <f t="shared" si="13"/>
        <v>0.91666666666666663</v>
      </c>
      <c r="H647" s="244" t="s">
        <v>806</v>
      </c>
      <c r="I647" s="113"/>
      <c r="J647" s="113"/>
      <c r="K647" s="113"/>
      <c r="L647" s="113"/>
      <c r="M647" s="113"/>
      <c r="N647" s="113"/>
      <c r="O647" s="113"/>
      <c r="P647" s="113"/>
      <c r="Q647" s="113"/>
      <c r="R647" s="113"/>
      <c r="S647" s="113"/>
      <c r="T647" s="113"/>
      <c r="U647" s="113"/>
      <c r="V647" s="113"/>
      <c r="W647" s="113"/>
      <c r="X647" s="113"/>
      <c r="Y647" s="113"/>
      <c r="Z647" s="113"/>
      <c r="AA647" s="113"/>
      <c r="AB647" s="113"/>
    </row>
    <row r="648" spans="1:28" ht="69.75" customHeight="1" x14ac:dyDescent="0.25">
      <c r="A648" s="740"/>
      <c r="B648" s="145" t="s">
        <v>745</v>
      </c>
      <c r="C648" s="145" t="s">
        <v>743</v>
      </c>
      <c r="D648" s="227">
        <v>20</v>
      </c>
      <c r="E648" s="30">
        <v>12</v>
      </c>
      <c r="F648" s="30">
        <v>11</v>
      </c>
      <c r="G648" s="147">
        <f t="shared" si="13"/>
        <v>0.91666666666666663</v>
      </c>
      <c r="H648" s="239" t="s">
        <v>801</v>
      </c>
      <c r="I648" s="113"/>
      <c r="J648" s="113"/>
      <c r="K648" s="113"/>
      <c r="L648" s="113"/>
      <c r="M648" s="113"/>
      <c r="N648" s="113"/>
      <c r="O648" s="113"/>
      <c r="P648" s="113"/>
      <c r="Q648" s="113"/>
      <c r="R648" s="113"/>
      <c r="S648" s="113"/>
      <c r="T648" s="113"/>
      <c r="U648" s="113"/>
      <c r="V648" s="113"/>
      <c r="W648" s="113"/>
      <c r="X648" s="113"/>
      <c r="Y648" s="113"/>
      <c r="Z648" s="113"/>
      <c r="AA648" s="113"/>
      <c r="AB648" s="113"/>
    </row>
    <row r="649" spans="1:28" ht="69.75" customHeight="1" x14ac:dyDescent="0.25">
      <c r="A649" s="740"/>
      <c r="B649" s="145" t="s">
        <v>747</v>
      </c>
      <c r="C649" s="145" t="s">
        <v>743</v>
      </c>
      <c r="D649" s="227">
        <v>20</v>
      </c>
      <c r="E649" s="30">
        <v>12</v>
      </c>
      <c r="F649" s="30">
        <v>11</v>
      </c>
      <c r="G649" s="147">
        <f t="shared" si="13"/>
        <v>0.91666666666666663</v>
      </c>
      <c r="H649" s="239" t="s">
        <v>802</v>
      </c>
      <c r="I649" s="113"/>
      <c r="J649" s="113"/>
      <c r="K649" s="113"/>
      <c r="L649" s="113"/>
      <c r="M649" s="113"/>
      <c r="N649" s="113"/>
      <c r="O649" s="113"/>
      <c r="P649" s="113"/>
      <c r="Q649" s="113"/>
      <c r="R649" s="113"/>
      <c r="S649" s="113"/>
      <c r="T649" s="113"/>
      <c r="U649" s="113"/>
      <c r="V649" s="113"/>
      <c r="W649" s="113"/>
      <c r="X649" s="113"/>
      <c r="Y649" s="113"/>
      <c r="Z649" s="113"/>
      <c r="AA649" s="113"/>
      <c r="AB649" s="113"/>
    </row>
    <row r="650" spans="1:28" ht="69.75" customHeight="1" x14ac:dyDescent="0.25">
      <c r="A650" s="740"/>
      <c r="B650" s="145" t="s">
        <v>749</v>
      </c>
      <c r="C650" s="145" t="s">
        <v>177</v>
      </c>
      <c r="D650" s="227">
        <v>20</v>
      </c>
      <c r="E650" s="194">
        <v>20</v>
      </c>
      <c r="F650" s="30">
        <v>18.34</v>
      </c>
      <c r="G650" s="241">
        <f t="shared" si="13"/>
        <v>0.91700000000000004</v>
      </c>
      <c r="H650" s="242" t="s">
        <v>803</v>
      </c>
      <c r="I650" s="113"/>
      <c r="J650" s="113"/>
      <c r="K650" s="113"/>
      <c r="L650" s="113"/>
      <c r="M650" s="113"/>
      <c r="N650" s="113"/>
      <c r="O650" s="113"/>
      <c r="P650" s="113"/>
      <c r="Q650" s="113"/>
      <c r="R650" s="113"/>
      <c r="S650" s="113"/>
      <c r="T650" s="113"/>
      <c r="U650" s="113"/>
      <c r="V650" s="113"/>
      <c r="W650" s="113"/>
      <c r="X650" s="113"/>
      <c r="Y650" s="113"/>
      <c r="Z650" s="113"/>
      <c r="AA650" s="113"/>
      <c r="AB650" s="113"/>
    </row>
    <row r="651" spans="1:28" ht="69.75" customHeight="1" x14ac:dyDescent="0.25">
      <c r="A651" s="792"/>
      <c r="B651" s="153" t="s">
        <v>751</v>
      </c>
      <c r="C651" s="153" t="s">
        <v>743</v>
      </c>
      <c r="D651" s="234">
        <v>20</v>
      </c>
      <c r="E651" s="155">
        <v>12</v>
      </c>
      <c r="F651" s="155">
        <v>11</v>
      </c>
      <c r="G651" s="154">
        <f t="shared" si="13"/>
        <v>0.91666666666666663</v>
      </c>
      <c r="H651" s="243" t="s">
        <v>807</v>
      </c>
      <c r="I651" s="113"/>
      <c r="J651" s="113"/>
      <c r="K651" s="113"/>
      <c r="L651" s="113"/>
      <c r="M651" s="113"/>
      <c r="N651" s="113"/>
      <c r="O651" s="113"/>
      <c r="P651" s="113"/>
      <c r="Q651" s="113"/>
      <c r="R651" s="113"/>
      <c r="S651" s="113"/>
      <c r="T651" s="113"/>
      <c r="U651" s="113"/>
      <c r="V651" s="113"/>
      <c r="W651" s="113"/>
      <c r="X651" s="113"/>
      <c r="Y651" s="113"/>
      <c r="Z651" s="113"/>
      <c r="AA651" s="113"/>
      <c r="AB651" s="113"/>
    </row>
    <row r="652" spans="1:28" ht="89.25" customHeight="1" x14ac:dyDescent="0.25">
      <c r="A652" s="791" t="s">
        <v>430</v>
      </c>
      <c r="B652" s="138" t="s">
        <v>742</v>
      </c>
      <c r="C652" s="138" t="s">
        <v>743</v>
      </c>
      <c r="D652" s="224">
        <v>20</v>
      </c>
      <c r="E652" s="30">
        <v>12</v>
      </c>
      <c r="F652" s="30">
        <v>12</v>
      </c>
      <c r="G652" s="147">
        <f t="shared" si="13"/>
        <v>1</v>
      </c>
      <c r="H652" s="244" t="s">
        <v>808</v>
      </c>
      <c r="I652" s="113"/>
      <c r="J652" s="113"/>
      <c r="K652" s="113"/>
      <c r="L652" s="113"/>
      <c r="M652" s="113"/>
      <c r="N652" s="113"/>
      <c r="O652" s="113"/>
      <c r="P652" s="113"/>
      <c r="Q652" s="113"/>
      <c r="R652" s="113"/>
      <c r="S652" s="113"/>
      <c r="T652" s="113"/>
      <c r="U652" s="113"/>
      <c r="V652" s="113"/>
      <c r="W652" s="113"/>
      <c r="X652" s="113"/>
      <c r="Y652" s="113"/>
      <c r="Z652" s="113"/>
      <c r="AA652" s="113"/>
      <c r="AB652" s="113"/>
    </row>
    <row r="653" spans="1:28" ht="72.75" customHeight="1" x14ac:dyDescent="0.25">
      <c r="A653" s="740"/>
      <c r="B653" s="145" t="s">
        <v>745</v>
      </c>
      <c r="C653" s="145" t="s">
        <v>743</v>
      </c>
      <c r="D653" s="227">
        <v>20</v>
      </c>
      <c r="E653" s="30">
        <v>12</v>
      </c>
      <c r="F653" s="30">
        <v>12</v>
      </c>
      <c r="G653" s="147">
        <f t="shared" si="13"/>
        <v>1</v>
      </c>
      <c r="H653" s="239" t="s">
        <v>801</v>
      </c>
      <c r="I653" s="113"/>
      <c r="J653" s="113"/>
      <c r="K653" s="113"/>
      <c r="L653" s="113"/>
      <c r="M653" s="113"/>
      <c r="N653" s="113"/>
      <c r="O653" s="113"/>
      <c r="P653" s="113"/>
      <c r="Q653" s="113"/>
      <c r="R653" s="113"/>
      <c r="S653" s="113"/>
      <c r="T653" s="113"/>
      <c r="U653" s="113"/>
      <c r="V653" s="113"/>
      <c r="W653" s="113"/>
      <c r="X653" s="113"/>
      <c r="Y653" s="113"/>
      <c r="Z653" s="113"/>
      <c r="AA653" s="113"/>
      <c r="AB653" s="113"/>
    </row>
    <row r="654" spans="1:28" ht="72.75" customHeight="1" x14ac:dyDescent="0.25">
      <c r="A654" s="740"/>
      <c r="B654" s="145" t="s">
        <v>747</v>
      </c>
      <c r="C654" s="145" t="s">
        <v>743</v>
      </c>
      <c r="D654" s="227">
        <v>20</v>
      </c>
      <c r="E654" s="30">
        <v>12</v>
      </c>
      <c r="F654" s="30">
        <v>12</v>
      </c>
      <c r="G654" s="147">
        <f t="shared" si="13"/>
        <v>1</v>
      </c>
      <c r="H654" s="239" t="s">
        <v>802</v>
      </c>
      <c r="I654" s="113"/>
      <c r="J654" s="113"/>
      <c r="K654" s="113"/>
      <c r="L654" s="113"/>
      <c r="M654" s="113"/>
      <c r="N654" s="113"/>
      <c r="O654" s="113"/>
      <c r="P654" s="113"/>
      <c r="Q654" s="113"/>
      <c r="R654" s="113"/>
      <c r="S654" s="113"/>
      <c r="T654" s="113"/>
      <c r="U654" s="113"/>
      <c r="V654" s="113"/>
      <c r="W654" s="113"/>
      <c r="X654" s="113"/>
      <c r="Y654" s="113"/>
      <c r="Z654" s="113"/>
      <c r="AA654" s="113"/>
      <c r="AB654" s="113"/>
    </row>
    <row r="655" spans="1:28" ht="72.75" customHeight="1" x14ac:dyDescent="0.25">
      <c r="A655" s="740"/>
      <c r="B655" s="145" t="s">
        <v>749</v>
      </c>
      <c r="C655" s="145" t="s">
        <v>177</v>
      </c>
      <c r="D655" s="227">
        <v>20</v>
      </c>
      <c r="E655" s="194">
        <v>20</v>
      </c>
      <c r="F655" s="30">
        <v>20</v>
      </c>
      <c r="G655" s="241">
        <f t="shared" si="13"/>
        <v>1</v>
      </c>
      <c r="H655" s="242" t="s">
        <v>803</v>
      </c>
      <c r="I655" s="113"/>
      <c r="J655" s="113"/>
      <c r="K655" s="113"/>
      <c r="L655" s="113"/>
      <c r="M655" s="113"/>
      <c r="N655" s="113"/>
      <c r="O655" s="113"/>
      <c r="P655" s="113"/>
      <c r="Q655" s="113"/>
      <c r="R655" s="113"/>
      <c r="S655" s="113"/>
      <c r="T655" s="113"/>
      <c r="U655" s="113"/>
      <c r="V655" s="113"/>
      <c r="W655" s="113"/>
      <c r="X655" s="113"/>
      <c r="Y655" s="113"/>
      <c r="Z655" s="113"/>
      <c r="AA655" s="113"/>
      <c r="AB655" s="113"/>
    </row>
    <row r="656" spans="1:28" ht="15.75" customHeight="1" x14ac:dyDescent="0.25">
      <c r="A656" s="792"/>
      <c r="B656" s="153" t="s">
        <v>751</v>
      </c>
      <c r="C656" s="153" t="s">
        <v>743</v>
      </c>
      <c r="D656" s="234">
        <v>20</v>
      </c>
      <c r="E656" s="155">
        <v>12</v>
      </c>
      <c r="F656" s="155">
        <v>12</v>
      </c>
      <c r="G656" s="154">
        <f t="shared" si="13"/>
        <v>1</v>
      </c>
      <c r="H656" s="243" t="s">
        <v>805</v>
      </c>
      <c r="I656" s="113"/>
      <c r="J656" s="113"/>
      <c r="K656" s="113"/>
      <c r="L656" s="113"/>
      <c r="M656" s="113"/>
      <c r="N656" s="113"/>
      <c r="O656" s="113"/>
      <c r="P656" s="113"/>
      <c r="Q656" s="113"/>
      <c r="R656" s="113"/>
      <c r="S656" s="113"/>
      <c r="T656" s="113"/>
      <c r="U656" s="113"/>
      <c r="V656" s="113"/>
      <c r="W656" s="113"/>
      <c r="X656" s="113"/>
      <c r="Y656" s="113"/>
      <c r="Z656" s="113"/>
      <c r="AA656" s="113"/>
      <c r="AB656" s="113"/>
    </row>
    <row r="657" spans="1:28" ht="15.75" customHeight="1" x14ac:dyDescent="0.25">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row>
    <row r="658" spans="1:28" ht="15.75" customHeight="1" x14ac:dyDescent="0.3">
      <c r="A658" s="789" t="s">
        <v>809</v>
      </c>
      <c r="B658" s="592"/>
      <c r="C658" s="592"/>
      <c r="D658" s="592"/>
      <c r="E658" s="592"/>
      <c r="F658" s="592"/>
      <c r="G658" s="592"/>
      <c r="H658" s="689"/>
      <c r="I658" s="113"/>
      <c r="J658" s="113"/>
      <c r="K658" s="113"/>
      <c r="L658" s="113"/>
      <c r="M658" s="113"/>
      <c r="N658" s="113"/>
      <c r="O658" s="113"/>
      <c r="P658" s="113"/>
      <c r="Q658" s="113"/>
      <c r="R658" s="113"/>
      <c r="S658" s="113"/>
      <c r="T658" s="113"/>
      <c r="U658" s="113"/>
      <c r="V658" s="113"/>
      <c r="W658" s="113"/>
      <c r="X658" s="113"/>
      <c r="Y658" s="113"/>
      <c r="Z658" s="113"/>
      <c r="AA658" s="113"/>
      <c r="AB658" s="113"/>
    </row>
    <row r="659" spans="1:28" ht="54.75" customHeight="1" x14ac:dyDescent="0.25">
      <c r="A659" s="114" t="s">
        <v>27</v>
      </c>
      <c r="B659" s="115" t="s">
        <v>738</v>
      </c>
      <c r="C659" s="238" t="s">
        <v>446</v>
      </c>
      <c r="D659" s="238" t="s">
        <v>560</v>
      </c>
      <c r="E659" s="238" t="s">
        <v>810</v>
      </c>
      <c r="F659" s="238" t="s">
        <v>811</v>
      </c>
      <c r="G659" s="238" t="s">
        <v>812</v>
      </c>
      <c r="H659" s="116" t="s">
        <v>678</v>
      </c>
      <c r="I659" s="113"/>
      <c r="J659" s="113"/>
      <c r="K659" s="113"/>
      <c r="L659" s="113"/>
      <c r="M659" s="113"/>
      <c r="N659" s="113"/>
      <c r="O659" s="113"/>
      <c r="P659" s="113"/>
      <c r="Q659" s="113"/>
      <c r="R659" s="113"/>
      <c r="S659" s="113"/>
      <c r="T659" s="113"/>
      <c r="U659" s="113"/>
      <c r="V659" s="113"/>
      <c r="W659" s="113"/>
      <c r="X659" s="113"/>
      <c r="Y659" s="113"/>
      <c r="Z659" s="113"/>
      <c r="AA659" s="113"/>
      <c r="AB659" s="113"/>
    </row>
    <row r="660" spans="1:28" ht="81.75" customHeight="1" x14ac:dyDescent="0.25">
      <c r="A660" s="791" t="s">
        <v>432</v>
      </c>
      <c r="B660" s="138" t="s">
        <v>742</v>
      </c>
      <c r="C660" s="138" t="s">
        <v>743</v>
      </c>
      <c r="D660" s="224">
        <v>20</v>
      </c>
      <c r="E660" s="30">
        <v>12</v>
      </c>
      <c r="F660" s="30">
        <v>1</v>
      </c>
      <c r="G660" s="147">
        <f t="shared" ref="G660:G719" si="14">F660/E660</f>
        <v>8.3333333333333329E-2</v>
      </c>
      <c r="H660" s="246" t="s">
        <v>808</v>
      </c>
      <c r="I660" s="113"/>
      <c r="J660" s="113"/>
      <c r="K660" s="113"/>
      <c r="L660" s="113"/>
      <c r="M660" s="113"/>
      <c r="N660" s="113"/>
      <c r="O660" s="113"/>
      <c r="P660" s="113"/>
      <c r="Q660" s="113"/>
      <c r="R660" s="113"/>
      <c r="S660" s="113"/>
      <c r="T660" s="113"/>
      <c r="U660" s="113"/>
      <c r="V660" s="113"/>
      <c r="W660" s="113"/>
      <c r="X660" s="113"/>
      <c r="Y660" s="113"/>
      <c r="Z660" s="113"/>
      <c r="AA660" s="113"/>
      <c r="AB660" s="113"/>
    </row>
    <row r="661" spans="1:28" ht="108.75" customHeight="1" x14ac:dyDescent="0.25">
      <c r="A661" s="740"/>
      <c r="B661" s="145" t="s">
        <v>745</v>
      </c>
      <c r="C661" s="145" t="s">
        <v>743</v>
      </c>
      <c r="D661" s="227">
        <v>20</v>
      </c>
      <c r="E661" s="30">
        <v>12</v>
      </c>
      <c r="F661" s="30">
        <v>1</v>
      </c>
      <c r="G661" s="147">
        <f t="shared" si="14"/>
        <v>8.3333333333333329E-2</v>
      </c>
      <c r="H661" s="246" t="s">
        <v>801</v>
      </c>
      <c r="I661" s="113"/>
      <c r="J661" s="113"/>
      <c r="K661" s="113"/>
      <c r="L661" s="113"/>
      <c r="M661" s="113"/>
      <c r="N661" s="113"/>
      <c r="O661" s="113"/>
      <c r="P661" s="113"/>
      <c r="Q661" s="113"/>
      <c r="R661" s="113"/>
      <c r="S661" s="113"/>
      <c r="T661" s="113"/>
      <c r="U661" s="113"/>
      <c r="V661" s="113"/>
      <c r="W661" s="113"/>
      <c r="X661" s="113"/>
      <c r="Y661" s="113"/>
      <c r="Z661" s="113"/>
      <c r="AA661" s="113"/>
      <c r="AB661" s="113"/>
    </row>
    <row r="662" spans="1:28" ht="83.25" customHeight="1" x14ac:dyDescent="0.25">
      <c r="A662" s="740"/>
      <c r="B662" s="145" t="s">
        <v>747</v>
      </c>
      <c r="C662" s="145" t="s">
        <v>743</v>
      </c>
      <c r="D662" s="227">
        <v>20</v>
      </c>
      <c r="E662" s="30">
        <v>12</v>
      </c>
      <c r="F662" s="30">
        <v>1</v>
      </c>
      <c r="G662" s="147">
        <f t="shared" si="14"/>
        <v>8.3333333333333329E-2</v>
      </c>
      <c r="H662" s="246" t="s">
        <v>802</v>
      </c>
      <c r="I662" s="113"/>
      <c r="J662" s="113"/>
      <c r="K662" s="113"/>
      <c r="L662" s="113"/>
      <c r="M662" s="113"/>
      <c r="N662" s="113"/>
      <c r="O662" s="113"/>
      <c r="P662" s="113"/>
      <c r="Q662" s="113"/>
      <c r="R662" s="113"/>
      <c r="S662" s="113"/>
      <c r="T662" s="113"/>
      <c r="U662" s="113"/>
      <c r="V662" s="113"/>
      <c r="W662" s="113"/>
      <c r="X662" s="113"/>
      <c r="Y662" s="113"/>
      <c r="Z662" s="113"/>
      <c r="AA662" s="113"/>
      <c r="AB662" s="113"/>
    </row>
    <row r="663" spans="1:28" ht="109.5" customHeight="1" x14ac:dyDescent="0.25">
      <c r="A663" s="740"/>
      <c r="B663" s="145" t="s">
        <v>749</v>
      </c>
      <c r="C663" s="145" t="s">
        <v>177</v>
      </c>
      <c r="D663" s="227">
        <v>20</v>
      </c>
      <c r="E663" s="194">
        <v>30</v>
      </c>
      <c r="F663" s="177">
        <v>2.5</v>
      </c>
      <c r="G663" s="147">
        <f t="shared" si="14"/>
        <v>8.3333333333333329E-2</v>
      </c>
      <c r="H663" s="246" t="s">
        <v>803</v>
      </c>
      <c r="I663" s="113"/>
      <c r="J663" s="113"/>
      <c r="K663" s="113"/>
      <c r="L663" s="113"/>
      <c r="M663" s="113"/>
      <c r="N663" s="113"/>
      <c r="O663" s="113"/>
      <c r="P663" s="113"/>
      <c r="Q663" s="113"/>
      <c r="R663" s="113"/>
      <c r="S663" s="113"/>
      <c r="T663" s="113"/>
      <c r="U663" s="113"/>
      <c r="V663" s="113"/>
      <c r="W663" s="113"/>
      <c r="X663" s="113"/>
      <c r="Y663" s="113"/>
      <c r="Z663" s="113"/>
      <c r="AA663" s="113"/>
      <c r="AB663" s="113"/>
    </row>
    <row r="664" spans="1:28" ht="78" customHeight="1" x14ac:dyDescent="0.25">
      <c r="A664" s="792"/>
      <c r="B664" s="153" t="s">
        <v>751</v>
      </c>
      <c r="C664" s="153" t="s">
        <v>743</v>
      </c>
      <c r="D664" s="234">
        <v>20</v>
      </c>
      <c r="E664" s="155">
        <v>12</v>
      </c>
      <c r="F664" s="30">
        <v>1</v>
      </c>
      <c r="G664" s="147">
        <f t="shared" si="14"/>
        <v>8.3333333333333329E-2</v>
      </c>
      <c r="H664" s="246" t="s">
        <v>813</v>
      </c>
      <c r="I664" s="113"/>
      <c r="J664" s="113"/>
      <c r="K664" s="113"/>
      <c r="L664" s="113"/>
      <c r="M664" s="113"/>
      <c r="N664" s="113"/>
      <c r="O664" s="113"/>
      <c r="P664" s="113"/>
      <c r="Q664" s="113"/>
      <c r="R664" s="113"/>
      <c r="S664" s="113"/>
      <c r="T664" s="113"/>
      <c r="U664" s="113"/>
      <c r="V664" s="113"/>
      <c r="W664" s="113"/>
      <c r="X664" s="113"/>
      <c r="Y664" s="113"/>
      <c r="Z664" s="113"/>
      <c r="AA664" s="113"/>
      <c r="AB664" s="113"/>
    </row>
    <row r="665" spans="1:28" ht="84.75" customHeight="1" x14ac:dyDescent="0.25">
      <c r="A665" s="791" t="s">
        <v>434</v>
      </c>
      <c r="B665" s="138" t="s">
        <v>742</v>
      </c>
      <c r="C665" s="138" t="s">
        <v>743</v>
      </c>
      <c r="D665" s="224">
        <v>20</v>
      </c>
      <c r="E665" s="30">
        <v>12</v>
      </c>
      <c r="F665" s="30">
        <v>2</v>
      </c>
      <c r="G665" s="147">
        <f t="shared" si="14"/>
        <v>0.16666666666666666</v>
      </c>
      <c r="H665" s="246" t="s">
        <v>808</v>
      </c>
      <c r="I665" s="113"/>
      <c r="J665" s="113"/>
      <c r="K665" s="113"/>
      <c r="L665" s="113"/>
      <c r="M665" s="113"/>
      <c r="N665" s="113"/>
      <c r="O665" s="113"/>
      <c r="P665" s="113"/>
      <c r="Q665" s="113"/>
      <c r="R665" s="113"/>
      <c r="S665" s="113"/>
      <c r="T665" s="113"/>
      <c r="U665" s="113"/>
      <c r="V665" s="113"/>
      <c r="W665" s="113"/>
      <c r="X665" s="113"/>
      <c r="Y665" s="113"/>
      <c r="Z665" s="113"/>
      <c r="AA665" s="113"/>
      <c r="AB665" s="113"/>
    </row>
    <row r="666" spans="1:28" ht="84" customHeight="1" x14ac:dyDescent="0.25">
      <c r="A666" s="740"/>
      <c r="B666" s="145" t="s">
        <v>745</v>
      </c>
      <c r="C666" s="145" t="s">
        <v>743</v>
      </c>
      <c r="D666" s="227">
        <v>20</v>
      </c>
      <c r="E666" s="30">
        <v>12</v>
      </c>
      <c r="F666" s="30">
        <v>2</v>
      </c>
      <c r="G666" s="147">
        <f t="shared" si="14"/>
        <v>0.16666666666666666</v>
      </c>
      <c r="H666" s="246" t="s">
        <v>801</v>
      </c>
      <c r="I666" s="113"/>
      <c r="J666" s="113"/>
      <c r="K666" s="113"/>
      <c r="L666" s="113"/>
      <c r="M666" s="113"/>
      <c r="N666" s="113"/>
      <c r="O666" s="113"/>
      <c r="P666" s="113"/>
      <c r="Q666" s="113"/>
      <c r="R666" s="113"/>
      <c r="S666" s="113"/>
      <c r="T666" s="113"/>
      <c r="U666" s="113"/>
      <c r="V666" s="113"/>
      <c r="W666" s="113"/>
      <c r="X666" s="113"/>
      <c r="Y666" s="113"/>
      <c r="Z666" s="113"/>
      <c r="AA666" s="113"/>
      <c r="AB666" s="113"/>
    </row>
    <row r="667" spans="1:28" ht="88.5" customHeight="1" x14ac:dyDescent="0.25">
      <c r="A667" s="740"/>
      <c r="B667" s="145" t="s">
        <v>747</v>
      </c>
      <c r="C667" s="145" t="s">
        <v>743</v>
      </c>
      <c r="D667" s="227">
        <v>20</v>
      </c>
      <c r="E667" s="30">
        <v>12</v>
      </c>
      <c r="F667" s="30">
        <v>2</v>
      </c>
      <c r="G667" s="147">
        <f t="shared" si="14"/>
        <v>0.16666666666666666</v>
      </c>
      <c r="H667" s="246" t="s">
        <v>802</v>
      </c>
      <c r="I667" s="113"/>
      <c r="J667" s="113"/>
      <c r="K667" s="113"/>
      <c r="L667" s="113"/>
      <c r="M667" s="113"/>
      <c r="N667" s="113"/>
      <c r="O667" s="113"/>
      <c r="P667" s="113"/>
      <c r="Q667" s="113"/>
      <c r="R667" s="113"/>
      <c r="S667" s="113"/>
      <c r="T667" s="113"/>
      <c r="U667" s="113"/>
      <c r="V667" s="113"/>
      <c r="W667" s="113"/>
      <c r="X667" s="113"/>
      <c r="Y667" s="113"/>
      <c r="Z667" s="113"/>
      <c r="AA667" s="113"/>
      <c r="AB667" s="113"/>
    </row>
    <row r="668" spans="1:28" ht="94.5" customHeight="1" x14ac:dyDescent="0.25">
      <c r="A668" s="740"/>
      <c r="B668" s="145" t="s">
        <v>749</v>
      </c>
      <c r="C668" s="145" t="s">
        <v>177</v>
      </c>
      <c r="D668" s="227">
        <v>20</v>
      </c>
      <c r="E668" s="194">
        <v>30</v>
      </c>
      <c r="F668" s="30">
        <v>5</v>
      </c>
      <c r="G668" s="147">
        <f t="shared" si="14"/>
        <v>0.16666666666666666</v>
      </c>
      <c r="H668" s="246" t="s">
        <v>803</v>
      </c>
      <c r="I668" s="113"/>
      <c r="J668" s="113"/>
      <c r="K668" s="113"/>
      <c r="L668" s="113"/>
      <c r="M668" s="113"/>
      <c r="N668" s="113"/>
      <c r="O668" s="113"/>
      <c r="P668" s="113"/>
      <c r="Q668" s="113"/>
      <c r="R668" s="113"/>
      <c r="S668" s="113"/>
      <c r="T668" s="113"/>
      <c r="U668" s="113"/>
      <c r="V668" s="113"/>
      <c r="W668" s="113"/>
      <c r="X668" s="113"/>
      <c r="Y668" s="113"/>
      <c r="Z668" s="113"/>
      <c r="AA668" s="113"/>
      <c r="AB668" s="113"/>
    </row>
    <row r="669" spans="1:28" ht="78.75" customHeight="1" x14ac:dyDescent="0.25">
      <c r="A669" s="792"/>
      <c r="B669" s="153" t="s">
        <v>751</v>
      </c>
      <c r="C669" s="153" t="s">
        <v>743</v>
      </c>
      <c r="D669" s="234">
        <v>20</v>
      </c>
      <c r="E669" s="155">
        <v>12</v>
      </c>
      <c r="F669" s="30">
        <v>2</v>
      </c>
      <c r="G669" s="147">
        <f t="shared" si="14"/>
        <v>0.16666666666666666</v>
      </c>
      <c r="H669" s="246" t="s">
        <v>813</v>
      </c>
      <c r="I669" s="113"/>
      <c r="J669" s="113"/>
      <c r="K669" s="113"/>
      <c r="L669" s="113"/>
      <c r="M669" s="113"/>
      <c r="N669" s="113"/>
      <c r="O669" s="113"/>
      <c r="P669" s="113"/>
      <c r="Q669" s="113"/>
      <c r="R669" s="113"/>
      <c r="S669" s="113"/>
      <c r="T669" s="113"/>
      <c r="U669" s="113"/>
      <c r="V669" s="113"/>
      <c r="W669" s="113"/>
      <c r="X669" s="113"/>
      <c r="Y669" s="113"/>
      <c r="Z669" s="113"/>
      <c r="AA669" s="113"/>
      <c r="AB669" s="113"/>
    </row>
    <row r="670" spans="1:28" ht="15.75" customHeight="1" x14ac:dyDescent="0.25">
      <c r="A670" s="791" t="s">
        <v>435</v>
      </c>
      <c r="B670" s="138" t="s">
        <v>742</v>
      </c>
      <c r="C670" s="138" t="s">
        <v>743</v>
      </c>
      <c r="D670" s="224">
        <v>20</v>
      </c>
      <c r="E670" s="30">
        <v>12</v>
      </c>
      <c r="F670" s="30">
        <v>3</v>
      </c>
      <c r="G670" s="178">
        <f t="shared" si="14"/>
        <v>0.25</v>
      </c>
      <c r="H670" s="246" t="s">
        <v>808</v>
      </c>
      <c r="I670" s="113"/>
      <c r="J670" s="113"/>
      <c r="K670" s="113"/>
      <c r="L670" s="113"/>
      <c r="M670" s="113"/>
      <c r="N670" s="113"/>
      <c r="O670" s="113"/>
      <c r="P670" s="113"/>
      <c r="Q670" s="113"/>
      <c r="R670" s="113"/>
      <c r="S670" s="113"/>
      <c r="T670" s="113"/>
      <c r="U670" s="113"/>
      <c r="V670" s="113"/>
      <c r="W670" s="113"/>
      <c r="X670" s="113"/>
      <c r="Y670" s="113"/>
      <c r="Z670" s="113"/>
      <c r="AA670" s="113"/>
      <c r="AB670" s="113"/>
    </row>
    <row r="671" spans="1:28" ht="15.75" customHeight="1" x14ac:dyDescent="0.25">
      <c r="A671" s="740"/>
      <c r="B671" s="145" t="s">
        <v>745</v>
      </c>
      <c r="C671" s="145" t="s">
        <v>743</v>
      </c>
      <c r="D671" s="227">
        <v>20</v>
      </c>
      <c r="E671" s="30">
        <v>12</v>
      </c>
      <c r="F671" s="30">
        <v>3</v>
      </c>
      <c r="G671" s="178">
        <f t="shared" si="14"/>
        <v>0.25</v>
      </c>
      <c r="H671" s="246" t="s">
        <v>801</v>
      </c>
      <c r="I671" s="113"/>
      <c r="J671" s="113"/>
      <c r="K671" s="113"/>
      <c r="L671" s="113"/>
      <c r="M671" s="113"/>
      <c r="N671" s="113"/>
      <c r="O671" s="113"/>
      <c r="P671" s="113"/>
      <c r="Q671" s="113"/>
      <c r="R671" s="113"/>
      <c r="S671" s="113"/>
      <c r="T671" s="113"/>
      <c r="U671" s="113"/>
      <c r="V671" s="113"/>
      <c r="W671" s="113"/>
      <c r="X671" s="113"/>
      <c r="Y671" s="113"/>
      <c r="Z671" s="113"/>
      <c r="AA671" s="113"/>
      <c r="AB671" s="113"/>
    </row>
    <row r="672" spans="1:28" ht="15.75" customHeight="1" x14ac:dyDescent="0.25">
      <c r="A672" s="740"/>
      <c r="B672" s="145" t="s">
        <v>747</v>
      </c>
      <c r="C672" s="145" t="s">
        <v>743</v>
      </c>
      <c r="D672" s="227">
        <v>20</v>
      </c>
      <c r="E672" s="30">
        <v>12</v>
      </c>
      <c r="F672" s="30">
        <v>3</v>
      </c>
      <c r="G672" s="178">
        <f t="shared" si="14"/>
        <v>0.25</v>
      </c>
      <c r="H672" s="246" t="s">
        <v>802</v>
      </c>
      <c r="I672" s="113"/>
      <c r="J672" s="113"/>
      <c r="K672" s="113"/>
      <c r="L672" s="113"/>
      <c r="M672" s="113"/>
      <c r="N672" s="113"/>
      <c r="O672" s="113"/>
      <c r="P672" s="113"/>
      <c r="Q672" s="113"/>
      <c r="R672" s="113"/>
      <c r="S672" s="113"/>
      <c r="T672" s="113"/>
      <c r="U672" s="113"/>
      <c r="V672" s="113"/>
      <c r="W672" s="113"/>
      <c r="X672" s="113"/>
      <c r="Y672" s="113"/>
      <c r="Z672" s="113"/>
      <c r="AA672" s="113"/>
      <c r="AB672" s="113"/>
    </row>
    <row r="673" spans="1:28" ht="15.75" customHeight="1" x14ac:dyDescent="0.25">
      <c r="A673" s="740"/>
      <c r="B673" s="145" t="s">
        <v>749</v>
      </c>
      <c r="C673" s="145" t="s">
        <v>177</v>
      </c>
      <c r="D673" s="227">
        <v>20</v>
      </c>
      <c r="E673" s="194">
        <v>30</v>
      </c>
      <c r="F673" s="30">
        <v>7.5</v>
      </c>
      <c r="G673" s="178">
        <f t="shared" si="14"/>
        <v>0.25</v>
      </c>
      <c r="H673" s="246" t="s">
        <v>803</v>
      </c>
      <c r="I673" s="113"/>
      <c r="J673" s="113"/>
      <c r="K673" s="113"/>
      <c r="L673" s="113"/>
      <c r="M673" s="113"/>
      <c r="N673" s="113"/>
      <c r="O673" s="113"/>
      <c r="P673" s="113"/>
      <c r="Q673" s="113"/>
      <c r="R673" s="113"/>
      <c r="S673" s="113"/>
      <c r="T673" s="113"/>
      <c r="U673" s="113"/>
      <c r="V673" s="113"/>
      <c r="W673" s="113"/>
      <c r="X673" s="113"/>
      <c r="Y673" s="113"/>
      <c r="Z673" s="113"/>
      <c r="AA673" s="113"/>
      <c r="AB673" s="113"/>
    </row>
    <row r="674" spans="1:28" ht="15.75" customHeight="1" x14ac:dyDescent="0.25">
      <c r="A674" s="792"/>
      <c r="B674" s="153" t="s">
        <v>751</v>
      </c>
      <c r="C674" s="153" t="s">
        <v>743</v>
      </c>
      <c r="D674" s="234">
        <v>20</v>
      </c>
      <c r="E674" s="155">
        <v>12</v>
      </c>
      <c r="F674" s="30">
        <v>3</v>
      </c>
      <c r="G674" s="178">
        <f t="shared" si="14"/>
        <v>0.25</v>
      </c>
      <c r="H674" s="246" t="s">
        <v>813</v>
      </c>
      <c r="I674" s="113"/>
      <c r="J674" s="113"/>
      <c r="K674" s="113"/>
      <c r="L674" s="113"/>
      <c r="M674" s="113"/>
      <c r="N674" s="113"/>
      <c r="O674" s="113"/>
      <c r="P674" s="113"/>
      <c r="Q674" s="113"/>
      <c r="R674" s="113"/>
      <c r="S674" s="113"/>
      <c r="T674" s="113"/>
      <c r="U674" s="113"/>
      <c r="V674" s="113"/>
      <c r="W674" s="113"/>
      <c r="X674" s="113"/>
      <c r="Y674" s="113"/>
      <c r="Z674" s="113"/>
      <c r="AA674" s="113"/>
      <c r="AB674" s="113"/>
    </row>
    <row r="675" spans="1:28" ht="15.75" customHeight="1" x14ac:dyDescent="0.25">
      <c r="A675" s="791" t="s">
        <v>436</v>
      </c>
      <c r="B675" s="138" t="s">
        <v>742</v>
      </c>
      <c r="C675" s="138" t="s">
        <v>743</v>
      </c>
      <c r="D675" s="224">
        <v>20</v>
      </c>
      <c r="E675" s="30">
        <v>12</v>
      </c>
      <c r="F675" s="30">
        <v>4</v>
      </c>
      <c r="G675" s="147">
        <f t="shared" si="14"/>
        <v>0.33333333333333331</v>
      </c>
      <c r="H675" s="246" t="s">
        <v>808</v>
      </c>
      <c r="I675" s="113"/>
      <c r="J675" s="113"/>
      <c r="K675" s="113"/>
      <c r="L675" s="113"/>
      <c r="M675" s="113"/>
      <c r="N675" s="113"/>
      <c r="O675" s="113"/>
      <c r="P675" s="113"/>
      <c r="Q675" s="113"/>
      <c r="R675" s="113"/>
      <c r="S675" s="113"/>
      <c r="T675" s="113"/>
      <c r="U675" s="113"/>
      <c r="V675" s="113"/>
      <c r="W675" s="113"/>
      <c r="X675" s="113"/>
      <c r="Y675" s="113"/>
      <c r="Z675" s="113"/>
      <c r="AA675" s="113"/>
      <c r="AB675" s="113"/>
    </row>
    <row r="676" spans="1:28" ht="15.75" customHeight="1" x14ac:dyDescent="0.25">
      <c r="A676" s="740"/>
      <c r="B676" s="145" t="s">
        <v>745</v>
      </c>
      <c r="C676" s="145" t="s">
        <v>743</v>
      </c>
      <c r="D676" s="227">
        <v>20</v>
      </c>
      <c r="E676" s="30">
        <v>12</v>
      </c>
      <c r="F676" s="30">
        <v>4</v>
      </c>
      <c r="G676" s="147">
        <f t="shared" si="14"/>
        <v>0.33333333333333331</v>
      </c>
      <c r="H676" s="246" t="s">
        <v>801</v>
      </c>
      <c r="I676" s="113"/>
      <c r="J676" s="113"/>
      <c r="K676" s="113"/>
      <c r="L676" s="113"/>
      <c r="M676" s="113"/>
      <c r="N676" s="113"/>
      <c r="O676" s="113"/>
      <c r="P676" s="113"/>
      <c r="Q676" s="113"/>
      <c r="R676" s="113"/>
      <c r="S676" s="113"/>
      <c r="T676" s="113"/>
      <c r="U676" s="113"/>
      <c r="V676" s="113"/>
      <c r="W676" s="113"/>
      <c r="X676" s="113"/>
      <c r="Y676" s="113"/>
      <c r="Z676" s="113"/>
      <c r="AA676" s="113"/>
      <c r="AB676" s="113"/>
    </row>
    <row r="677" spans="1:28" ht="15.75" customHeight="1" x14ac:dyDescent="0.25">
      <c r="A677" s="740"/>
      <c r="B677" s="145" t="s">
        <v>747</v>
      </c>
      <c r="C677" s="145" t="s">
        <v>743</v>
      </c>
      <c r="D677" s="227">
        <v>20</v>
      </c>
      <c r="E677" s="30">
        <v>12</v>
      </c>
      <c r="F677" s="30">
        <v>4</v>
      </c>
      <c r="G677" s="147">
        <f t="shared" si="14"/>
        <v>0.33333333333333331</v>
      </c>
      <c r="H677" s="246" t="s">
        <v>802</v>
      </c>
      <c r="I677" s="113"/>
      <c r="J677" s="113"/>
      <c r="K677" s="113"/>
      <c r="L677" s="113"/>
      <c r="M677" s="113"/>
      <c r="N677" s="113"/>
      <c r="O677" s="113"/>
      <c r="P677" s="113"/>
      <c r="Q677" s="113"/>
      <c r="R677" s="113"/>
      <c r="S677" s="113"/>
      <c r="T677" s="113"/>
      <c r="U677" s="113"/>
      <c r="V677" s="113"/>
      <c r="W677" s="113"/>
      <c r="X677" s="113"/>
      <c r="Y677" s="113"/>
      <c r="Z677" s="113"/>
      <c r="AA677" s="113"/>
      <c r="AB677" s="113"/>
    </row>
    <row r="678" spans="1:28" ht="15.75" customHeight="1" x14ac:dyDescent="0.25">
      <c r="A678" s="740"/>
      <c r="B678" s="145" t="s">
        <v>749</v>
      </c>
      <c r="C678" s="145" t="s">
        <v>177</v>
      </c>
      <c r="D678" s="227">
        <v>20</v>
      </c>
      <c r="E678" s="194">
        <v>30</v>
      </c>
      <c r="F678" s="30">
        <v>10</v>
      </c>
      <c r="G678" s="147">
        <f t="shared" si="14"/>
        <v>0.33333333333333331</v>
      </c>
      <c r="H678" s="246" t="s">
        <v>803</v>
      </c>
      <c r="I678" s="113"/>
      <c r="J678" s="113"/>
      <c r="K678" s="113"/>
      <c r="L678" s="113"/>
      <c r="M678" s="113"/>
      <c r="N678" s="113"/>
      <c r="O678" s="113"/>
      <c r="P678" s="113"/>
      <c r="Q678" s="113"/>
      <c r="R678" s="113"/>
      <c r="S678" s="113"/>
      <c r="T678" s="113"/>
      <c r="U678" s="113"/>
      <c r="V678" s="113"/>
      <c r="W678" s="113"/>
      <c r="X678" s="113"/>
      <c r="Y678" s="113"/>
      <c r="Z678" s="113"/>
      <c r="AA678" s="113"/>
      <c r="AB678" s="113"/>
    </row>
    <row r="679" spans="1:28" ht="75.75" customHeight="1" x14ac:dyDescent="0.25">
      <c r="A679" s="792"/>
      <c r="B679" s="153" t="s">
        <v>751</v>
      </c>
      <c r="C679" s="153" t="s">
        <v>743</v>
      </c>
      <c r="D679" s="234">
        <v>20</v>
      </c>
      <c r="E679" s="155">
        <v>12</v>
      </c>
      <c r="F679" s="155">
        <v>4</v>
      </c>
      <c r="G679" s="154">
        <f t="shared" si="14"/>
        <v>0.33333333333333331</v>
      </c>
      <c r="H679" s="247" t="s">
        <v>813</v>
      </c>
      <c r="I679" s="113"/>
      <c r="J679" s="113"/>
      <c r="K679" s="113"/>
      <c r="L679" s="113"/>
      <c r="M679" s="113"/>
      <c r="N679" s="113"/>
      <c r="O679" s="113"/>
      <c r="P679" s="113"/>
      <c r="Q679" s="113"/>
      <c r="R679" s="113"/>
      <c r="S679" s="113"/>
      <c r="T679" s="113"/>
      <c r="U679" s="113"/>
      <c r="V679" s="113"/>
      <c r="W679" s="113"/>
      <c r="X679" s="113"/>
      <c r="Y679" s="113"/>
      <c r="Z679" s="113"/>
      <c r="AA679" s="113"/>
      <c r="AB679" s="113"/>
    </row>
    <row r="680" spans="1:28" ht="76.5" customHeight="1" x14ac:dyDescent="0.25">
      <c r="A680" s="791" t="s">
        <v>437</v>
      </c>
      <c r="B680" s="138" t="s">
        <v>742</v>
      </c>
      <c r="C680" s="138" t="s">
        <v>743</v>
      </c>
      <c r="D680" s="224">
        <v>20</v>
      </c>
      <c r="E680" s="181">
        <v>12</v>
      </c>
      <c r="F680" s="181">
        <v>5</v>
      </c>
      <c r="G680" s="182">
        <f t="shared" si="14"/>
        <v>0.41666666666666669</v>
      </c>
      <c r="H680" s="248" t="s">
        <v>808</v>
      </c>
      <c r="I680" s="113"/>
      <c r="J680" s="113"/>
      <c r="K680" s="113"/>
      <c r="L680" s="113"/>
      <c r="M680" s="113"/>
      <c r="N680" s="113"/>
      <c r="O680" s="113"/>
      <c r="P680" s="113"/>
      <c r="Q680" s="113"/>
      <c r="R680" s="113"/>
      <c r="S680" s="113"/>
      <c r="T680" s="113"/>
      <c r="U680" s="113"/>
      <c r="V680" s="113"/>
      <c r="W680" s="113"/>
      <c r="X680" s="113"/>
      <c r="Y680" s="113"/>
      <c r="Z680" s="113"/>
      <c r="AA680" s="113"/>
      <c r="AB680" s="113"/>
    </row>
    <row r="681" spans="1:28" ht="93" customHeight="1" x14ac:dyDescent="0.25">
      <c r="A681" s="740"/>
      <c r="B681" s="145" t="s">
        <v>745</v>
      </c>
      <c r="C681" s="145" t="s">
        <v>743</v>
      </c>
      <c r="D681" s="227">
        <v>20</v>
      </c>
      <c r="E681" s="30">
        <v>12</v>
      </c>
      <c r="F681" s="30">
        <v>5</v>
      </c>
      <c r="G681" s="147">
        <f t="shared" si="14"/>
        <v>0.41666666666666669</v>
      </c>
      <c r="H681" s="246" t="s">
        <v>801</v>
      </c>
      <c r="I681" s="113"/>
      <c r="J681" s="113"/>
      <c r="K681" s="113"/>
      <c r="L681" s="113"/>
      <c r="M681" s="113"/>
      <c r="N681" s="113"/>
      <c r="O681" s="113"/>
      <c r="P681" s="113"/>
      <c r="Q681" s="113"/>
      <c r="R681" s="113"/>
      <c r="S681" s="113"/>
      <c r="T681" s="113"/>
      <c r="U681" s="113"/>
      <c r="V681" s="113"/>
      <c r="W681" s="113"/>
      <c r="X681" s="113"/>
      <c r="Y681" s="113"/>
      <c r="Z681" s="113"/>
      <c r="AA681" s="113"/>
      <c r="AB681" s="113"/>
    </row>
    <row r="682" spans="1:28" ht="81" customHeight="1" x14ac:dyDescent="0.25">
      <c r="A682" s="740"/>
      <c r="B682" s="145" t="s">
        <v>747</v>
      </c>
      <c r="C682" s="145" t="s">
        <v>743</v>
      </c>
      <c r="D682" s="227">
        <v>20</v>
      </c>
      <c r="E682" s="30">
        <v>12</v>
      </c>
      <c r="F682" s="30">
        <v>5</v>
      </c>
      <c r="G682" s="147">
        <f t="shared" si="14"/>
        <v>0.41666666666666669</v>
      </c>
      <c r="H682" s="246" t="s">
        <v>802</v>
      </c>
      <c r="I682" s="113"/>
      <c r="J682" s="113"/>
      <c r="K682" s="113"/>
      <c r="L682" s="113"/>
      <c r="M682" s="113"/>
      <c r="N682" s="113"/>
      <c r="O682" s="113"/>
      <c r="P682" s="113"/>
      <c r="Q682" s="113"/>
      <c r="R682" s="113"/>
      <c r="S682" s="113"/>
      <c r="T682" s="113"/>
      <c r="U682" s="113"/>
      <c r="V682" s="113"/>
      <c r="W682" s="113"/>
      <c r="X682" s="113"/>
      <c r="Y682" s="113"/>
      <c r="Z682" s="113"/>
      <c r="AA682" s="113"/>
      <c r="AB682" s="113"/>
    </row>
    <row r="683" spans="1:28" ht="94.5" customHeight="1" x14ac:dyDescent="0.25">
      <c r="A683" s="740"/>
      <c r="B683" s="145" t="s">
        <v>749</v>
      </c>
      <c r="C683" s="145" t="s">
        <v>177</v>
      </c>
      <c r="D683" s="227">
        <v>20</v>
      </c>
      <c r="E683" s="194">
        <v>30</v>
      </c>
      <c r="F683" s="30">
        <v>12.5</v>
      </c>
      <c r="G683" s="147">
        <f t="shared" si="14"/>
        <v>0.41666666666666669</v>
      </c>
      <c r="H683" s="246" t="s">
        <v>803</v>
      </c>
      <c r="I683" s="113"/>
      <c r="J683" s="113"/>
      <c r="K683" s="113"/>
      <c r="L683" s="113"/>
      <c r="M683" s="113"/>
      <c r="N683" s="113"/>
      <c r="O683" s="113"/>
      <c r="P683" s="113"/>
      <c r="Q683" s="113"/>
      <c r="R683" s="113"/>
      <c r="S683" s="113"/>
      <c r="T683" s="113"/>
      <c r="U683" s="113"/>
      <c r="V683" s="113"/>
      <c r="W683" s="113"/>
      <c r="X683" s="113"/>
      <c r="Y683" s="113"/>
      <c r="Z683" s="113"/>
      <c r="AA683" s="113"/>
      <c r="AB683" s="113"/>
    </row>
    <row r="684" spans="1:28" ht="79.5" customHeight="1" x14ac:dyDescent="0.25">
      <c r="A684" s="744"/>
      <c r="B684" s="153" t="s">
        <v>751</v>
      </c>
      <c r="C684" s="153" t="s">
        <v>743</v>
      </c>
      <c r="D684" s="234">
        <v>20</v>
      </c>
      <c r="E684" s="155">
        <v>12</v>
      </c>
      <c r="F684" s="155">
        <v>5</v>
      </c>
      <c r="G684" s="154">
        <f t="shared" si="14"/>
        <v>0.41666666666666669</v>
      </c>
      <c r="H684" s="247" t="s">
        <v>813</v>
      </c>
      <c r="I684" s="113"/>
      <c r="J684" s="113"/>
      <c r="K684" s="113"/>
      <c r="L684" s="113"/>
      <c r="M684" s="113"/>
      <c r="N684" s="113"/>
      <c r="O684" s="113"/>
      <c r="P684" s="113"/>
      <c r="Q684" s="113"/>
      <c r="R684" s="113"/>
      <c r="S684" s="113"/>
      <c r="T684" s="113"/>
      <c r="U684" s="113"/>
      <c r="V684" s="113"/>
      <c r="W684" s="113"/>
      <c r="X684" s="113"/>
      <c r="Y684" s="113"/>
      <c r="Z684" s="113"/>
      <c r="AA684" s="113"/>
      <c r="AB684" s="113"/>
    </row>
    <row r="685" spans="1:28" ht="96" customHeight="1" x14ac:dyDescent="0.25">
      <c r="A685" s="791" t="s">
        <v>438</v>
      </c>
      <c r="B685" s="138" t="s">
        <v>742</v>
      </c>
      <c r="C685" s="138" t="s">
        <v>743</v>
      </c>
      <c r="D685" s="224">
        <v>20</v>
      </c>
      <c r="E685" s="181">
        <v>12</v>
      </c>
      <c r="F685" s="181">
        <v>6</v>
      </c>
      <c r="G685" s="182">
        <f t="shared" si="14"/>
        <v>0.5</v>
      </c>
      <c r="H685" s="248" t="s">
        <v>808</v>
      </c>
      <c r="I685" s="113"/>
      <c r="J685" s="113"/>
      <c r="K685" s="113"/>
      <c r="L685" s="113"/>
      <c r="M685" s="113"/>
      <c r="N685" s="113"/>
      <c r="O685" s="113"/>
      <c r="P685" s="113"/>
      <c r="Q685" s="113"/>
      <c r="R685" s="113"/>
      <c r="S685" s="113"/>
      <c r="T685" s="113"/>
      <c r="U685" s="113"/>
      <c r="V685" s="113"/>
      <c r="W685" s="113"/>
      <c r="X685" s="113"/>
      <c r="Y685" s="113"/>
      <c r="Z685" s="113"/>
      <c r="AA685" s="113"/>
      <c r="AB685" s="113"/>
    </row>
    <row r="686" spans="1:28" ht="77.25" customHeight="1" x14ac:dyDescent="0.25">
      <c r="A686" s="740"/>
      <c r="B686" s="145" t="s">
        <v>745</v>
      </c>
      <c r="C686" s="145" t="s">
        <v>743</v>
      </c>
      <c r="D686" s="227">
        <v>20</v>
      </c>
      <c r="E686" s="30">
        <v>12</v>
      </c>
      <c r="F686" s="30">
        <v>6</v>
      </c>
      <c r="G686" s="182">
        <f t="shared" si="14"/>
        <v>0.5</v>
      </c>
      <c r="H686" s="246" t="s">
        <v>801</v>
      </c>
      <c r="I686" s="113"/>
      <c r="J686" s="113"/>
      <c r="K686" s="113"/>
      <c r="L686" s="113"/>
      <c r="M686" s="113"/>
      <c r="N686" s="113"/>
      <c r="O686" s="113"/>
      <c r="P686" s="113"/>
      <c r="Q686" s="113"/>
      <c r="R686" s="113"/>
      <c r="S686" s="113"/>
      <c r="T686" s="113"/>
      <c r="U686" s="113"/>
      <c r="V686" s="113"/>
      <c r="W686" s="113"/>
      <c r="X686" s="113"/>
      <c r="Y686" s="113"/>
      <c r="Z686" s="113"/>
      <c r="AA686" s="113"/>
      <c r="AB686" s="113"/>
    </row>
    <row r="687" spans="1:28" ht="87.75" customHeight="1" x14ac:dyDescent="0.25">
      <c r="A687" s="740"/>
      <c r="B687" s="145" t="s">
        <v>747</v>
      </c>
      <c r="C687" s="145" t="s">
        <v>743</v>
      </c>
      <c r="D687" s="227">
        <v>20</v>
      </c>
      <c r="E687" s="30">
        <v>12</v>
      </c>
      <c r="F687" s="30">
        <v>6</v>
      </c>
      <c r="G687" s="182">
        <f t="shared" si="14"/>
        <v>0.5</v>
      </c>
      <c r="H687" s="246" t="s">
        <v>802</v>
      </c>
      <c r="I687" s="113"/>
      <c r="J687" s="113"/>
      <c r="K687" s="113"/>
      <c r="L687" s="113"/>
      <c r="M687" s="113"/>
      <c r="N687" s="113"/>
      <c r="O687" s="113"/>
      <c r="P687" s="113"/>
      <c r="Q687" s="113"/>
      <c r="R687" s="113"/>
      <c r="S687" s="113"/>
      <c r="T687" s="113"/>
      <c r="U687" s="113"/>
      <c r="V687" s="113"/>
      <c r="W687" s="113"/>
      <c r="X687" s="113"/>
      <c r="Y687" s="113"/>
      <c r="Z687" s="113"/>
      <c r="AA687" s="113"/>
      <c r="AB687" s="113"/>
    </row>
    <row r="688" spans="1:28" ht="87" customHeight="1" x14ac:dyDescent="0.25">
      <c r="A688" s="740"/>
      <c r="B688" s="145" t="s">
        <v>749</v>
      </c>
      <c r="C688" s="145" t="s">
        <v>177</v>
      </c>
      <c r="D688" s="227">
        <v>20</v>
      </c>
      <c r="E688" s="194">
        <v>30</v>
      </c>
      <c r="F688" s="30">
        <v>14.55</v>
      </c>
      <c r="G688" s="182">
        <f t="shared" si="14"/>
        <v>0.48500000000000004</v>
      </c>
      <c r="H688" s="246" t="s">
        <v>803</v>
      </c>
      <c r="I688" s="113"/>
      <c r="J688" s="113"/>
      <c r="K688" s="113"/>
      <c r="L688" s="113"/>
      <c r="M688" s="113"/>
      <c r="N688" s="113"/>
      <c r="O688" s="113"/>
      <c r="P688" s="113"/>
      <c r="Q688" s="113"/>
      <c r="R688" s="113"/>
      <c r="S688" s="113"/>
      <c r="T688" s="113"/>
      <c r="U688" s="113"/>
      <c r="V688" s="113"/>
      <c r="W688" s="113"/>
      <c r="X688" s="113"/>
      <c r="Y688" s="113"/>
      <c r="Z688" s="113"/>
      <c r="AA688" s="113"/>
      <c r="AB688" s="113"/>
    </row>
    <row r="689" spans="1:28" ht="73.5" customHeight="1" x14ac:dyDescent="0.25">
      <c r="A689" s="744"/>
      <c r="B689" s="153" t="s">
        <v>751</v>
      </c>
      <c r="C689" s="153" t="s">
        <v>743</v>
      </c>
      <c r="D689" s="234">
        <v>20</v>
      </c>
      <c r="E689" s="155">
        <v>12</v>
      </c>
      <c r="F689" s="155">
        <v>6</v>
      </c>
      <c r="G689" s="182">
        <f t="shared" si="14"/>
        <v>0.5</v>
      </c>
      <c r="H689" s="247" t="s">
        <v>813</v>
      </c>
      <c r="I689" s="113"/>
      <c r="J689" s="113"/>
      <c r="K689" s="113"/>
      <c r="L689" s="113"/>
      <c r="M689" s="113"/>
      <c r="N689" s="113"/>
      <c r="O689" s="113"/>
      <c r="P689" s="113"/>
      <c r="Q689" s="113"/>
      <c r="R689" s="113"/>
      <c r="S689" s="113"/>
      <c r="T689" s="113"/>
      <c r="U689" s="113"/>
      <c r="V689" s="113"/>
      <c r="W689" s="113"/>
      <c r="X689" s="113"/>
      <c r="Y689" s="113"/>
      <c r="Z689" s="113"/>
      <c r="AA689" s="113"/>
      <c r="AB689" s="113"/>
    </row>
    <row r="690" spans="1:28" ht="53.25" customHeight="1" x14ac:dyDescent="0.25">
      <c r="A690" s="791" t="s">
        <v>425</v>
      </c>
      <c r="B690" s="138" t="s">
        <v>742</v>
      </c>
      <c r="C690" s="138" t="s">
        <v>743</v>
      </c>
      <c r="D690" s="224">
        <v>20</v>
      </c>
      <c r="E690" s="181">
        <v>12</v>
      </c>
      <c r="F690" s="181">
        <v>7</v>
      </c>
      <c r="G690" s="182">
        <f t="shared" si="14"/>
        <v>0.58333333333333337</v>
      </c>
      <c r="H690" s="248" t="s">
        <v>808</v>
      </c>
      <c r="I690" s="113"/>
      <c r="J690" s="113"/>
      <c r="K690" s="113"/>
      <c r="L690" s="113"/>
      <c r="M690" s="113"/>
      <c r="N690" s="113"/>
      <c r="O690" s="113"/>
      <c r="P690" s="113"/>
      <c r="Q690" s="113"/>
      <c r="R690" s="113"/>
      <c r="S690" s="113"/>
      <c r="T690" s="113"/>
      <c r="U690" s="113"/>
      <c r="V690" s="113"/>
      <c r="W690" s="113"/>
      <c r="X690" s="113"/>
      <c r="Y690" s="113"/>
      <c r="Z690" s="113"/>
      <c r="AA690" s="113"/>
      <c r="AB690" s="113"/>
    </row>
    <row r="691" spans="1:28" ht="53.25" customHeight="1" x14ac:dyDescent="0.25">
      <c r="A691" s="740"/>
      <c r="B691" s="145" t="s">
        <v>745</v>
      </c>
      <c r="C691" s="145" t="s">
        <v>743</v>
      </c>
      <c r="D691" s="227">
        <v>20</v>
      </c>
      <c r="E691" s="30">
        <v>12</v>
      </c>
      <c r="F691" s="30">
        <v>7</v>
      </c>
      <c r="G691" s="182">
        <f t="shared" si="14"/>
        <v>0.58333333333333337</v>
      </c>
      <c r="H691" s="246" t="s">
        <v>801</v>
      </c>
      <c r="I691" s="113"/>
      <c r="J691" s="113"/>
      <c r="K691" s="113"/>
      <c r="L691" s="113"/>
      <c r="M691" s="113"/>
      <c r="N691" s="113"/>
      <c r="O691" s="113"/>
      <c r="P691" s="113"/>
      <c r="Q691" s="113"/>
      <c r="R691" s="113"/>
      <c r="S691" s="113"/>
      <c r="T691" s="113"/>
      <c r="U691" s="113"/>
      <c r="V691" s="113"/>
      <c r="W691" s="113"/>
      <c r="X691" s="113"/>
      <c r="Y691" s="113"/>
      <c r="Z691" s="113"/>
      <c r="AA691" s="113"/>
      <c r="AB691" s="113"/>
    </row>
    <row r="692" spans="1:28" ht="53.25" customHeight="1" x14ac:dyDescent="0.25">
      <c r="A692" s="740"/>
      <c r="B692" s="145" t="s">
        <v>747</v>
      </c>
      <c r="C692" s="145" t="s">
        <v>743</v>
      </c>
      <c r="D692" s="227">
        <v>20</v>
      </c>
      <c r="E692" s="30">
        <v>12</v>
      </c>
      <c r="F692" s="30">
        <v>7</v>
      </c>
      <c r="G692" s="182">
        <f t="shared" si="14"/>
        <v>0.58333333333333337</v>
      </c>
      <c r="H692" s="246" t="s">
        <v>802</v>
      </c>
      <c r="I692" s="113"/>
      <c r="J692" s="113"/>
      <c r="K692" s="113"/>
      <c r="L692" s="113"/>
      <c r="M692" s="113"/>
      <c r="N692" s="113"/>
      <c r="O692" s="113"/>
      <c r="P692" s="113"/>
      <c r="Q692" s="113"/>
      <c r="R692" s="113"/>
      <c r="S692" s="113"/>
      <c r="T692" s="113"/>
      <c r="U692" s="113"/>
      <c r="V692" s="113"/>
      <c r="W692" s="113"/>
      <c r="X692" s="113"/>
      <c r="Y692" s="113"/>
      <c r="Z692" s="113"/>
      <c r="AA692" s="113"/>
      <c r="AB692" s="113"/>
    </row>
    <row r="693" spans="1:28" ht="53.25" customHeight="1" x14ac:dyDescent="0.25">
      <c r="A693" s="740"/>
      <c r="B693" s="145" t="s">
        <v>749</v>
      </c>
      <c r="C693" s="145" t="s">
        <v>177</v>
      </c>
      <c r="D693" s="227">
        <v>20</v>
      </c>
      <c r="E693" s="194">
        <v>30</v>
      </c>
      <c r="F693" s="30">
        <v>16</v>
      </c>
      <c r="G693" s="182">
        <f t="shared" si="14"/>
        <v>0.53333333333333333</v>
      </c>
      <c r="H693" s="246" t="s">
        <v>803</v>
      </c>
      <c r="I693" s="113"/>
      <c r="J693" s="113"/>
      <c r="K693" s="113"/>
      <c r="L693" s="113"/>
      <c r="M693" s="113"/>
      <c r="N693" s="113"/>
      <c r="O693" s="113"/>
      <c r="P693" s="113"/>
      <c r="Q693" s="113"/>
      <c r="R693" s="113"/>
      <c r="S693" s="113"/>
      <c r="T693" s="113"/>
      <c r="U693" s="113"/>
      <c r="V693" s="113"/>
      <c r="W693" s="113"/>
      <c r="X693" s="113"/>
      <c r="Y693" s="113"/>
      <c r="Z693" s="113"/>
      <c r="AA693" s="113"/>
      <c r="AB693" s="113"/>
    </row>
    <row r="694" spans="1:28" ht="53.25" customHeight="1" x14ac:dyDescent="0.25">
      <c r="A694" s="744"/>
      <c r="B694" s="153" t="s">
        <v>751</v>
      </c>
      <c r="C694" s="153" t="s">
        <v>743</v>
      </c>
      <c r="D694" s="234">
        <v>20</v>
      </c>
      <c r="E694" s="155">
        <v>12</v>
      </c>
      <c r="F694" s="155">
        <v>7</v>
      </c>
      <c r="G694" s="182">
        <f t="shared" si="14"/>
        <v>0.58333333333333337</v>
      </c>
      <c r="H694" s="247" t="s">
        <v>813</v>
      </c>
      <c r="I694" s="113"/>
      <c r="J694" s="113"/>
      <c r="K694" s="113"/>
      <c r="L694" s="113"/>
      <c r="M694" s="113"/>
      <c r="N694" s="113"/>
      <c r="O694" s="113"/>
      <c r="P694" s="113"/>
      <c r="Q694" s="113"/>
      <c r="R694" s="113"/>
      <c r="S694" s="113"/>
      <c r="T694" s="113"/>
      <c r="U694" s="113"/>
      <c r="V694" s="113"/>
      <c r="W694" s="113"/>
      <c r="X694" s="113"/>
      <c r="Y694" s="113"/>
      <c r="Z694" s="113"/>
      <c r="AA694" s="113"/>
      <c r="AB694" s="113"/>
    </row>
    <row r="695" spans="1:28" ht="53.25" customHeight="1" x14ac:dyDescent="0.25">
      <c r="A695" s="791" t="s">
        <v>426</v>
      </c>
      <c r="B695" s="138" t="s">
        <v>742</v>
      </c>
      <c r="C695" s="138" t="s">
        <v>743</v>
      </c>
      <c r="D695" s="224">
        <v>20</v>
      </c>
      <c r="E695" s="181">
        <v>12</v>
      </c>
      <c r="F695" s="181">
        <v>8</v>
      </c>
      <c r="G695" s="182">
        <f t="shared" si="14"/>
        <v>0.66666666666666663</v>
      </c>
      <c r="H695" s="248" t="s">
        <v>808</v>
      </c>
      <c r="I695" s="113"/>
      <c r="J695" s="113"/>
      <c r="K695" s="113"/>
      <c r="L695" s="113"/>
      <c r="M695" s="113"/>
      <c r="N695" s="113"/>
      <c r="O695" s="113"/>
      <c r="P695" s="113"/>
      <c r="Q695" s="113"/>
      <c r="R695" s="113"/>
      <c r="S695" s="113"/>
      <c r="T695" s="113"/>
      <c r="U695" s="113"/>
      <c r="V695" s="113"/>
      <c r="W695" s="113"/>
      <c r="X695" s="113"/>
      <c r="Y695" s="113"/>
      <c r="Z695" s="113"/>
      <c r="AA695" s="113"/>
      <c r="AB695" s="113"/>
    </row>
    <row r="696" spans="1:28" ht="53.25" customHeight="1" x14ac:dyDescent="0.25">
      <c r="A696" s="740"/>
      <c r="B696" s="145" t="s">
        <v>745</v>
      </c>
      <c r="C696" s="145" t="s">
        <v>743</v>
      </c>
      <c r="D696" s="227">
        <v>20</v>
      </c>
      <c r="E696" s="30">
        <v>12</v>
      </c>
      <c r="F696" s="30">
        <v>8</v>
      </c>
      <c r="G696" s="182">
        <f t="shared" si="14"/>
        <v>0.66666666666666663</v>
      </c>
      <c r="H696" s="246" t="s">
        <v>801</v>
      </c>
      <c r="I696" s="113"/>
      <c r="J696" s="113"/>
      <c r="K696" s="113"/>
      <c r="L696" s="113"/>
      <c r="M696" s="113"/>
      <c r="N696" s="113"/>
      <c r="O696" s="113"/>
      <c r="P696" s="113"/>
      <c r="Q696" s="113"/>
      <c r="R696" s="113"/>
      <c r="S696" s="113"/>
      <c r="T696" s="113"/>
      <c r="U696" s="113"/>
      <c r="V696" s="113"/>
      <c r="W696" s="113"/>
      <c r="X696" s="113"/>
      <c r="Y696" s="113"/>
      <c r="Z696" s="113"/>
      <c r="AA696" s="113"/>
      <c r="AB696" s="113"/>
    </row>
    <row r="697" spans="1:28" ht="53.25" customHeight="1" x14ac:dyDescent="0.25">
      <c r="A697" s="740"/>
      <c r="B697" s="145" t="s">
        <v>747</v>
      </c>
      <c r="C697" s="145" t="s">
        <v>743</v>
      </c>
      <c r="D697" s="227">
        <v>20</v>
      </c>
      <c r="E697" s="30">
        <v>12</v>
      </c>
      <c r="F697" s="30">
        <v>8</v>
      </c>
      <c r="G697" s="182">
        <f t="shared" si="14"/>
        <v>0.66666666666666663</v>
      </c>
      <c r="H697" s="246" t="s">
        <v>802</v>
      </c>
      <c r="I697" s="113"/>
      <c r="J697" s="113"/>
      <c r="K697" s="113"/>
      <c r="L697" s="113"/>
      <c r="M697" s="113"/>
      <c r="N697" s="113"/>
      <c r="O697" s="113"/>
      <c r="P697" s="113"/>
      <c r="Q697" s="113"/>
      <c r="R697" s="113"/>
      <c r="S697" s="113"/>
      <c r="T697" s="113"/>
      <c r="U697" s="113"/>
      <c r="V697" s="113"/>
      <c r="W697" s="113"/>
      <c r="X697" s="113"/>
      <c r="Y697" s="113"/>
      <c r="Z697" s="113"/>
      <c r="AA697" s="113"/>
      <c r="AB697" s="113"/>
    </row>
    <row r="698" spans="1:28" ht="53.25" customHeight="1" x14ac:dyDescent="0.25">
      <c r="A698" s="740"/>
      <c r="B698" s="145" t="s">
        <v>749</v>
      </c>
      <c r="C698" s="145" t="s">
        <v>177</v>
      </c>
      <c r="D698" s="227">
        <v>20</v>
      </c>
      <c r="E698" s="194">
        <v>30</v>
      </c>
      <c r="F698" s="30">
        <v>20</v>
      </c>
      <c r="G698" s="182">
        <f t="shared" si="14"/>
        <v>0.66666666666666663</v>
      </c>
      <c r="H698" s="246" t="s">
        <v>803</v>
      </c>
      <c r="I698" s="113"/>
      <c r="J698" s="113"/>
      <c r="K698" s="113"/>
      <c r="L698" s="113"/>
      <c r="M698" s="113"/>
      <c r="N698" s="113"/>
      <c r="O698" s="113"/>
      <c r="P698" s="113"/>
      <c r="Q698" s="113"/>
      <c r="R698" s="113"/>
      <c r="S698" s="113"/>
      <c r="T698" s="113"/>
      <c r="U698" s="113"/>
      <c r="V698" s="113"/>
      <c r="W698" s="113"/>
      <c r="X698" s="113"/>
      <c r="Y698" s="113"/>
      <c r="Z698" s="113"/>
      <c r="AA698" s="113"/>
      <c r="AB698" s="113"/>
    </row>
    <row r="699" spans="1:28" ht="53.25" customHeight="1" x14ac:dyDescent="0.25">
      <c r="A699" s="744"/>
      <c r="B699" s="153" t="s">
        <v>751</v>
      </c>
      <c r="C699" s="153" t="s">
        <v>743</v>
      </c>
      <c r="D699" s="234">
        <v>20</v>
      </c>
      <c r="E699" s="155">
        <v>12</v>
      </c>
      <c r="F699" s="155">
        <v>8</v>
      </c>
      <c r="G699" s="182">
        <f t="shared" si="14"/>
        <v>0.66666666666666663</v>
      </c>
      <c r="H699" s="247" t="s">
        <v>813</v>
      </c>
      <c r="I699" s="113"/>
      <c r="J699" s="113"/>
      <c r="K699" s="113"/>
      <c r="L699" s="113"/>
      <c r="M699" s="113"/>
      <c r="N699" s="113"/>
      <c r="O699" s="113"/>
      <c r="P699" s="113"/>
      <c r="Q699" s="113"/>
      <c r="R699" s="113"/>
      <c r="S699" s="113"/>
      <c r="T699" s="113"/>
      <c r="U699" s="113"/>
      <c r="V699" s="113"/>
      <c r="W699" s="113"/>
      <c r="X699" s="113"/>
      <c r="Y699" s="113"/>
      <c r="Z699" s="113"/>
      <c r="AA699" s="113"/>
      <c r="AB699" s="113"/>
    </row>
    <row r="700" spans="1:28" ht="73.5" customHeight="1" x14ac:dyDescent="0.25">
      <c r="A700" s="791" t="s">
        <v>427</v>
      </c>
      <c r="B700" s="138" t="s">
        <v>742</v>
      </c>
      <c r="C700" s="138" t="s">
        <v>743</v>
      </c>
      <c r="D700" s="224">
        <v>20</v>
      </c>
      <c r="E700" s="181">
        <v>12</v>
      </c>
      <c r="F700" s="181">
        <v>9</v>
      </c>
      <c r="G700" s="182">
        <f t="shared" si="14"/>
        <v>0.75</v>
      </c>
      <c r="H700" s="248" t="s">
        <v>808</v>
      </c>
      <c r="I700" s="113"/>
      <c r="J700" s="113"/>
      <c r="K700" s="113"/>
      <c r="L700" s="113"/>
      <c r="M700" s="113"/>
      <c r="N700" s="113"/>
      <c r="O700" s="113"/>
      <c r="P700" s="113"/>
      <c r="Q700" s="113"/>
      <c r="R700" s="113"/>
      <c r="S700" s="113"/>
      <c r="T700" s="113"/>
      <c r="U700" s="113"/>
      <c r="V700" s="113"/>
      <c r="W700" s="113"/>
      <c r="X700" s="113"/>
      <c r="Y700" s="113"/>
      <c r="Z700" s="113"/>
      <c r="AA700" s="113"/>
      <c r="AB700" s="113"/>
    </row>
    <row r="701" spans="1:28" ht="72.75" customHeight="1" x14ac:dyDescent="0.25">
      <c r="A701" s="740"/>
      <c r="B701" s="145" t="s">
        <v>745</v>
      </c>
      <c r="C701" s="145" t="s">
        <v>743</v>
      </c>
      <c r="D701" s="227">
        <v>20</v>
      </c>
      <c r="E701" s="30">
        <v>12</v>
      </c>
      <c r="F701" s="30">
        <v>9</v>
      </c>
      <c r="G701" s="182">
        <f t="shared" si="14"/>
        <v>0.75</v>
      </c>
      <c r="H701" s="246" t="s">
        <v>801</v>
      </c>
      <c r="I701" s="113"/>
      <c r="J701" s="113"/>
      <c r="K701" s="113"/>
      <c r="L701" s="113"/>
      <c r="M701" s="113"/>
      <c r="N701" s="113"/>
      <c r="O701" s="113"/>
      <c r="P701" s="113"/>
      <c r="Q701" s="113"/>
      <c r="R701" s="113"/>
      <c r="S701" s="113"/>
      <c r="T701" s="113"/>
      <c r="U701" s="113"/>
      <c r="V701" s="113"/>
      <c r="W701" s="113"/>
      <c r="X701" s="113"/>
      <c r="Y701" s="113"/>
      <c r="Z701" s="113"/>
      <c r="AA701" s="113"/>
      <c r="AB701" s="113"/>
    </row>
    <row r="702" spans="1:28" ht="72" customHeight="1" x14ac:dyDescent="0.25">
      <c r="A702" s="740"/>
      <c r="B702" s="145" t="s">
        <v>747</v>
      </c>
      <c r="C702" s="145" t="s">
        <v>743</v>
      </c>
      <c r="D702" s="227">
        <v>20</v>
      </c>
      <c r="E702" s="30">
        <v>12</v>
      </c>
      <c r="F702" s="30">
        <v>9</v>
      </c>
      <c r="G702" s="182">
        <f t="shared" si="14"/>
        <v>0.75</v>
      </c>
      <c r="H702" s="246" t="s">
        <v>802</v>
      </c>
      <c r="I702" s="113"/>
      <c r="J702" s="113"/>
      <c r="K702" s="113"/>
      <c r="L702" s="113"/>
      <c r="M702" s="113"/>
      <c r="N702" s="113"/>
      <c r="O702" s="113"/>
      <c r="P702" s="113"/>
      <c r="Q702" s="113"/>
      <c r="R702" s="113"/>
      <c r="S702" s="113"/>
      <c r="T702" s="113"/>
      <c r="U702" s="113"/>
      <c r="V702" s="113"/>
      <c r="W702" s="113"/>
      <c r="X702" s="113"/>
      <c r="Y702" s="113"/>
      <c r="Z702" s="113"/>
      <c r="AA702" s="113"/>
      <c r="AB702" s="113"/>
    </row>
    <row r="703" spans="1:28" ht="78.75" customHeight="1" x14ac:dyDescent="0.25">
      <c r="A703" s="740"/>
      <c r="B703" s="145" t="s">
        <v>749</v>
      </c>
      <c r="C703" s="145" t="s">
        <v>177</v>
      </c>
      <c r="D703" s="227">
        <v>20</v>
      </c>
      <c r="E703" s="194">
        <v>30</v>
      </c>
      <c r="F703" s="30">
        <v>22.5</v>
      </c>
      <c r="G703" s="182">
        <f t="shared" si="14"/>
        <v>0.75</v>
      </c>
      <c r="H703" s="246" t="s">
        <v>803</v>
      </c>
      <c r="I703" s="113"/>
      <c r="J703" s="113"/>
      <c r="K703" s="113"/>
      <c r="L703" s="113"/>
      <c r="M703" s="113"/>
      <c r="N703" s="113"/>
      <c r="O703" s="113"/>
      <c r="P703" s="113"/>
      <c r="Q703" s="113"/>
      <c r="R703" s="113"/>
      <c r="S703" s="113"/>
      <c r="T703" s="113"/>
      <c r="U703" s="113"/>
      <c r="V703" s="113"/>
      <c r="W703" s="113"/>
      <c r="X703" s="113"/>
      <c r="Y703" s="113"/>
      <c r="Z703" s="113"/>
      <c r="AA703" s="113"/>
      <c r="AB703" s="113"/>
    </row>
    <row r="704" spans="1:28" ht="73.5" customHeight="1" x14ac:dyDescent="0.25">
      <c r="A704" s="744"/>
      <c r="B704" s="153" t="s">
        <v>751</v>
      </c>
      <c r="C704" s="153" t="s">
        <v>743</v>
      </c>
      <c r="D704" s="234">
        <v>20</v>
      </c>
      <c r="E704" s="155">
        <v>12</v>
      </c>
      <c r="F704" s="155">
        <v>9</v>
      </c>
      <c r="G704" s="182">
        <f t="shared" si="14"/>
        <v>0.75</v>
      </c>
      <c r="H704" s="247" t="s">
        <v>813</v>
      </c>
      <c r="I704" s="113"/>
      <c r="J704" s="113"/>
      <c r="K704" s="113"/>
      <c r="L704" s="113"/>
      <c r="M704" s="113"/>
      <c r="N704" s="113"/>
      <c r="O704" s="113"/>
      <c r="P704" s="113"/>
      <c r="Q704" s="113"/>
      <c r="R704" s="113"/>
      <c r="S704" s="113"/>
      <c r="T704" s="113"/>
      <c r="U704" s="113"/>
      <c r="V704" s="113"/>
      <c r="W704" s="113"/>
      <c r="X704" s="113"/>
      <c r="Y704" s="113"/>
      <c r="Z704" s="113"/>
      <c r="AA704" s="113"/>
      <c r="AB704" s="113"/>
    </row>
    <row r="705" spans="1:28" ht="68.25" customHeight="1" x14ac:dyDescent="0.25">
      <c r="A705" s="791" t="s">
        <v>428</v>
      </c>
      <c r="B705" s="138" t="s">
        <v>742</v>
      </c>
      <c r="C705" s="138" t="s">
        <v>743</v>
      </c>
      <c r="D705" s="224">
        <v>20</v>
      </c>
      <c r="E705" s="181">
        <v>12</v>
      </c>
      <c r="F705" s="181">
        <v>10</v>
      </c>
      <c r="G705" s="182">
        <f t="shared" si="14"/>
        <v>0.83333333333333337</v>
      </c>
      <c r="H705" s="248" t="s">
        <v>808</v>
      </c>
      <c r="I705" s="113"/>
      <c r="J705" s="113"/>
      <c r="K705" s="113"/>
      <c r="L705" s="113"/>
      <c r="M705" s="113"/>
      <c r="N705" s="113"/>
      <c r="O705" s="113"/>
      <c r="P705" s="113"/>
      <c r="Q705" s="113"/>
      <c r="R705" s="113"/>
      <c r="S705" s="113"/>
      <c r="T705" s="113"/>
      <c r="U705" s="113"/>
      <c r="V705" s="113"/>
      <c r="W705" s="113"/>
      <c r="X705" s="113"/>
      <c r="Y705" s="113"/>
      <c r="Z705" s="113"/>
      <c r="AA705" s="113"/>
      <c r="AB705" s="113"/>
    </row>
    <row r="706" spans="1:28" ht="54" customHeight="1" x14ac:dyDescent="0.25">
      <c r="A706" s="740"/>
      <c r="B706" s="145" t="s">
        <v>745</v>
      </c>
      <c r="C706" s="145" t="s">
        <v>743</v>
      </c>
      <c r="D706" s="227">
        <v>20</v>
      </c>
      <c r="E706" s="30">
        <v>12</v>
      </c>
      <c r="F706" s="30">
        <v>10</v>
      </c>
      <c r="G706" s="182">
        <f t="shared" si="14"/>
        <v>0.83333333333333337</v>
      </c>
      <c r="H706" s="246" t="s">
        <v>801</v>
      </c>
      <c r="I706" s="113"/>
      <c r="J706" s="113"/>
      <c r="K706" s="113"/>
      <c r="L706" s="113"/>
      <c r="M706" s="113"/>
      <c r="N706" s="113"/>
      <c r="O706" s="113"/>
      <c r="P706" s="113"/>
      <c r="Q706" s="113"/>
      <c r="R706" s="113"/>
      <c r="S706" s="113"/>
      <c r="T706" s="113"/>
      <c r="U706" s="113"/>
      <c r="V706" s="113"/>
      <c r="W706" s="113"/>
      <c r="X706" s="113"/>
      <c r="Y706" s="113"/>
      <c r="Z706" s="113"/>
      <c r="AA706" s="113"/>
      <c r="AB706" s="113"/>
    </row>
    <row r="707" spans="1:28" ht="54.75" customHeight="1" x14ac:dyDescent="0.25">
      <c r="A707" s="740"/>
      <c r="B707" s="145" t="s">
        <v>747</v>
      </c>
      <c r="C707" s="145" t="s">
        <v>743</v>
      </c>
      <c r="D707" s="227">
        <v>20</v>
      </c>
      <c r="E707" s="30">
        <v>12</v>
      </c>
      <c r="F707" s="30">
        <v>10</v>
      </c>
      <c r="G707" s="182">
        <f t="shared" si="14"/>
        <v>0.83333333333333337</v>
      </c>
      <c r="H707" s="246" t="s">
        <v>802</v>
      </c>
      <c r="I707" s="113"/>
      <c r="J707" s="113"/>
      <c r="K707" s="113"/>
      <c r="L707" s="113"/>
      <c r="M707" s="113"/>
      <c r="N707" s="113"/>
      <c r="O707" s="113"/>
      <c r="P707" s="113"/>
      <c r="Q707" s="113"/>
      <c r="R707" s="113"/>
      <c r="S707" s="113"/>
      <c r="T707" s="113"/>
      <c r="U707" s="113"/>
      <c r="V707" s="113"/>
      <c r="W707" s="113"/>
      <c r="X707" s="113"/>
      <c r="Y707" s="113"/>
      <c r="Z707" s="113"/>
      <c r="AA707" s="113"/>
      <c r="AB707" s="113"/>
    </row>
    <row r="708" spans="1:28" ht="60.75" customHeight="1" x14ac:dyDescent="0.25">
      <c r="A708" s="740"/>
      <c r="B708" s="145" t="s">
        <v>749</v>
      </c>
      <c r="C708" s="145" t="s">
        <v>177</v>
      </c>
      <c r="D708" s="227">
        <v>20</v>
      </c>
      <c r="E708" s="194">
        <v>30</v>
      </c>
      <c r="F708" s="30">
        <v>25</v>
      </c>
      <c r="G708" s="182">
        <f t="shared" si="14"/>
        <v>0.83333333333333337</v>
      </c>
      <c r="H708" s="246" t="s">
        <v>803</v>
      </c>
      <c r="I708" s="113"/>
      <c r="J708" s="113"/>
      <c r="K708" s="113"/>
      <c r="L708" s="113"/>
      <c r="M708" s="113"/>
      <c r="N708" s="113"/>
      <c r="O708" s="113"/>
      <c r="P708" s="113"/>
      <c r="Q708" s="113"/>
      <c r="R708" s="113"/>
      <c r="S708" s="113"/>
      <c r="T708" s="113"/>
      <c r="U708" s="113"/>
      <c r="V708" s="113"/>
      <c r="W708" s="113"/>
      <c r="X708" s="113"/>
      <c r="Y708" s="113"/>
      <c r="Z708" s="113"/>
      <c r="AA708" s="113"/>
      <c r="AB708" s="113"/>
    </row>
    <row r="709" spans="1:28" ht="58.5" customHeight="1" x14ac:dyDescent="0.25">
      <c r="A709" s="744"/>
      <c r="B709" s="153" t="s">
        <v>751</v>
      </c>
      <c r="C709" s="153" t="s">
        <v>743</v>
      </c>
      <c r="D709" s="234">
        <v>20</v>
      </c>
      <c r="E709" s="155">
        <v>12</v>
      </c>
      <c r="F709" s="155">
        <v>10</v>
      </c>
      <c r="G709" s="182">
        <f t="shared" si="14"/>
        <v>0.83333333333333337</v>
      </c>
      <c r="H709" s="247" t="s">
        <v>813</v>
      </c>
      <c r="I709" s="113"/>
      <c r="J709" s="113"/>
      <c r="K709" s="113"/>
      <c r="L709" s="113"/>
      <c r="M709" s="113"/>
      <c r="N709" s="113"/>
      <c r="O709" s="113"/>
      <c r="P709" s="113"/>
      <c r="Q709" s="113"/>
      <c r="R709" s="113"/>
      <c r="S709" s="113"/>
      <c r="T709" s="113"/>
      <c r="U709" s="113"/>
      <c r="V709" s="113"/>
      <c r="W709" s="113"/>
      <c r="X709" s="113"/>
      <c r="Y709" s="113"/>
      <c r="Z709" s="113"/>
      <c r="AA709" s="113"/>
      <c r="AB709" s="113"/>
    </row>
    <row r="710" spans="1:28" ht="15.75" customHeight="1" x14ac:dyDescent="0.25">
      <c r="A710" s="791" t="s">
        <v>429</v>
      </c>
      <c r="B710" s="138" t="s">
        <v>742</v>
      </c>
      <c r="C710" s="138" t="s">
        <v>743</v>
      </c>
      <c r="D710" s="224">
        <v>20</v>
      </c>
      <c r="E710" s="181">
        <v>12</v>
      </c>
      <c r="F710" s="181">
        <v>11</v>
      </c>
      <c r="G710" s="182">
        <f t="shared" si="14"/>
        <v>0.91666666666666663</v>
      </c>
      <c r="H710" s="248" t="s">
        <v>808</v>
      </c>
      <c r="I710" s="113"/>
      <c r="J710" s="113"/>
      <c r="K710" s="113"/>
      <c r="L710" s="113"/>
      <c r="M710" s="113"/>
      <c r="N710" s="113"/>
      <c r="O710" s="113"/>
      <c r="P710" s="113"/>
      <c r="Q710" s="113"/>
      <c r="R710" s="113"/>
      <c r="S710" s="113"/>
      <c r="T710" s="113"/>
      <c r="U710" s="113"/>
      <c r="V710" s="113"/>
      <c r="W710" s="113"/>
      <c r="X710" s="113"/>
      <c r="Y710" s="113"/>
      <c r="Z710" s="113"/>
      <c r="AA710" s="113"/>
      <c r="AB710" s="113"/>
    </row>
    <row r="711" spans="1:28" ht="15.75" customHeight="1" x14ac:dyDescent="0.25">
      <c r="A711" s="740"/>
      <c r="B711" s="145" t="s">
        <v>745</v>
      </c>
      <c r="C711" s="145" t="s">
        <v>743</v>
      </c>
      <c r="D711" s="227">
        <v>20</v>
      </c>
      <c r="E711" s="30">
        <v>12</v>
      </c>
      <c r="F711" s="30">
        <v>11</v>
      </c>
      <c r="G711" s="182">
        <f t="shared" si="14"/>
        <v>0.91666666666666663</v>
      </c>
      <c r="H711" s="246" t="s">
        <v>801</v>
      </c>
      <c r="I711" s="113"/>
      <c r="J711" s="113"/>
      <c r="K711" s="113"/>
      <c r="L711" s="113"/>
      <c r="M711" s="113"/>
      <c r="N711" s="113"/>
      <c r="O711" s="113"/>
      <c r="P711" s="113"/>
      <c r="Q711" s="113"/>
      <c r="R711" s="113"/>
      <c r="S711" s="113"/>
      <c r="T711" s="113"/>
      <c r="U711" s="113"/>
      <c r="V711" s="113"/>
      <c r="W711" s="113"/>
      <c r="X711" s="113"/>
      <c r="Y711" s="113"/>
      <c r="Z711" s="113"/>
      <c r="AA711" s="113"/>
      <c r="AB711" s="113"/>
    </row>
    <row r="712" spans="1:28" ht="15.75" customHeight="1" x14ac:dyDescent="0.25">
      <c r="A712" s="740"/>
      <c r="B712" s="145" t="s">
        <v>747</v>
      </c>
      <c r="C712" s="145" t="s">
        <v>743</v>
      </c>
      <c r="D712" s="227">
        <v>20</v>
      </c>
      <c r="E712" s="30">
        <v>12</v>
      </c>
      <c r="F712" s="30">
        <v>11</v>
      </c>
      <c r="G712" s="182">
        <f t="shared" si="14"/>
        <v>0.91666666666666663</v>
      </c>
      <c r="H712" s="246" t="s">
        <v>802</v>
      </c>
      <c r="I712" s="113"/>
      <c r="J712" s="113"/>
      <c r="K712" s="113"/>
      <c r="L712" s="113"/>
      <c r="M712" s="113"/>
      <c r="N712" s="113"/>
      <c r="O712" s="113"/>
      <c r="P712" s="113"/>
      <c r="Q712" s="113"/>
      <c r="R712" s="113"/>
      <c r="S712" s="113"/>
      <c r="T712" s="113"/>
      <c r="U712" s="113"/>
      <c r="V712" s="113"/>
      <c r="W712" s="113"/>
      <c r="X712" s="113"/>
      <c r="Y712" s="113"/>
      <c r="Z712" s="113"/>
      <c r="AA712" s="113"/>
      <c r="AB712" s="113"/>
    </row>
    <row r="713" spans="1:28" ht="15.75" customHeight="1" x14ac:dyDescent="0.25">
      <c r="A713" s="740"/>
      <c r="B713" s="145" t="s">
        <v>749</v>
      </c>
      <c r="C713" s="145" t="s">
        <v>177</v>
      </c>
      <c r="D713" s="227">
        <v>20</v>
      </c>
      <c r="E713" s="194">
        <v>30</v>
      </c>
      <c r="F713" s="30">
        <v>27.5</v>
      </c>
      <c r="G713" s="182">
        <f t="shared" si="14"/>
        <v>0.91666666666666663</v>
      </c>
      <c r="H713" s="246" t="s">
        <v>803</v>
      </c>
      <c r="I713" s="113"/>
      <c r="J713" s="113"/>
      <c r="K713" s="113"/>
      <c r="L713" s="113"/>
      <c r="M713" s="113"/>
      <c r="N713" s="113"/>
      <c r="O713" s="113"/>
      <c r="P713" s="113"/>
      <c r="Q713" s="113"/>
      <c r="R713" s="113"/>
      <c r="S713" s="113"/>
      <c r="T713" s="113"/>
      <c r="U713" s="113"/>
      <c r="V713" s="113"/>
      <c r="W713" s="113"/>
      <c r="X713" s="113"/>
      <c r="Y713" s="113"/>
      <c r="Z713" s="113"/>
      <c r="AA713" s="113"/>
      <c r="AB713" s="113"/>
    </row>
    <row r="714" spans="1:28" ht="15.75" customHeight="1" x14ac:dyDescent="0.25">
      <c r="A714" s="744"/>
      <c r="B714" s="153" t="s">
        <v>751</v>
      </c>
      <c r="C714" s="153" t="s">
        <v>743</v>
      </c>
      <c r="D714" s="234">
        <v>20</v>
      </c>
      <c r="E714" s="155">
        <v>12</v>
      </c>
      <c r="F714" s="155">
        <v>11</v>
      </c>
      <c r="G714" s="182">
        <f t="shared" si="14"/>
        <v>0.91666666666666663</v>
      </c>
      <c r="H714" s="247" t="s">
        <v>813</v>
      </c>
      <c r="I714" s="113"/>
      <c r="J714" s="113"/>
      <c r="K714" s="113"/>
      <c r="L714" s="113"/>
      <c r="M714" s="113"/>
      <c r="N714" s="113"/>
      <c r="O714" s="113"/>
      <c r="P714" s="113"/>
      <c r="Q714" s="113"/>
      <c r="R714" s="113"/>
      <c r="S714" s="113"/>
      <c r="T714" s="113"/>
      <c r="U714" s="113"/>
      <c r="V714" s="113"/>
      <c r="W714" s="113"/>
      <c r="X714" s="113"/>
      <c r="Y714" s="113"/>
      <c r="Z714" s="113"/>
      <c r="AA714" s="113"/>
      <c r="AB714" s="113"/>
    </row>
    <row r="715" spans="1:28" ht="15.75" customHeight="1" x14ac:dyDescent="0.25">
      <c r="A715" s="791" t="s">
        <v>430</v>
      </c>
      <c r="B715" s="138" t="s">
        <v>742</v>
      </c>
      <c r="C715" s="138" t="s">
        <v>743</v>
      </c>
      <c r="D715" s="224">
        <v>20</v>
      </c>
      <c r="E715" s="181">
        <v>12</v>
      </c>
      <c r="F715" s="181">
        <v>12</v>
      </c>
      <c r="G715" s="182">
        <f t="shared" si="14"/>
        <v>1</v>
      </c>
      <c r="H715" s="248" t="s">
        <v>808</v>
      </c>
      <c r="I715" s="113"/>
      <c r="J715" s="113"/>
      <c r="K715" s="113"/>
      <c r="L715" s="113"/>
      <c r="M715" s="113"/>
      <c r="N715" s="113"/>
      <c r="O715" s="113"/>
      <c r="P715" s="113"/>
      <c r="Q715" s="113"/>
      <c r="R715" s="113"/>
      <c r="S715" s="113"/>
      <c r="T715" s="113"/>
      <c r="U715" s="113"/>
      <c r="V715" s="113"/>
      <c r="W715" s="113"/>
      <c r="X715" s="113"/>
      <c r="Y715" s="113"/>
      <c r="Z715" s="113"/>
      <c r="AA715" s="113"/>
      <c r="AB715" s="113"/>
    </row>
    <row r="716" spans="1:28" ht="15.75" customHeight="1" x14ac:dyDescent="0.25">
      <c r="A716" s="740"/>
      <c r="B716" s="145" t="s">
        <v>745</v>
      </c>
      <c r="C716" s="145" t="s">
        <v>743</v>
      </c>
      <c r="D716" s="227">
        <v>20</v>
      </c>
      <c r="E716" s="30">
        <v>12</v>
      </c>
      <c r="F716" s="30">
        <v>12</v>
      </c>
      <c r="G716" s="182">
        <f t="shared" si="14"/>
        <v>1</v>
      </c>
      <c r="H716" s="246" t="s">
        <v>801</v>
      </c>
      <c r="I716" s="113"/>
      <c r="J716" s="113"/>
      <c r="K716" s="113"/>
      <c r="L716" s="113"/>
      <c r="M716" s="113"/>
      <c r="N716" s="113"/>
      <c r="O716" s="113"/>
      <c r="P716" s="113"/>
      <c r="Q716" s="113"/>
      <c r="R716" s="113"/>
      <c r="S716" s="113"/>
      <c r="T716" s="113"/>
      <c r="U716" s="113"/>
      <c r="V716" s="113"/>
      <c r="W716" s="113"/>
      <c r="X716" s="113"/>
      <c r="Y716" s="113"/>
      <c r="Z716" s="113"/>
      <c r="AA716" s="113"/>
      <c r="AB716" s="113"/>
    </row>
    <row r="717" spans="1:28" ht="15.75" customHeight="1" x14ac:dyDescent="0.25">
      <c r="A717" s="740"/>
      <c r="B717" s="145" t="s">
        <v>747</v>
      </c>
      <c r="C717" s="145" t="s">
        <v>743</v>
      </c>
      <c r="D717" s="227">
        <v>20</v>
      </c>
      <c r="E717" s="30">
        <v>12</v>
      </c>
      <c r="F717" s="30">
        <v>12</v>
      </c>
      <c r="G717" s="182">
        <f t="shared" si="14"/>
        <v>1</v>
      </c>
      <c r="H717" s="246" t="s">
        <v>802</v>
      </c>
      <c r="I717" s="113"/>
      <c r="J717" s="113"/>
      <c r="K717" s="113"/>
      <c r="L717" s="113"/>
      <c r="M717" s="113"/>
      <c r="N717" s="113"/>
      <c r="O717" s="113"/>
      <c r="P717" s="113"/>
      <c r="Q717" s="113"/>
      <c r="R717" s="113"/>
      <c r="S717" s="113"/>
      <c r="T717" s="113"/>
      <c r="U717" s="113"/>
      <c r="V717" s="113"/>
      <c r="W717" s="113"/>
      <c r="X717" s="113"/>
      <c r="Y717" s="113"/>
      <c r="Z717" s="113"/>
      <c r="AA717" s="113"/>
      <c r="AB717" s="113"/>
    </row>
    <row r="718" spans="1:28" ht="15.75" customHeight="1" x14ac:dyDescent="0.25">
      <c r="A718" s="740"/>
      <c r="B718" s="145" t="s">
        <v>749</v>
      </c>
      <c r="C718" s="145" t="s">
        <v>177</v>
      </c>
      <c r="D718" s="227">
        <v>20</v>
      </c>
      <c r="E718" s="194">
        <v>30</v>
      </c>
      <c r="F718" s="30">
        <v>30</v>
      </c>
      <c r="G718" s="182">
        <f t="shared" si="14"/>
        <v>1</v>
      </c>
      <c r="H718" s="246" t="s">
        <v>803</v>
      </c>
      <c r="I718" s="113"/>
      <c r="J718" s="113"/>
      <c r="K718" s="113"/>
      <c r="L718" s="113"/>
      <c r="M718" s="113"/>
      <c r="N718" s="113"/>
      <c r="O718" s="113"/>
      <c r="P718" s="113"/>
      <c r="Q718" s="113"/>
      <c r="R718" s="113"/>
      <c r="S718" s="113"/>
      <c r="T718" s="113"/>
      <c r="U718" s="113"/>
      <c r="V718" s="113"/>
      <c r="W718" s="113"/>
      <c r="X718" s="113"/>
      <c r="Y718" s="113"/>
      <c r="Z718" s="113"/>
      <c r="AA718" s="113"/>
      <c r="AB718" s="113"/>
    </row>
    <row r="719" spans="1:28" ht="15.75" customHeight="1" x14ac:dyDescent="0.25">
      <c r="A719" s="744"/>
      <c r="B719" s="153" t="s">
        <v>751</v>
      </c>
      <c r="C719" s="153" t="s">
        <v>743</v>
      </c>
      <c r="D719" s="234">
        <v>20</v>
      </c>
      <c r="E719" s="155">
        <v>12</v>
      </c>
      <c r="F719" s="155">
        <v>12</v>
      </c>
      <c r="G719" s="182">
        <f t="shared" si="14"/>
        <v>1</v>
      </c>
      <c r="H719" s="247" t="s">
        <v>813</v>
      </c>
      <c r="I719" s="113"/>
      <c r="J719" s="113"/>
      <c r="K719" s="113"/>
      <c r="L719" s="113"/>
      <c r="M719" s="113"/>
      <c r="N719" s="113"/>
      <c r="O719" s="113"/>
      <c r="P719" s="113"/>
      <c r="Q719" s="113"/>
      <c r="R719" s="113"/>
      <c r="S719" s="113"/>
      <c r="T719" s="113"/>
      <c r="U719" s="113"/>
      <c r="V719" s="113"/>
      <c r="W719" s="113"/>
      <c r="X719" s="113"/>
      <c r="Y719" s="113"/>
      <c r="Z719" s="113"/>
      <c r="AA719" s="113"/>
      <c r="AB719" s="113"/>
    </row>
    <row r="720" spans="1:28" ht="15.75" customHeight="1" x14ac:dyDescent="0.25">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row>
    <row r="721" spans="1:28" ht="15.75" customHeight="1" x14ac:dyDescent="0.3">
      <c r="A721" s="789" t="s">
        <v>814</v>
      </c>
      <c r="B721" s="592"/>
      <c r="C721" s="592"/>
      <c r="D721" s="592"/>
      <c r="E721" s="592"/>
      <c r="F721" s="592"/>
      <c r="G721" s="592"/>
      <c r="H721" s="689"/>
      <c r="I721" s="113"/>
      <c r="J721" s="113"/>
      <c r="K721" s="113"/>
      <c r="L721" s="113"/>
      <c r="M721" s="113"/>
      <c r="N721" s="113"/>
      <c r="O721" s="113"/>
      <c r="P721" s="113"/>
      <c r="Q721" s="113"/>
      <c r="R721" s="113"/>
      <c r="S721" s="113"/>
      <c r="T721" s="113"/>
      <c r="U721" s="113"/>
      <c r="V721" s="113"/>
      <c r="W721" s="113"/>
      <c r="X721" s="113"/>
      <c r="Y721" s="113"/>
      <c r="Z721" s="113"/>
      <c r="AA721" s="113"/>
      <c r="AB721" s="113"/>
    </row>
    <row r="722" spans="1:28" ht="48.75" customHeight="1" x14ac:dyDescent="0.25">
      <c r="A722" s="114" t="s">
        <v>28</v>
      </c>
      <c r="B722" s="115" t="s">
        <v>738</v>
      </c>
      <c r="C722" s="238" t="s">
        <v>446</v>
      </c>
      <c r="D722" s="238" t="s">
        <v>626</v>
      </c>
      <c r="E722" s="238" t="s">
        <v>815</v>
      </c>
      <c r="F722" s="238" t="s">
        <v>816</v>
      </c>
      <c r="G722" s="238" t="s">
        <v>817</v>
      </c>
      <c r="H722" s="116" t="s">
        <v>678</v>
      </c>
      <c r="I722" s="113"/>
      <c r="J722" s="113"/>
      <c r="K722" s="113"/>
      <c r="L722" s="113"/>
      <c r="M722" s="113"/>
      <c r="N722" s="113"/>
      <c r="O722" s="113"/>
      <c r="P722" s="113"/>
      <c r="Q722" s="113"/>
      <c r="R722" s="113"/>
      <c r="S722" s="113"/>
      <c r="T722" s="113"/>
      <c r="U722" s="113"/>
      <c r="V722" s="113"/>
      <c r="W722" s="113"/>
      <c r="X722" s="113"/>
      <c r="Y722" s="113"/>
      <c r="Z722" s="113"/>
      <c r="AA722" s="113"/>
      <c r="AB722" s="113"/>
    </row>
    <row r="723" spans="1:28" ht="66.75" customHeight="1" x14ac:dyDescent="0.25">
      <c r="A723" s="791" t="s">
        <v>432</v>
      </c>
      <c r="B723" s="138" t="s">
        <v>742</v>
      </c>
      <c r="C723" s="138" t="s">
        <v>743</v>
      </c>
      <c r="D723" s="224">
        <v>20</v>
      </c>
      <c r="E723" s="181">
        <v>12</v>
      </c>
      <c r="F723" s="181">
        <v>1</v>
      </c>
      <c r="G723" s="182">
        <f t="shared" ref="G723:G762" si="15">F723/E723</f>
        <v>8.3333333333333329E-2</v>
      </c>
      <c r="H723" s="248" t="s">
        <v>808</v>
      </c>
      <c r="I723" s="113"/>
      <c r="J723" s="113"/>
      <c r="K723" s="113"/>
      <c r="L723" s="113"/>
      <c r="M723" s="113"/>
      <c r="N723" s="113"/>
      <c r="O723" s="113"/>
      <c r="P723" s="113"/>
      <c r="Q723" s="113"/>
      <c r="R723" s="113"/>
      <c r="S723" s="113"/>
      <c r="T723" s="113"/>
      <c r="U723" s="113"/>
      <c r="V723" s="113"/>
      <c r="W723" s="113"/>
      <c r="X723" s="113"/>
      <c r="Y723" s="113"/>
      <c r="Z723" s="113"/>
      <c r="AA723" s="113"/>
      <c r="AB723" s="113"/>
    </row>
    <row r="724" spans="1:28" ht="54" customHeight="1" x14ac:dyDescent="0.25">
      <c r="A724" s="740"/>
      <c r="B724" s="145" t="s">
        <v>745</v>
      </c>
      <c r="C724" s="145" t="s">
        <v>743</v>
      </c>
      <c r="D724" s="227">
        <v>20</v>
      </c>
      <c r="E724" s="30">
        <v>12</v>
      </c>
      <c r="F724" s="30">
        <v>1</v>
      </c>
      <c r="G724" s="182">
        <f t="shared" si="15"/>
        <v>8.3333333333333329E-2</v>
      </c>
      <c r="H724" s="246" t="s">
        <v>801</v>
      </c>
      <c r="I724" s="113"/>
      <c r="J724" s="113"/>
      <c r="K724" s="113"/>
      <c r="L724" s="113"/>
      <c r="M724" s="113"/>
      <c r="N724" s="113"/>
      <c r="O724" s="113"/>
      <c r="P724" s="113"/>
      <c r="Q724" s="113"/>
      <c r="R724" s="113"/>
      <c r="S724" s="113"/>
      <c r="T724" s="113"/>
      <c r="U724" s="113"/>
      <c r="V724" s="113"/>
      <c r="W724" s="113"/>
      <c r="X724" s="113"/>
      <c r="Y724" s="113"/>
      <c r="Z724" s="113"/>
      <c r="AA724" s="113"/>
      <c r="AB724" s="113"/>
    </row>
    <row r="725" spans="1:28" ht="51.75" customHeight="1" x14ac:dyDescent="0.25">
      <c r="A725" s="740"/>
      <c r="B725" s="145" t="s">
        <v>747</v>
      </c>
      <c r="C725" s="145" t="s">
        <v>743</v>
      </c>
      <c r="D725" s="227">
        <v>20</v>
      </c>
      <c r="E725" s="30">
        <v>12</v>
      </c>
      <c r="F725" s="30">
        <v>1</v>
      </c>
      <c r="G725" s="182">
        <f t="shared" si="15"/>
        <v>8.3333333333333329E-2</v>
      </c>
      <c r="H725" s="246" t="s">
        <v>802</v>
      </c>
      <c r="I725" s="113"/>
      <c r="J725" s="113"/>
      <c r="K725" s="113"/>
      <c r="L725" s="113"/>
      <c r="M725" s="113"/>
      <c r="N725" s="113"/>
      <c r="O725" s="113"/>
      <c r="P725" s="113"/>
      <c r="Q725" s="113"/>
      <c r="R725" s="113"/>
      <c r="S725" s="113"/>
      <c r="T725" s="113"/>
      <c r="U725" s="113"/>
      <c r="V725" s="113"/>
      <c r="W725" s="113"/>
      <c r="X725" s="113"/>
      <c r="Y725" s="113"/>
      <c r="Z725" s="113"/>
      <c r="AA725" s="113"/>
      <c r="AB725" s="113"/>
    </row>
    <row r="726" spans="1:28" ht="33.75" customHeight="1" x14ac:dyDescent="0.25">
      <c r="A726" s="740"/>
      <c r="B726" s="145" t="s">
        <v>749</v>
      </c>
      <c r="C726" s="145" t="s">
        <v>177</v>
      </c>
      <c r="D726" s="227">
        <v>20</v>
      </c>
      <c r="E726" s="194">
        <v>20</v>
      </c>
      <c r="F726" s="147">
        <v>1.67E-2</v>
      </c>
      <c r="G726" s="182">
        <f t="shared" si="15"/>
        <v>8.3500000000000002E-4</v>
      </c>
      <c r="H726" s="246" t="s">
        <v>803</v>
      </c>
      <c r="I726" s="113"/>
      <c r="J726" s="113"/>
      <c r="K726" s="113"/>
      <c r="L726" s="113"/>
      <c r="M726" s="113"/>
      <c r="N726" s="113"/>
      <c r="O726" s="113"/>
      <c r="P726" s="113"/>
      <c r="Q726" s="113"/>
      <c r="R726" s="113"/>
      <c r="S726" s="113"/>
      <c r="T726" s="113"/>
      <c r="U726" s="113"/>
      <c r="V726" s="113"/>
      <c r="W726" s="113"/>
      <c r="X726" s="113"/>
      <c r="Y726" s="113"/>
      <c r="Z726" s="113"/>
      <c r="AA726" s="113"/>
      <c r="AB726" s="113"/>
    </row>
    <row r="727" spans="1:28" ht="48" customHeight="1" x14ac:dyDescent="0.25">
      <c r="A727" s="744"/>
      <c r="B727" s="153" t="s">
        <v>751</v>
      </c>
      <c r="C727" s="153" t="s">
        <v>743</v>
      </c>
      <c r="D727" s="234">
        <v>20</v>
      </c>
      <c r="E727" s="155">
        <v>12</v>
      </c>
      <c r="F727" s="155">
        <v>1</v>
      </c>
      <c r="G727" s="182">
        <f t="shared" si="15"/>
        <v>8.3333333333333329E-2</v>
      </c>
      <c r="H727" s="247" t="s">
        <v>813</v>
      </c>
      <c r="I727" s="113"/>
      <c r="J727" s="113"/>
      <c r="K727" s="113"/>
      <c r="L727" s="113"/>
      <c r="M727" s="113"/>
      <c r="N727" s="113"/>
      <c r="O727" s="113"/>
      <c r="P727" s="113"/>
      <c r="Q727" s="113"/>
      <c r="R727" s="113"/>
      <c r="S727" s="113"/>
      <c r="T727" s="113"/>
      <c r="U727" s="113"/>
      <c r="V727" s="113"/>
      <c r="W727" s="113"/>
      <c r="X727" s="113"/>
      <c r="Y727" s="113"/>
      <c r="Z727" s="113"/>
      <c r="AA727" s="113"/>
      <c r="AB727" s="113"/>
    </row>
    <row r="728" spans="1:28" ht="41.25" customHeight="1" x14ac:dyDescent="0.25">
      <c r="A728" s="791" t="s">
        <v>434</v>
      </c>
      <c r="B728" s="138" t="s">
        <v>742</v>
      </c>
      <c r="C728" s="138" t="s">
        <v>743</v>
      </c>
      <c r="D728" s="224">
        <v>20</v>
      </c>
      <c r="E728" s="181">
        <v>12</v>
      </c>
      <c r="F728" s="181">
        <v>2</v>
      </c>
      <c r="G728" s="182">
        <f t="shared" si="15"/>
        <v>0.16666666666666666</v>
      </c>
      <c r="H728" s="248" t="s">
        <v>808</v>
      </c>
      <c r="I728" s="113"/>
      <c r="J728" s="113"/>
      <c r="K728" s="113"/>
      <c r="L728" s="113"/>
      <c r="M728" s="113"/>
      <c r="N728" s="113"/>
      <c r="O728" s="113"/>
      <c r="P728" s="113"/>
      <c r="Q728" s="113"/>
      <c r="R728" s="113"/>
      <c r="S728" s="113"/>
      <c r="T728" s="113"/>
      <c r="U728" s="113"/>
      <c r="V728" s="113"/>
      <c r="W728" s="113"/>
      <c r="X728" s="113"/>
      <c r="Y728" s="113"/>
      <c r="Z728" s="113"/>
      <c r="AA728" s="113"/>
      <c r="AB728" s="113"/>
    </row>
    <row r="729" spans="1:28" ht="49.5" customHeight="1" x14ac:dyDescent="0.25">
      <c r="A729" s="740"/>
      <c r="B729" s="145" t="s">
        <v>745</v>
      </c>
      <c r="C729" s="145" t="s">
        <v>743</v>
      </c>
      <c r="D729" s="227">
        <v>20</v>
      </c>
      <c r="E729" s="30">
        <v>12</v>
      </c>
      <c r="F729" s="30">
        <v>2</v>
      </c>
      <c r="G729" s="182">
        <f t="shared" si="15"/>
        <v>0.16666666666666666</v>
      </c>
      <c r="H729" s="246" t="s">
        <v>801</v>
      </c>
      <c r="I729" s="113"/>
      <c r="J729" s="113"/>
      <c r="K729" s="113"/>
      <c r="L729" s="113"/>
      <c r="M729" s="113"/>
      <c r="N729" s="113"/>
      <c r="O729" s="113"/>
      <c r="P729" s="113"/>
      <c r="Q729" s="113"/>
      <c r="R729" s="113"/>
      <c r="S729" s="113"/>
      <c r="T729" s="113"/>
      <c r="U729" s="113"/>
      <c r="V729" s="113"/>
      <c r="W729" s="113"/>
      <c r="X729" s="113"/>
      <c r="Y729" s="113"/>
      <c r="Z729" s="113"/>
      <c r="AA729" s="113"/>
      <c r="AB729" s="113"/>
    </row>
    <row r="730" spans="1:28" ht="49.5" customHeight="1" x14ac:dyDescent="0.25">
      <c r="A730" s="740"/>
      <c r="B730" s="145" t="s">
        <v>747</v>
      </c>
      <c r="C730" s="145" t="s">
        <v>743</v>
      </c>
      <c r="D730" s="227">
        <v>20</v>
      </c>
      <c r="E730" s="30">
        <v>12</v>
      </c>
      <c r="F730" s="30">
        <v>2</v>
      </c>
      <c r="G730" s="182">
        <f t="shared" si="15"/>
        <v>0.16666666666666666</v>
      </c>
      <c r="H730" s="246" t="s">
        <v>802</v>
      </c>
      <c r="I730" s="113"/>
      <c r="J730" s="113"/>
      <c r="K730" s="113"/>
      <c r="L730" s="113"/>
      <c r="M730" s="113"/>
      <c r="N730" s="113"/>
      <c r="O730" s="113"/>
      <c r="P730" s="113"/>
      <c r="Q730" s="113"/>
      <c r="R730" s="113"/>
      <c r="S730" s="113"/>
      <c r="T730" s="113"/>
      <c r="U730" s="113"/>
      <c r="V730" s="113"/>
      <c r="W730" s="113"/>
      <c r="X730" s="113"/>
      <c r="Y730" s="113"/>
      <c r="Z730" s="113"/>
      <c r="AA730" s="113"/>
      <c r="AB730" s="113"/>
    </row>
    <row r="731" spans="1:28" ht="46.5" customHeight="1" x14ac:dyDescent="0.25">
      <c r="A731" s="740"/>
      <c r="B731" s="145" t="s">
        <v>749</v>
      </c>
      <c r="C731" s="145" t="s">
        <v>177</v>
      </c>
      <c r="D731" s="227">
        <v>20</v>
      </c>
      <c r="E731" s="245">
        <v>0.2</v>
      </c>
      <c r="F731" s="147">
        <v>3.3399999999999999E-2</v>
      </c>
      <c r="G731" s="182">
        <f t="shared" si="15"/>
        <v>0.16699999999999998</v>
      </c>
      <c r="H731" s="246" t="s">
        <v>803</v>
      </c>
      <c r="I731" s="113"/>
      <c r="J731" s="113"/>
      <c r="K731" s="113"/>
      <c r="L731" s="113"/>
      <c r="M731" s="113"/>
      <c r="N731" s="113"/>
      <c r="O731" s="113"/>
      <c r="P731" s="113"/>
      <c r="Q731" s="113"/>
      <c r="R731" s="113"/>
      <c r="S731" s="113"/>
      <c r="T731" s="113"/>
      <c r="U731" s="113"/>
      <c r="V731" s="113"/>
      <c r="W731" s="113"/>
      <c r="X731" s="113"/>
      <c r="Y731" s="113"/>
      <c r="Z731" s="113"/>
      <c r="AA731" s="113"/>
      <c r="AB731" s="113"/>
    </row>
    <row r="732" spans="1:28" ht="63.75" customHeight="1" x14ac:dyDescent="0.25">
      <c r="A732" s="744"/>
      <c r="B732" s="153" t="s">
        <v>751</v>
      </c>
      <c r="C732" s="153" t="s">
        <v>743</v>
      </c>
      <c r="D732" s="234">
        <v>20</v>
      </c>
      <c r="E732" s="155">
        <v>12</v>
      </c>
      <c r="F732" s="155">
        <v>2</v>
      </c>
      <c r="G732" s="182">
        <f t="shared" si="15"/>
        <v>0.16666666666666666</v>
      </c>
      <c r="H732" s="247" t="s">
        <v>813</v>
      </c>
      <c r="I732" s="113"/>
      <c r="J732" s="113"/>
      <c r="K732" s="113"/>
      <c r="L732" s="113"/>
      <c r="M732" s="113"/>
      <c r="N732" s="113"/>
      <c r="O732" s="113"/>
      <c r="P732" s="113"/>
      <c r="Q732" s="113"/>
      <c r="R732" s="113"/>
      <c r="S732" s="113"/>
      <c r="T732" s="113"/>
      <c r="U732" s="113"/>
      <c r="V732" s="113"/>
      <c r="W732" s="113"/>
      <c r="X732" s="113"/>
      <c r="Y732" s="113"/>
      <c r="Z732" s="113"/>
      <c r="AA732" s="113"/>
      <c r="AB732" s="113"/>
    </row>
    <row r="733" spans="1:28" ht="49.5" customHeight="1" x14ac:dyDescent="0.25">
      <c r="A733" s="791" t="s">
        <v>435</v>
      </c>
      <c r="B733" s="138" t="s">
        <v>742</v>
      </c>
      <c r="C733" s="138" t="s">
        <v>743</v>
      </c>
      <c r="D733" s="224">
        <v>20</v>
      </c>
      <c r="E733" s="181">
        <v>12</v>
      </c>
      <c r="F733" s="181">
        <v>3</v>
      </c>
      <c r="G733" s="182">
        <f t="shared" si="15"/>
        <v>0.25</v>
      </c>
      <c r="H733" s="248" t="s">
        <v>808</v>
      </c>
      <c r="I733" s="113"/>
      <c r="J733" s="113"/>
      <c r="K733" s="113"/>
      <c r="L733" s="113"/>
      <c r="M733" s="113"/>
      <c r="N733" s="113"/>
      <c r="O733" s="113"/>
      <c r="P733" s="113"/>
      <c r="Q733" s="113"/>
      <c r="R733" s="113"/>
      <c r="S733" s="113"/>
      <c r="T733" s="113"/>
      <c r="U733" s="113"/>
      <c r="V733" s="113"/>
      <c r="W733" s="113"/>
      <c r="X733" s="113"/>
      <c r="Y733" s="113"/>
      <c r="Z733" s="113"/>
      <c r="AA733" s="113"/>
      <c r="AB733" s="113"/>
    </row>
    <row r="734" spans="1:28" ht="58.5" customHeight="1" x14ac:dyDescent="0.25">
      <c r="A734" s="740"/>
      <c r="B734" s="145" t="s">
        <v>745</v>
      </c>
      <c r="C734" s="145" t="s">
        <v>743</v>
      </c>
      <c r="D734" s="227">
        <v>20</v>
      </c>
      <c r="E734" s="30">
        <v>12</v>
      </c>
      <c r="F734" s="30">
        <v>3</v>
      </c>
      <c r="G734" s="182">
        <f t="shared" si="15"/>
        <v>0.25</v>
      </c>
      <c r="H734" s="246" t="s">
        <v>801</v>
      </c>
      <c r="I734" s="113"/>
      <c r="J734" s="113"/>
      <c r="K734" s="113"/>
      <c r="L734" s="113"/>
      <c r="M734" s="113"/>
      <c r="N734" s="113"/>
      <c r="O734" s="113"/>
      <c r="P734" s="113"/>
      <c r="Q734" s="113"/>
      <c r="R734" s="113"/>
      <c r="S734" s="113"/>
      <c r="T734" s="113"/>
      <c r="U734" s="113"/>
      <c r="V734" s="113"/>
      <c r="W734" s="113"/>
      <c r="X734" s="113"/>
      <c r="Y734" s="113"/>
      <c r="Z734" s="113"/>
      <c r="AA734" s="113"/>
      <c r="AB734" s="113"/>
    </row>
    <row r="735" spans="1:28" ht="52.5" customHeight="1" x14ac:dyDescent="0.25">
      <c r="A735" s="740"/>
      <c r="B735" s="145" t="s">
        <v>747</v>
      </c>
      <c r="C735" s="145" t="s">
        <v>743</v>
      </c>
      <c r="D735" s="227">
        <v>20</v>
      </c>
      <c r="E735" s="30">
        <v>12</v>
      </c>
      <c r="F735" s="30">
        <v>3</v>
      </c>
      <c r="G735" s="182">
        <f t="shared" si="15"/>
        <v>0.25</v>
      </c>
      <c r="H735" s="246" t="s">
        <v>802</v>
      </c>
      <c r="I735" s="113"/>
      <c r="J735" s="113"/>
      <c r="K735" s="113"/>
      <c r="L735" s="113"/>
      <c r="M735" s="113"/>
      <c r="N735" s="113"/>
      <c r="O735" s="113"/>
      <c r="P735" s="113"/>
      <c r="Q735" s="113"/>
      <c r="R735" s="113"/>
      <c r="S735" s="113"/>
      <c r="T735" s="113"/>
      <c r="U735" s="113"/>
      <c r="V735" s="113"/>
      <c r="W735" s="113"/>
      <c r="X735" s="113"/>
      <c r="Y735" s="113"/>
      <c r="Z735" s="113"/>
      <c r="AA735" s="113"/>
      <c r="AB735" s="113"/>
    </row>
    <row r="736" spans="1:28" ht="43.5" customHeight="1" x14ac:dyDescent="0.25">
      <c r="A736" s="740"/>
      <c r="B736" s="145" t="s">
        <v>749</v>
      </c>
      <c r="C736" s="145" t="s">
        <v>177</v>
      </c>
      <c r="D736" s="227">
        <v>20</v>
      </c>
      <c r="E736" s="245">
        <v>0.2</v>
      </c>
      <c r="F736" s="147">
        <v>5.0099999999999999E-2</v>
      </c>
      <c r="G736" s="182">
        <f t="shared" si="15"/>
        <v>0.2505</v>
      </c>
      <c r="H736" s="246" t="s">
        <v>803</v>
      </c>
      <c r="I736" s="113"/>
      <c r="J736" s="113"/>
      <c r="K736" s="113"/>
      <c r="L736" s="113"/>
      <c r="M736" s="113"/>
      <c r="N736" s="113"/>
      <c r="O736" s="113"/>
      <c r="P736" s="113"/>
      <c r="Q736" s="113"/>
      <c r="R736" s="113"/>
      <c r="S736" s="113"/>
      <c r="T736" s="113"/>
      <c r="U736" s="113"/>
      <c r="V736" s="113"/>
      <c r="W736" s="113"/>
      <c r="X736" s="113"/>
      <c r="Y736" s="113"/>
      <c r="Z736" s="113"/>
      <c r="AA736" s="113"/>
      <c r="AB736" s="113"/>
    </row>
    <row r="737" spans="1:28" ht="52.5" customHeight="1" x14ac:dyDescent="0.25">
      <c r="A737" s="744"/>
      <c r="B737" s="153" t="s">
        <v>751</v>
      </c>
      <c r="C737" s="153" t="s">
        <v>743</v>
      </c>
      <c r="D737" s="234">
        <v>20</v>
      </c>
      <c r="E737" s="155">
        <v>12</v>
      </c>
      <c r="F737" s="155">
        <v>3</v>
      </c>
      <c r="G737" s="182">
        <f t="shared" si="15"/>
        <v>0.25</v>
      </c>
      <c r="H737" s="247" t="s">
        <v>813</v>
      </c>
      <c r="I737" s="113"/>
      <c r="J737" s="113"/>
      <c r="K737" s="113"/>
      <c r="L737" s="113"/>
      <c r="M737" s="113"/>
      <c r="N737" s="113"/>
      <c r="O737" s="113"/>
      <c r="P737" s="113"/>
      <c r="Q737" s="113"/>
      <c r="R737" s="113"/>
      <c r="S737" s="113"/>
      <c r="T737" s="113"/>
      <c r="U737" s="113"/>
      <c r="V737" s="113"/>
      <c r="W737" s="113"/>
      <c r="X737" s="113"/>
      <c r="Y737" s="113"/>
      <c r="Z737" s="113"/>
      <c r="AA737" s="113"/>
      <c r="AB737" s="113"/>
    </row>
    <row r="738" spans="1:28" ht="50.25" customHeight="1" x14ac:dyDescent="0.25">
      <c r="A738" s="791" t="s">
        <v>436</v>
      </c>
      <c r="B738" s="138" t="s">
        <v>742</v>
      </c>
      <c r="C738" s="138" t="s">
        <v>743</v>
      </c>
      <c r="D738" s="224">
        <v>20</v>
      </c>
      <c r="E738" s="181">
        <v>12</v>
      </c>
      <c r="F738" s="181">
        <v>4</v>
      </c>
      <c r="G738" s="182">
        <f t="shared" si="15"/>
        <v>0.33333333333333331</v>
      </c>
      <c r="H738" s="248" t="s">
        <v>808</v>
      </c>
      <c r="I738" s="113"/>
      <c r="J738" s="113"/>
      <c r="K738" s="113"/>
      <c r="L738" s="113"/>
      <c r="M738" s="113"/>
      <c r="N738" s="113"/>
      <c r="O738" s="113"/>
      <c r="P738" s="113"/>
      <c r="Q738" s="113"/>
      <c r="R738" s="113"/>
      <c r="S738" s="113"/>
      <c r="T738" s="113"/>
      <c r="U738" s="113"/>
      <c r="V738" s="113"/>
      <c r="W738" s="113"/>
      <c r="X738" s="113"/>
      <c r="Y738" s="113"/>
      <c r="Z738" s="113"/>
      <c r="AA738" s="113"/>
      <c r="AB738" s="113"/>
    </row>
    <row r="739" spans="1:28" ht="55.5" customHeight="1" x14ac:dyDescent="0.25">
      <c r="A739" s="740"/>
      <c r="B739" s="145" t="s">
        <v>745</v>
      </c>
      <c r="C739" s="145" t="s">
        <v>743</v>
      </c>
      <c r="D739" s="227">
        <v>20</v>
      </c>
      <c r="E739" s="30">
        <v>12</v>
      </c>
      <c r="F739" s="30">
        <v>4</v>
      </c>
      <c r="G739" s="182">
        <f t="shared" si="15"/>
        <v>0.33333333333333331</v>
      </c>
      <c r="H739" s="246" t="s">
        <v>801</v>
      </c>
      <c r="I739" s="113"/>
      <c r="J739" s="113"/>
      <c r="K739" s="113"/>
      <c r="L739" s="113"/>
      <c r="M739" s="113"/>
      <c r="N739" s="113"/>
      <c r="O739" s="113"/>
      <c r="P739" s="113"/>
      <c r="Q739" s="113"/>
      <c r="R739" s="113"/>
      <c r="S739" s="113"/>
      <c r="T739" s="113"/>
      <c r="U739" s="113"/>
      <c r="V739" s="113"/>
      <c r="W739" s="113"/>
      <c r="X739" s="113"/>
      <c r="Y739" s="113"/>
      <c r="Z739" s="113"/>
      <c r="AA739" s="113"/>
      <c r="AB739" s="113"/>
    </row>
    <row r="740" spans="1:28" ht="51.75" customHeight="1" x14ac:dyDescent="0.25">
      <c r="A740" s="740"/>
      <c r="B740" s="145" t="s">
        <v>747</v>
      </c>
      <c r="C740" s="145" t="s">
        <v>743</v>
      </c>
      <c r="D740" s="227">
        <v>20</v>
      </c>
      <c r="E740" s="30">
        <v>12</v>
      </c>
      <c r="F740" s="30">
        <v>4</v>
      </c>
      <c r="G740" s="182">
        <f t="shared" si="15"/>
        <v>0.33333333333333331</v>
      </c>
      <c r="H740" s="246" t="s">
        <v>802</v>
      </c>
      <c r="I740" s="113"/>
      <c r="J740" s="113"/>
      <c r="K740" s="113"/>
      <c r="L740" s="113"/>
      <c r="M740" s="113"/>
      <c r="N740" s="113"/>
      <c r="O740" s="113"/>
      <c r="P740" s="113"/>
      <c r="Q740" s="113"/>
      <c r="R740" s="113"/>
      <c r="S740" s="113"/>
      <c r="T740" s="113"/>
      <c r="U740" s="113"/>
      <c r="V740" s="113"/>
      <c r="W740" s="113"/>
      <c r="X740" s="113"/>
      <c r="Y740" s="113"/>
      <c r="Z740" s="113"/>
      <c r="AA740" s="113"/>
      <c r="AB740" s="113"/>
    </row>
    <row r="741" spans="1:28" ht="48.75" customHeight="1" x14ac:dyDescent="0.25">
      <c r="A741" s="740"/>
      <c r="B741" s="145" t="s">
        <v>749</v>
      </c>
      <c r="C741" s="145" t="s">
        <v>177</v>
      </c>
      <c r="D741" s="227">
        <v>20</v>
      </c>
      <c r="E741" s="245">
        <v>0.2</v>
      </c>
      <c r="F741" s="147">
        <v>6.6799999999999998E-2</v>
      </c>
      <c r="G741" s="182">
        <f t="shared" si="15"/>
        <v>0.33399999999999996</v>
      </c>
      <c r="H741" s="246" t="s">
        <v>803</v>
      </c>
      <c r="I741" s="113"/>
      <c r="J741" s="113"/>
      <c r="K741" s="113"/>
      <c r="L741" s="113"/>
      <c r="M741" s="113"/>
      <c r="N741" s="113"/>
      <c r="O741" s="113"/>
      <c r="P741" s="113"/>
      <c r="Q741" s="113"/>
      <c r="R741" s="113"/>
      <c r="S741" s="113"/>
      <c r="T741" s="113"/>
      <c r="U741" s="113"/>
      <c r="V741" s="113"/>
      <c r="W741" s="113"/>
      <c r="X741" s="113"/>
      <c r="Y741" s="113"/>
      <c r="Z741" s="113"/>
      <c r="AA741" s="113"/>
      <c r="AB741" s="113"/>
    </row>
    <row r="742" spans="1:28" ht="63.75" customHeight="1" x14ac:dyDescent="0.25">
      <c r="A742" s="744"/>
      <c r="B742" s="153" t="s">
        <v>751</v>
      </c>
      <c r="C742" s="153" t="s">
        <v>743</v>
      </c>
      <c r="D742" s="234">
        <v>20</v>
      </c>
      <c r="E742" s="155">
        <v>12</v>
      </c>
      <c r="F742" s="155">
        <v>4</v>
      </c>
      <c r="G742" s="182">
        <f t="shared" si="15"/>
        <v>0.33333333333333331</v>
      </c>
      <c r="H742" s="247" t="s">
        <v>813</v>
      </c>
      <c r="I742" s="113"/>
      <c r="J742" s="113"/>
      <c r="K742" s="113"/>
      <c r="L742" s="113"/>
      <c r="M742" s="113"/>
      <c r="N742" s="113"/>
      <c r="O742" s="113"/>
      <c r="P742" s="113"/>
      <c r="Q742" s="113"/>
      <c r="R742" s="113"/>
      <c r="S742" s="113"/>
      <c r="T742" s="113"/>
      <c r="U742" s="113"/>
      <c r="V742" s="113"/>
      <c r="W742" s="113"/>
      <c r="X742" s="113"/>
      <c r="Y742" s="113"/>
      <c r="Z742" s="113"/>
      <c r="AA742" s="113"/>
      <c r="AB742" s="113"/>
    </row>
    <row r="743" spans="1:28" ht="64.5" customHeight="1" x14ac:dyDescent="0.25">
      <c r="A743" s="791" t="s">
        <v>437</v>
      </c>
      <c r="B743" s="138" t="s">
        <v>742</v>
      </c>
      <c r="C743" s="138" t="s">
        <v>743</v>
      </c>
      <c r="D743" s="224">
        <v>20</v>
      </c>
      <c r="E743" s="181">
        <v>12</v>
      </c>
      <c r="F743" s="181">
        <v>5</v>
      </c>
      <c r="G743" s="182">
        <f t="shared" si="15"/>
        <v>0.41666666666666669</v>
      </c>
      <c r="H743" s="248" t="s">
        <v>808</v>
      </c>
      <c r="I743" s="113"/>
      <c r="J743" s="113"/>
      <c r="K743" s="113"/>
      <c r="L743" s="113"/>
      <c r="M743" s="113"/>
      <c r="N743" s="113"/>
      <c r="O743" s="113"/>
      <c r="P743" s="113"/>
      <c r="Q743" s="113"/>
      <c r="R743" s="113"/>
      <c r="S743" s="113"/>
      <c r="T743" s="113"/>
      <c r="U743" s="113"/>
      <c r="V743" s="113"/>
      <c r="W743" s="113"/>
      <c r="X743" s="113"/>
      <c r="Y743" s="113"/>
      <c r="Z743" s="113"/>
      <c r="AA743" s="113"/>
      <c r="AB743" s="113"/>
    </row>
    <row r="744" spans="1:28" ht="69.75" customHeight="1" x14ac:dyDescent="0.25">
      <c r="A744" s="740"/>
      <c r="B744" s="145" t="s">
        <v>745</v>
      </c>
      <c r="C744" s="145" t="s">
        <v>743</v>
      </c>
      <c r="D744" s="227">
        <v>20</v>
      </c>
      <c r="E744" s="30">
        <v>12</v>
      </c>
      <c r="F744" s="30">
        <v>5</v>
      </c>
      <c r="G744" s="182">
        <f t="shared" si="15"/>
        <v>0.41666666666666669</v>
      </c>
      <c r="H744" s="246" t="s">
        <v>801</v>
      </c>
      <c r="I744" s="113"/>
      <c r="J744" s="113"/>
      <c r="K744" s="113"/>
      <c r="L744" s="113"/>
      <c r="M744" s="113"/>
      <c r="N744" s="113"/>
      <c r="O744" s="113"/>
      <c r="P744" s="113"/>
      <c r="Q744" s="113"/>
      <c r="R744" s="113"/>
      <c r="S744" s="113"/>
      <c r="T744" s="113"/>
      <c r="U744" s="113"/>
      <c r="V744" s="113"/>
      <c r="W744" s="113"/>
      <c r="X744" s="113"/>
      <c r="Y744" s="113"/>
      <c r="Z744" s="113"/>
      <c r="AA744" s="113"/>
      <c r="AB744" s="113"/>
    </row>
    <row r="745" spans="1:28" ht="58.5" customHeight="1" x14ac:dyDescent="0.25">
      <c r="A745" s="740"/>
      <c r="B745" s="145" t="s">
        <v>747</v>
      </c>
      <c r="C745" s="145" t="s">
        <v>743</v>
      </c>
      <c r="D745" s="227">
        <v>20</v>
      </c>
      <c r="E745" s="30">
        <v>12</v>
      </c>
      <c r="F745" s="30">
        <v>5</v>
      </c>
      <c r="G745" s="182">
        <f t="shared" si="15"/>
        <v>0.41666666666666669</v>
      </c>
      <c r="H745" s="246" t="s">
        <v>802</v>
      </c>
      <c r="I745" s="113"/>
      <c r="J745" s="113"/>
      <c r="K745" s="113"/>
      <c r="L745" s="113"/>
      <c r="M745" s="113"/>
      <c r="N745" s="113"/>
      <c r="O745" s="113"/>
      <c r="P745" s="113"/>
      <c r="Q745" s="113"/>
      <c r="R745" s="113"/>
      <c r="S745" s="113"/>
      <c r="T745" s="113"/>
      <c r="U745" s="113"/>
      <c r="V745" s="113"/>
      <c r="W745" s="113"/>
      <c r="X745" s="113"/>
      <c r="Y745" s="113"/>
      <c r="Z745" s="113"/>
      <c r="AA745" s="113"/>
      <c r="AB745" s="113"/>
    </row>
    <row r="746" spans="1:28" ht="41.25" customHeight="1" x14ac:dyDescent="0.25">
      <c r="A746" s="740"/>
      <c r="B746" s="145" t="s">
        <v>749</v>
      </c>
      <c r="C746" s="145" t="s">
        <v>177</v>
      </c>
      <c r="D746" s="227">
        <v>20</v>
      </c>
      <c r="E746" s="245">
        <v>0.2</v>
      </c>
      <c r="F746" s="147">
        <v>8.3500000000000005E-2</v>
      </c>
      <c r="G746" s="182">
        <f t="shared" si="15"/>
        <v>0.41749999999999998</v>
      </c>
      <c r="H746" s="246" t="s">
        <v>803</v>
      </c>
      <c r="I746" s="113"/>
      <c r="J746" s="113"/>
      <c r="K746" s="113"/>
      <c r="L746" s="113"/>
      <c r="M746" s="113"/>
      <c r="N746" s="113"/>
      <c r="O746" s="113"/>
      <c r="P746" s="113"/>
      <c r="Q746" s="113"/>
      <c r="R746" s="113"/>
      <c r="S746" s="113"/>
      <c r="T746" s="113"/>
      <c r="U746" s="113"/>
      <c r="V746" s="113"/>
      <c r="W746" s="113"/>
      <c r="X746" s="113"/>
      <c r="Y746" s="113"/>
      <c r="Z746" s="113"/>
      <c r="AA746" s="113"/>
      <c r="AB746" s="113"/>
    </row>
    <row r="747" spans="1:28" ht="62.25" customHeight="1" x14ac:dyDescent="0.25">
      <c r="A747" s="744"/>
      <c r="B747" s="153" t="s">
        <v>751</v>
      </c>
      <c r="C747" s="153" t="s">
        <v>743</v>
      </c>
      <c r="D747" s="234">
        <v>20</v>
      </c>
      <c r="E747" s="155">
        <v>12</v>
      </c>
      <c r="F747" s="155">
        <v>5</v>
      </c>
      <c r="G747" s="182">
        <f t="shared" si="15"/>
        <v>0.41666666666666669</v>
      </c>
      <c r="H747" s="247" t="s">
        <v>813</v>
      </c>
      <c r="I747" s="113"/>
      <c r="J747" s="113"/>
      <c r="K747" s="113"/>
      <c r="L747" s="113"/>
      <c r="M747" s="113"/>
      <c r="N747" s="113"/>
      <c r="O747" s="113"/>
      <c r="P747" s="113"/>
      <c r="Q747" s="113"/>
      <c r="R747" s="113"/>
      <c r="S747" s="113"/>
      <c r="T747" s="113"/>
      <c r="U747" s="113"/>
      <c r="V747" s="113"/>
      <c r="W747" s="113"/>
      <c r="X747" s="113"/>
      <c r="Y747" s="113"/>
      <c r="Z747" s="113"/>
      <c r="AA747" s="113"/>
      <c r="AB747" s="113"/>
    </row>
    <row r="748" spans="1:28" ht="56.25" customHeight="1" x14ac:dyDescent="0.25">
      <c r="A748" s="791" t="s">
        <v>438</v>
      </c>
      <c r="B748" s="138" t="s">
        <v>742</v>
      </c>
      <c r="C748" s="138" t="s">
        <v>743</v>
      </c>
      <c r="D748" s="224">
        <v>20</v>
      </c>
      <c r="E748" s="181">
        <v>12</v>
      </c>
      <c r="F748" s="181">
        <v>6</v>
      </c>
      <c r="G748" s="182">
        <f t="shared" si="15"/>
        <v>0.5</v>
      </c>
      <c r="H748" s="248" t="s">
        <v>808</v>
      </c>
      <c r="I748" s="113"/>
      <c r="J748" s="113"/>
      <c r="K748" s="113"/>
      <c r="L748" s="113"/>
      <c r="M748" s="113"/>
      <c r="N748" s="113"/>
      <c r="O748" s="113"/>
      <c r="P748" s="113"/>
      <c r="Q748" s="113"/>
      <c r="R748" s="113"/>
      <c r="S748" s="113"/>
      <c r="T748" s="113"/>
      <c r="U748" s="113"/>
      <c r="V748" s="113"/>
      <c r="W748" s="113"/>
      <c r="X748" s="113"/>
      <c r="Y748" s="113"/>
      <c r="Z748" s="113"/>
      <c r="AA748" s="113"/>
      <c r="AB748" s="113"/>
    </row>
    <row r="749" spans="1:28" ht="57" customHeight="1" x14ac:dyDescent="0.25">
      <c r="A749" s="740"/>
      <c r="B749" s="145" t="s">
        <v>745</v>
      </c>
      <c r="C749" s="145" t="s">
        <v>743</v>
      </c>
      <c r="D749" s="227">
        <v>20</v>
      </c>
      <c r="E749" s="30">
        <v>12</v>
      </c>
      <c r="F749" s="30">
        <v>6</v>
      </c>
      <c r="G749" s="182">
        <f t="shared" si="15"/>
        <v>0.5</v>
      </c>
      <c r="H749" s="246" t="s">
        <v>801</v>
      </c>
      <c r="I749" s="113"/>
      <c r="J749" s="113"/>
      <c r="K749" s="113"/>
      <c r="L749" s="113"/>
      <c r="M749" s="113"/>
      <c r="N749" s="113"/>
      <c r="O749" s="113"/>
      <c r="P749" s="113"/>
      <c r="Q749" s="113"/>
      <c r="R749" s="113"/>
      <c r="S749" s="113"/>
      <c r="T749" s="113"/>
      <c r="U749" s="113"/>
      <c r="V749" s="113"/>
      <c r="W749" s="113"/>
      <c r="X749" s="113"/>
      <c r="Y749" s="113"/>
      <c r="Z749" s="113"/>
      <c r="AA749" s="113"/>
      <c r="AB749" s="113"/>
    </row>
    <row r="750" spans="1:28" ht="45.75" customHeight="1" x14ac:dyDescent="0.25">
      <c r="A750" s="740"/>
      <c r="B750" s="145" t="s">
        <v>747</v>
      </c>
      <c r="C750" s="145" t="s">
        <v>743</v>
      </c>
      <c r="D750" s="227">
        <v>20</v>
      </c>
      <c r="E750" s="30">
        <v>12</v>
      </c>
      <c r="F750" s="30">
        <v>6</v>
      </c>
      <c r="G750" s="182">
        <f t="shared" si="15"/>
        <v>0.5</v>
      </c>
      <c r="H750" s="246" t="s">
        <v>802</v>
      </c>
      <c r="I750" s="113"/>
      <c r="J750" s="113"/>
      <c r="K750" s="113"/>
      <c r="L750" s="113"/>
      <c r="M750" s="113"/>
      <c r="N750" s="113"/>
      <c r="O750" s="113"/>
      <c r="P750" s="113"/>
      <c r="Q750" s="113"/>
      <c r="R750" s="113"/>
      <c r="S750" s="113"/>
      <c r="T750" s="113"/>
      <c r="U750" s="113"/>
      <c r="V750" s="113"/>
      <c r="W750" s="113"/>
      <c r="X750" s="113"/>
      <c r="Y750" s="113"/>
      <c r="Z750" s="113"/>
      <c r="AA750" s="113"/>
      <c r="AB750" s="113"/>
    </row>
    <row r="751" spans="1:28" ht="59.25" customHeight="1" x14ac:dyDescent="0.25">
      <c r="A751" s="740"/>
      <c r="B751" s="145" t="s">
        <v>749</v>
      </c>
      <c r="C751" s="145" t="s">
        <v>177</v>
      </c>
      <c r="D751" s="227">
        <v>20</v>
      </c>
      <c r="E751" s="245">
        <v>0.2</v>
      </c>
      <c r="F751" s="147">
        <v>0.1002</v>
      </c>
      <c r="G751" s="182">
        <f t="shared" si="15"/>
        <v>0.501</v>
      </c>
      <c r="H751" s="246" t="s">
        <v>803</v>
      </c>
      <c r="I751" s="113"/>
      <c r="J751" s="113"/>
      <c r="K751" s="113"/>
      <c r="L751" s="113"/>
      <c r="M751" s="113"/>
      <c r="N751" s="113"/>
      <c r="O751" s="113"/>
      <c r="P751" s="113"/>
      <c r="Q751" s="113"/>
      <c r="R751" s="113"/>
      <c r="S751" s="113"/>
      <c r="T751" s="113"/>
      <c r="U751" s="113"/>
      <c r="V751" s="113"/>
      <c r="W751" s="113"/>
      <c r="X751" s="113"/>
      <c r="Y751" s="113"/>
      <c r="Z751" s="113"/>
      <c r="AA751" s="113"/>
      <c r="AB751" s="113"/>
    </row>
    <row r="752" spans="1:28" ht="69.75" customHeight="1" x14ac:dyDescent="0.25">
      <c r="A752" s="744"/>
      <c r="B752" s="153" t="s">
        <v>751</v>
      </c>
      <c r="C752" s="153" t="s">
        <v>743</v>
      </c>
      <c r="D752" s="234">
        <v>20</v>
      </c>
      <c r="E752" s="155">
        <v>12</v>
      </c>
      <c r="F752" s="155">
        <v>6</v>
      </c>
      <c r="G752" s="182">
        <f t="shared" si="15"/>
        <v>0.5</v>
      </c>
      <c r="H752" s="247" t="s">
        <v>813</v>
      </c>
      <c r="I752" s="113"/>
      <c r="J752" s="113"/>
      <c r="K752" s="113"/>
      <c r="L752" s="113"/>
      <c r="M752" s="113"/>
      <c r="N752" s="113"/>
      <c r="O752" s="113"/>
      <c r="P752" s="113"/>
      <c r="Q752" s="113"/>
      <c r="R752" s="113"/>
      <c r="S752" s="113"/>
      <c r="T752" s="113"/>
      <c r="U752" s="113"/>
      <c r="V752" s="113"/>
      <c r="W752" s="113"/>
      <c r="X752" s="113"/>
      <c r="Y752" s="113"/>
      <c r="Z752" s="113"/>
      <c r="AA752" s="113"/>
      <c r="AB752" s="113"/>
    </row>
    <row r="753" spans="1:28" ht="78" customHeight="1" x14ac:dyDescent="0.25">
      <c r="A753" s="791" t="s">
        <v>425</v>
      </c>
      <c r="B753" s="138" t="s">
        <v>742</v>
      </c>
      <c r="C753" s="138" t="s">
        <v>743</v>
      </c>
      <c r="D753" s="224">
        <v>20</v>
      </c>
      <c r="E753" s="181">
        <v>12</v>
      </c>
      <c r="F753" s="181">
        <v>7</v>
      </c>
      <c r="G753" s="182">
        <f t="shared" si="15"/>
        <v>0.58333333333333337</v>
      </c>
      <c r="H753" s="248" t="s">
        <v>808</v>
      </c>
      <c r="I753" s="113"/>
      <c r="J753" s="113"/>
      <c r="K753" s="113"/>
      <c r="L753" s="113"/>
      <c r="M753" s="113"/>
      <c r="N753" s="113"/>
      <c r="O753" s="113"/>
      <c r="P753" s="113"/>
      <c r="Q753" s="113"/>
      <c r="R753" s="113"/>
      <c r="S753" s="113"/>
      <c r="T753" s="113"/>
      <c r="U753" s="113"/>
      <c r="V753" s="113"/>
      <c r="W753" s="113"/>
      <c r="X753" s="113"/>
      <c r="Y753" s="113"/>
      <c r="Z753" s="113"/>
      <c r="AA753" s="113"/>
      <c r="AB753" s="113"/>
    </row>
    <row r="754" spans="1:28" ht="72" customHeight="1" x14ac:dyDescent="0.25">
      <c r="A754" s="740"/>
      <c r="B754" s="145" t="s">
        <v>745</v>
      </c>
      <c r="C754" s="145" t="s">
        <v>743</v>
      </c>
      <c r="D754" s="227">
        <v>20</v>
      </c>
      <c r="E754" s="30">
        <v>12</v>
      </c>
      <c r="F754" s="30">
        <v>7</v>
      </c>
      <c r="G754" s="182">
        <f t="shared" si="15"/>
        <v>0.58333333333333337</v>
      </c>
      <c r="H754" s="246" t="s">
        <v>801</v>
      </c>
      <c r="I754" s="113"/>
      <c r="J754" s="113"/>
      <c r="K754" s="113"/>
      <c r="L754" s="113"/>
      <c r="M754" s="113"/>
      <c r="N754" s="113"/>
      <c r="O754" s="113"/>
      <c r="P754" s="113"/>
      <c r="Q754" s="113"/>
      <c r="R754" s="113"/>
      <c r="S754" s="113"/>
      <c r="T754" s="113"/>
      <c r="U754" s="113"/>
      <c r="V754" s="113"/>
      <c r="W754" s="113"/>
      <c r="X754" s="113"/>
      <c r="Y754" s="113"/>
      <c r="Z754" s="113"/>
      <c r="AA754" s="113"/>
      <c r="AB754" s="113"/>
    </row>
    <row r="755" spans="1:28" ht="54.75" customHeight="1" x14ac:dyDescent="0.25">
      <c r="A755" s="740"/>
      <c r="B755" s="145" t="s">
        <v>747</v>
      </c>
      <c r="C755" s="145" t="s">
        <v>743</v>
      </c>
      <c r="D755" s="227">
        <v>20</v>
      </c>
      <c r="E755" s="30">
        <v>12</v>
      </c>
      <c r="F755" s="30">
        <v>7</v>
      </c>
      <c r="G755" s="182">
        <f t="shared" si="15"/>
        <v>0.58333333333333337</v>
      </c>
      <c r="H755" s="246" t="s">
        <v>802</v>
      </c>
      <c r="I755" s="113"/>
      <c r="J755" s="113"/>
      <c r="K755" s="113"/>
      <c r="L755" s="113"/>
      <c r="M755" s="113"/>
      <c r="N755" s="113"/>
      <c r="O755" s="113"/>
      <c r="P755" s="113"/>
      <c r="Q755" s="113"/>
      <c r="R755" s="113"/>
      <c r="S755" s="113"/>
      <c r="T755" s="113"/>
      <c r="U755" s="113"/>
      <c r="V755" s="113"/>
      <c r="W755" s="113"/>
      <c r="X755" s="113"/>
      <c r="Y755" s="113"/>
      <c r="Z755" s="113"/>
      <c r="AA755" s="113"/>
      <c r="AB755" s="113"/>
    </row>
    <row r="756" spans="1:28" ht="62.25" customHeight="1" x14ac:dyDescent="0.25">
      <c r="A756" s="740"/>
      <c r="B756" s="145" t="s">
        <v>749</v>
      </c>
      <c r="C756" s="145" t="s">
        <v>177</v>
      </c>
      <c r="D756" s="227">
        <v>20</v>
      </c>
      <c r="E756" s="245">
        <v>0.2</v>
      </c>
      <c r="F756" s="147">
        <v>0.1169</v>
      </c>
      <c r="G756" s="182">
        <f t="shared" si="15"/>
        <v>0.58450000000000002</v>
      </c>
      <c r="H756" s="246" t="s">
        <v>803</v>
      </c>
      <c r="I756" s="113"/>
      <c r="J756" s="113"/>
      <c r="K756" s="113"/>
      <c r="L756" s="113"/>
      <c r="M756" s="113"/>
      <c r="N756" s="113"/>
      <c r="O756" s="113"/>
      <c r="P756" s="113"/>
      <c r="Q756" s="113"/>
      <c r="R756" s="113"/>
      <c r="S756" s="113"/>
      <c r="T756" s="113"/>
      <c r="U756" s="113"/>
      <c r="V756" s="113"/>
      <c r="W756" s="113"/>
      <c r="X756" s="113"/>
      <c r="Y756" s="113"/>
      <c r="Z756" s="113"/>
      <c r="AA756" s="113"/>
      <c r="AB756" s="113"/>
    </row>
    <row r="757" spans="1:28" ht="59.25" customHeight="1" x14ac:dyDescent="0.25">
      <c r="A757" s="744"/>
      <c r="B757" s="153" t="s">
        <v>751</v>
      </c>
      <c r="C757" s="153" t="s">
        <v>743</v>
      </c>
      <c r="D757" s="234">
        <v>20</v>
      </c>
      <c r="E757" s="155">
        <v>12</v>
      </c>
      <c r="F757" s="155">
        <v>7</v>
      </c>
      <c r="G757" s="182">
        <f t="shared" si="15"/>
        <v>0.58333333333333337</v>
      </c>
      <c r="H757" s="247" t="s">
        <v>813</v>
      </c>
      <c r="I757" s="113"/>
      <c r="J757" s="113"/>
      <c r="K757" s="113"/>
      <c r="L757" s="113"/>
      <c r="M757" s="113"/>
      <c r="N757" s="113"/>
      <c r="O757" s="113"/>
      <c r="P757" s="113"/>
      <c r="Q757" s="113"/>
      <c r="R757" s="113"/>
      <c r="S757" s="113"/>
      <c r="T757" s="113"/>
      <c r="U757" s="113"/>
      <c r="V757" s="113"/>
      <c r="W757" s="113"/>
      <c r="X757" s="113"/>
      <c r="Y757" s="113"/>
      <c r="Z757" s="113"/>
      <c r="AA757" s="113"/>
      <c r="AB757" s="113"/>
    </row>
    <row r="758" spans="1:28" ht="59.25" customHeight="1" x14ac:dyDescent="0.25">
      <c r="A758" s="791" t="s">
        <v>426</v>
      </c>
      <c r="B758" s="138" t="s">
        <v>742</v>
      </c>
      <c r="C758" s="138" t="s">
        <v>743</v>
      </c>
      <c r="D758" s="224">
        <v>20</v>
      </c>
      <c r="E758" s="181">
        <v>12</v>
      </c>
      <c r="F758" s="181">
        <v>8</v>
      </c>
      <c r="G758" s="182">
        <f t="shared" si="15"/>
        <v>0.66666666666666663</v>
      </c>
      <c r="H758" s="248" t="s">
        <v>808</v>
      </c>
      <c r="I758" s="113"/>
      <c r="J758" s="113"/>
      <c r="K758" s="113"/>
      <c r="L758" s="113"/>
      <c r="M758" s="113"/>
      <c r="N758" s="113"/>
      <c r="O758" s="113"/>
      <c r="P758" s="113"/>
      <c r="Q758" s="113"/>
      <c r="R758" s="113"/>
      <c r="S758" s="113"/>
      <c r="T758" s="113"/>
      <c r="U758" s="113"/>
      <c r="V758" s="113"/>
      <c r="W758" s="113"/>
      <c r="X758" s="113"/>
      <c r="Y758" s="113"/>
      <c r="Z758" s="113"/>
      <c r="AA758" s="113"/>
      <c r="AB758" s="113"/>
    </row>
    <row r="759" spans="1:28" ht="58.5" customHeight="1" x14ac:dyDescent="0.25">
      <c r="A759" s="740"/>
      <c r="B759" s="145" t="s">
        <v>745</v>
      </c>
      <c r="C759" s="145" t="s">
        <v>743</v>
      </c>
      <c r="D759" s="227">
        <v>20</v>
      </c>
      <c r="E759" s="30">
        <v>12</v>
      </c>
      <c r="F759" s="30">
        <v>8</v>
      </c>
      <c r="G759" s="182">
        <f t="shared" si="15"/>
        <v>0.66666666666666663</v>
      </c>
      <c r="H759" s="246" t="s">
        <v>801</v>
      </c>
      <c r="I759" s="113"/>
      <c r="J759" s="113"/>
      <c r="K759" s="113"/>
      <c r="L759" s="113"/>
      <c r="M759" s="113"/>
      <c r="N759" s="113"/>
      <c r="O759" s="113"/>
      <c r="P759" s="113"/>
      <c r="Q759" s="113"/>
      <c r="R759" s="113"/>
      <c r="S759" s="113"/>
      <c r="T759" s="113"/>
      <c r="U759" s="113"/>
      <c r="V759" s="113"/>
      <c r="W759" s="113"/>
      <c r="X759" s="113"/>
      <c r="Y759" s="113"/>
      <c r="Z759" s="113"/>
      <c r="AA759" s="113"/>
      <c r="AB759" s="113"/>
    </row>
    <row r="760" spans="1:28" ht="74.25" customHeight="1" x14ac:dyDescent="0.25">
      <c r="A760" s="740"/>
      <c r="B760" s="145" t="s">
        <v>747</v>
      </c>
      <c r="C760" s="145" t="s">
        <v>743</v>
      </c>
      <c r="D760" s="227">
        <v>20</v>
      </c>
      <c r="E760" s="30">
        <v>12</v>
      </c>
      <c r="F760" s="30">
        <v>8</v>
      </c>
      <c r="G760" s="182">
        <f t="shared" si="15"/>
        <v>0.66666666666666663</v>
      </c>
      <c r="H760" s="246" t="s">
        <v>802</v>
      </c>
      <c r="I760" s="113"/>
      <c r="J760" s="113"/>
      <c r="K760" s="113"/>
      <c r="L760" s="113"/>
      <c r="M760" s="113"/>
      <c r="N760" s="113"/>
      <c r="O760" s="113"/>
      <c r="P760" s="113"/>
      <c r="Q760" s="113"/>
      <c r="R760" s="113"/>
      <c r="S760" s="113"/>
      <c r="T760" s="113"/>
      <c r="U760" s="113"/>
      <c r="V760" s="113"/>
      <c r="W760" s="113"/>
      <c r="X760" s="113"/>
      <c r="Y760" s="113"/>
      <c r="Z760" s="113"/>
      <c r="AA760" s="113"/>
      <c r="AB760" s="113"/>
    </row>
    <row r="761" spans="1:28" ht="59.25" customHeight="1" x14ac:dyDescent="0.25">
      <c r="A761" s="740"/>
      <c r="B761" s="145" t="s">
        <v>749</v>
      </c>
      <c r="C761" s="145" t="s">
        <v>177</v>
      </c>
      <c r="D761" s="227">
        <v>20</v>
      </c>
      <c r="E761" s="245">
        <v>0.2</v>
      </c>
      <c r="F761" s="147">
        <v>0.1336</v>
      </c>
      <c r="G761" s="182">
        <f t="shared" si="15"/>
        <v>0.66799999999999993</v>
      </c>
      <c r="H761" s="246" t="s">
        <v>803</v>
      </c>
      <c r="I761" s="113"/>
      <c r="J761" s="113"/>
      <c r="K761" s="113"/>
      <c r="L761" s="113"/>
      <c r="M761" s="113"/>
      <c r="N761" s="113"/>
      <c r="O761" s="113"/>
      <c r="P761" s="113"/>
      <c r="Q761" s="113"/>
      <c r="R761" s="113"/>
      <c r="S761" s="113"/>
      <c r="T761" s="113"/>
      <c r="U761" s="113"/>
      <c r="V761" s="113"/>
      <c r="W761" s="113"/>
      <c r="X761" s="113"/>
      <c r="Y761" s="113"/>
      <c r="Z761" s="113"/>
      <c r="AA761" s="113"/>
      <c r="AB761" s="113"/>
    </row>
    <row r="762" spans="1:28" ht="83.25" customHeight="1" thickBot="1" x14ac:dyDescent="0.3">
      <c r="A762" s="744"/>
      <c r="B762" s="153" t="s">
        <v>751</v>
      </c>
      <c r="C762" s="153" t="s">
        <v>743</v>
      </c>
      <c r="D762" s="234">
        <v>20</v>
      </c>
      <c r="E762" s="155">
        <v>12</v>
      </c>
      <c r="F762" s="155">
        <v>8</v>
      </c>
      <c r="G762" s="182">
        <f t="shared" si="15"/>
        <v>0.66666666666666663</v>
      </c>
      <c r="H762" s="247" t="s">
        <v>813</v>
      </c>
      <c r="I762" s="113"/>
      <c r="J762" s="113"/>
      <c r="K762" s="113"/>
      <c r="L762" s="113"/>
      <c r="M762" s="113"/>
      <c r="N762" s="113"/>
      <c r="O762" s="113"/>
      <c r="P762" s="113"/>
      <c r="Q762" s="113"/>
      <c r="R762" s="113"/>
      <c r="S762" s="113"/>
      <c r="T762" s="113"/>
      <c r="U762" s="113"/>
      <c r="V762" s="113"/>
      <c r="W762" s="113"/>
      <c r="X762" s="113"/>
      <c r="Y762" s="113"/>
      <c r="Z762" s="113"/>
      <c r="AA762" s="113"/>
      <c r="AB762" s="113"/>
    </row>
    <row r="763" spans="1:28" ht="55.5" customHeight="1" x14ac:dyDescent="0.25">
      <c r="A763" s="791" t="s">
        <v>427</v>
      </c>
      <c r="B763" s="138" t="s">
        <v>742</v>
      </c>
      <c r="C763" s="138" t="s">
        <v>743</v>
      </c>
      <c r="D763" s="224">
        <v>20</v>
      </c>
      <c r="E763" s="181">
        <v>12</v>
      </c>
      <c r="F763" s="181">
        <v>9</v>
      </c>
      <c r="G763" s="182">
        <f t="shared" ref="G763:G772" si="16">F763/E763</f>
        <v>0.75</v>
      </c>
      <c r="H763" s="248" t="s">
        <v>808</v>
      </c>
      <c r="I763" s="113"/>
      <c r="J763" s="113"/>
      <c r="K763" s="113"/>
      <c r="L763" s="113"/>
      <c r="M763" s="113"/>
      <c r="N763" s="113"/>
      <c r="O763" s="113"/>
      <c r="P763" s="113"/>
      <c r="Q763" s="113"/>
      <c r="R763" s="113"/>
      <c r="S763" s="113"/>
      <c r="T763" s="113"/>
      <c r="U763" s="113"/>
      <c r="V763" s="113"/>
      <c r="W763" s="113"/>
      <c r="X763" s="113"/>
      <c r="Y763" s="113"/>
      <c r="Z763" s="113"/>
      <c r="AA763" s="113"/>
      <c r="AB763" s="113"/>
    </row>
    <row r="764" spans="1:28" ht="54.75" customHeight="1" x14ac:dyDescent="0.25">
      <c r="A764" s="740"/>
      <c r="B764" s="145" t="s">
        <v>745</v>
      </c>
      <c r="C764" s="145" t="s">
        <v>743</v>
      </c>
      <c r="D764" s="227">
        <v>20</v>
      </c>
      <c r="E764" s="30">
        <v>12</v>
      </c>
      <c r="F764" s="30">
        <v>9</v>
      </c>
      <c r="G764" s="182">
        <f t="shared" si="16"/>
        <v>0.75</v>
      </c>
      <c r="H764" s="246" t="s">
        <v>801</v>
      </c>
      <c r="I764" s="113"/>
      <c r="J764" s="113"/>
      <c r="K764" s="113"/>
      <c r="L764" s="113"/>
      <c r="M764" s="113"/>
      <c r="N764" s="113"/>
      <c r="O764" s="113"/>
      <c r="P764" s="113"/>
      <c r="Q764" s="113"/>
      <c r="R764" s="113"/>
      <c r="S764" s="113"/>
      <c r="T764" s="113"/>
      <c r="U764" s="113"/>
      <c r="V764" s="113"/>
      <c r="W764" s="113"/>
      <c r="X764" s="113"/>
      <c r="Y764" s="113"/>
      <c r="Z764" s="113"/>
      <c r="AA764" s="113"/>
      <c r="AB764" s="113"/>
    </row>
    <row r="765" spans="1:28" ht="47.25" customHeight="1" x14ac:dyDescent="0.25">
      <c r="A765" s="740"/>
      <c r="B765" s="145" t="s">
        <v>747</v>
      </c>
      <c r="C765" s="145" t="s">
        <v>743</v>
      </c>
      <c r="D765" s="227">
        <v>20</v>
      </c>
      <c r="E765" s="30">
        <v>12</v>
      </c>
      <c r="F765" s="30">
        <v>9</v>
      </c>
      <c r="G765" s="182">
        <f t="shared" si="16"/>
        <v>0.75</v>
      </c>
      <c r="H765" s="246" t="s">
        <v>802</v>
      </c>
      <c r="I765" s="113"/>
      <c r="J765" s="113"/>
      <c r="K765" s="113"/>
      <c r="L765" s="113"/>
      <c r="M765" s="113"/>
      <c r="N765" s="113"/>
      <c r="O765" s="113"/>
      <c r="P765" s="113"/>
      <c r="Q765" s="113"/>
      <c r="R765" s="113"/>
      <c r="S765" s="113"/>
      <c r="T765" s="113"/>
      <c r="U765" s="113"/>
      <c r="V765" s="113"/>
      <c r="W765" s="113"/>
      <c r="X765" s="113"/>
      <c r="Y765" s="113"/>
      <c r="Z765" s="113"/>
      <c r="AA765" s="113"/>
      <c r="AB765" s="113"/>
    </row>
    <row r="766" spans="1:28" ht="73.5" customHeight="1" x14ac:dyDescent="0.25">
      <c r="A766" s="740"/>
      <c r="B766" s="145" t="s">
        <v>749</v>
      </c>
      <c r="C766" s="145" t="s">
        <v>177</v>
      </c>
      <c r="D766" s="227">
        <v>20</v>
      </c>
      <c r="E766" s="245">
        <v>0.2</v>
      </c>
      <c r="F766" s="147">
        <v>0.1502</v>
      </c>
      <c r="G766" s="182">
        <f t="shared" si="16"/>
        <v>0.751</v>
      </c>
      <c r="H766" s="246" t="s">
        <v>803</v>
      </c>
      <c r="I766" s="113"/>
      <c r="J766" s="113"/>
      <c r="K766" s="113"/>
      <c r="L766" s="113"/>
      <c r="M766" s="113"/>
      <c r="N766" s="113"/>
      <c r="O766" s="113"/>
      <c r="P766" s="113"/>
      <c r="Q766" s="113"/>
      <c r="R766" s="113"/>
      <c r="S766" s="113"/>
      <c r="T766" s="113"/>
      <c r="U766" s="113"/>
      <c r="V766" s="113"/>
      <c r="W766" s="113"/>
      <c r="X766" s="113"/>
      <c r="Y766" s="113"/>
      <c r="Z766" s="113"/>
      <c r="AA766" s="113"/>
      <c r="AB766" s="113"/>
    </row>
    <row r="767" spans="1:28" ht="63" customHeight="1" thickBot="1" x14ac:dyDescent="0.3">
      <c r="A767" s="744"/>
      <c r="B767" s="153" t="s">
        <v>751</v>
      </c>
      <c r="C767" s="153" t="s">
        <v>743</v>
      </c>
      <c r="D767" s="234">
        <v>20</v>
      </c>
      <c r="E767" s="155">
        <v>12</v>
      </c>
      <c r="F767" s="155">
        <v>9</v>
      </c>
      <c r="G767" s="182">
        <f t="shared" si="16"/>
        <v>0.75</v>
      </c>
      <c r="H767" s="247" t="s">
        <v>813</v>
      </c>
      <c r="I767" s="113"/>
      <c r="J767" s="113"/>
      <c r="K767" s="113"/>
      <c r="L767" s="113"/>
      <c r="M767" s="113"/>
      <c r="N767" s="113"/>
      <c r="O767" s="113"/>
      <c r="P767" s="113"/>
      <c r="Q767" s="113"/>
      <c r="R767" s="113"/>
      <c r="S767" s="113"/>
      <c r="T767" s="113"/>
      <c r="U767" s="113"/>
      <c r="V767" s="113"/>
      <c r="W767" s="113"/>
      <c r="X767" s="113"/>
      <c r="Y767" s="113"/>
      <c r="Z767" s="113"/>
      <c r="AA767" s="113"/>
      <c r="AB767" s="113"/>
    </row>
    <row r="768" spans="1:28" ht="51.75" customHeight="1" x14ac:dyDescent="0.25">
      <c r="A768" s="791" t="s">
        <v>428</v>
      </c>
      <c r="B768" s="138" t="s">
        <v>742</v>
      </c>
      <c r="C768" s="138" t="s">
        <v>743</v>
      </c>
      <c r="D768" s="224">
        <v>20</v>
      </c>
      <c r="E768" s="181">
        <v>12</v>
      </c>
      <c r="F768" s="181">
        <v>10</v>
      </c>
      <c r="G768" s="182">
        <f t="shared" si="16"/>
        <v>0.83333333333333337</v>
      </c>
      <c r="H768" s="248" t="s">
        <v>808</v>
      </c>
      <c r="I768" s="113"/>
      <c r="J768" s="113"/>
      <c r="K768" s="113"/>
      <c r="L768" s="113"/>
      <c r="M768" s="113"/>
      <c r="N768" s="113"/>
      <c r="O768" s="113"/>
      <c r="P768" s="113"/>
      <c r="Q768" s="113"/>
      <c r="R768" s="113"/>
      <c r="S768" s="113"/>
      <c r="T768" s="113"/>
      <c r="U768" s="113"/>
      <c r="V768" s="113"/>
      <c r="W768" s="113"/>
      <c r="X768" s="113"/>
      <c r="Y768" s="113"/>
      <c r="Z768" s="113"/>
      <c r="AA768" s="113"/>
      <c r="AB768" s="113"/>
    </row>
    <row r="769" spans="1:28" ht="65.25" customHeight="1" x14ac:dyDescent="0.25">
      <c r="A769" s="740"/>
      <c r="B769" s="145" t="s">
        <v>745</v>
      </c>
      <c r="C769" s="145" t="s">
        <v>743</v>
      </c>
      <c r="D769" s="227">
        <v>20</v>
      </c>
      <c r="E769" s="30">
        <v>12</v>
      </c>
      <c r="F769" s="30">
        <v>10</v>
      </c>
      <c r="G769" s="182">
        <f t="shared" si="16"/>
        <v>0.83333333333333337</v>
      </c>
      <c r="H769" s="246" t="s">
        <v>801</v>
      </c>
      <c r="I769" s="113"/>
      <c r="J769" s="113"/>
      <c r="K769" s="113"/>
      <c r="L769" s="113"/>
      <c r="M769" s="113"/>
      <c r="N769" s="113"/>
      <c r="O769" s="113"/>
      <c r="P769" s="113"/>
      <c r="Q769" s="113"/>
      <c r="R769" s="113"/>
      <c r="S769" s="113"/>
      <c r="T769" s="113"/>
      <c r="U769" s="113"/>
      <c r="V769" s="113"/>
      <c r="W769" s="113"/>
      <c r="X769" s="113"/>
      <c r="Y769" s="113"/>
      <c r="Z769" s="113"/>
      <c r="AA769" s="113"/>
      <c r="AB769" s="113"/>
    </row>
    <row r="770" spans="1:28" ht="61.5" customHeight="1" x14ac:dyDescent="0.25">
      <c r="A770" s="740"/>
      <c r="B770" s="145" t="s">
        <v>747</v>
      </c>
      <c r="C770" s="145" t="s">
        <v>743</v>
      </c>
      <c r="D770" s="227">
        <v>20</v>
      </c>
      <c r="E770" s="30">
        <v>12</v>
      </c>
      <c r="F770" s="30">
        <v>10</v>
      </c>
      <c r="G770" s="182">
        <f t="shared" si="16"/>
        <v>0.83333333333333337</v>
      </c>
      <c r="H770" s="246" t="s">
        <v>802</v>
      </c>
      <c r="I770" s="113"/>
      <c r="J770" s="113"/>
      <c r="K770" s="113"/>
      <c r="L770" s="113"/>
      <c r="M770" s="113"/>
      <c r="N770" s="113"/>
      <c r="O770" s="113"/>
      <c r="P770" s="113"/>
      <c r="Q770" s="113"/>
      <c r="R770" s="113"/>
      <c r="S770" s="113"/>
      <c r="T770" s="113"/>
      <c r="U770" s="113"/>
      <c r="V770" s="113"/>
      <c r="W770" s="113"/>
      <c r="X770" s="113"/>
      <c r="Y770" s="113"/>
      <c r="Z770" s="113"/>
      <c r="AA770" s="113"/>
      <c r="AB770" s="113"/>
    </row>
    <row r="771" spans="1:28" ht="54" customHeight="1" x14ac:dyDescent="0.25">
      <c r="A771" s="740"/>
      <c r="B771" s="145" t="s">
        <v>749</v>
      </c>
      <c r="C771" s="145" t="s">
        <v>177</v>
      </c>
      <c r="D771" s="227">
        <v>20</v>
      </c>
      <c r="E771" s="245">
        <v>0.2</v>
      </c>
      <c r="F771" s="147">
        <v>0.1668</v>
      </c>
      <c r="G771" s="182">
        <f t="shared" si="16"/>
        <v>0.83399999999999996</v>
      </c>
      <c r="H771" s="246" t="s">
        <v>803</v>
      </c>
      <c r="I771" s="113"/>
      <c r="J771" s="113"/>
      <c r="K771" s="113"/>
      <c r="L771" s="113"/>
      <c r="M771" s="113"/>
      <c r="N771" s="113"/>
      <c r="O771" s="113"/>
      <c r="P771" s="113"/>
      <c r="Q771" s="113"/>
      <c r="R771" s="113"/>
      <c r="S771" s="113"/>
      <c r="T771" s="113"/>
      <c r="U771" s="113"/>
      <c r="V771" s="113"/>
      <c r="W771" s="113"/>
      <c r="X771" s="113"/>
      <c r="Y771" s="113"/>
      <c r="Z771" s="113"/>
      <c r="AA771" s="113"/>
      <c r="AB771" s="113"/>
    </row>
    <row r="772" spans="1:28" ht="62.25" customHeight="1" thickBot="1" x14ac:dyDescent="0.3">
      <c r="A772" s="744"/>
      <c r="B772" s="153" t="s">
        <v>751</v>
      </c>
      <c r="C772" s="153" t="s">
        <v>743</v>
      </c>
      <c r="D772" s="234">
        <v>20</v>
      </c>
      <c r="E772" s="155">
        <v>12</v>
      </c>
      <c r="F772" s="155">
        <v>10</v>
      </c>
      <c r="G772" s="182">
        <f t="shared" si="16"/>
        <v>0.83333333333333337</v>
      </c>
      <c r="H772" s="247" t="s">
        <v>813</v>
      </c>
      <c r="I772" s="113"/>
      <c r="J772" s="113"/>
      <c r="K772" s="113"/>
      <c r="L772" s="113"/>
      <c r="M772" s="113"/>
      <c r="N772" s="113"/>
      <c r="O772" s="113"/>
      <c r="P772" s="113"/>
      <c r="Q772" s="113"/>
      <c r="R772" s="113"/>
      <c r="S772" s="113"/>
      <c r="T772" s="113"/>
      <c r="U772" s="113"/>
      <c r="V772" s="113"/>
      <c r="W772" s="113"/>
      <c r="X772" s="113"/>
      <c r="Y772" s="113"/>
      <c r="Z772" s="113"/>
      <c r="AA772" s="113"/>
      <c r="AB772" s="113"/>
    </row>
    <row r="773" spans="1:28" ht="75" x14ac:dyDescent="0.25">
      <c r="A773" s="791" t="s">
        <v>429</v>
      </c>
      <c r="B773" s="138" t="s">
        <v>742</v>
      </c>
      <c r="C773" s="138" t="s">
        <v>743</v>
      </c>
      <c r="D773" s="224">
        <v>20</v>
      </c>
      <c r="E773" s="181">
        <v>12</v>
      </c>
      <c r="F773" s="181">
        <v>11</v>
      </c>
      <c r="G773" s="182">
        <f t="shared" ref="G773:G782" si="17">F773/E773</f>
        <v>0.91666666666666663</v>
      </c>
      <c r="H773" s="248" t="s">
        <v>808</v>
      </c>
      <c r="I773" s="113"/>
      <c r="J773" s="113"/>
      <c r="K773" s="113"/>
      <c r="L773" s="113"/>
      <c r="M773" s="113"/>
      <c r="N773" s="113"/>
      <c r="O773" s="113"/>
      <c r="P773" s="113"/>
      <c r="Q773" s="113"/>
      <c r="R773" s="113"/>
      <c r="S773" s="113"/>
      <c r="T773" s="113"/>
      <c r="U773" s="113"/>
      <c r="V773" s="113"/>
      <c r="W773" s="113"/>
      <c r="X773" s="113"/>
      <c r="Y773" s="113"/>
      <c r="Z773" s="113"/>
      <c r="AA773" s="113"/>
      <c r="AB773" s="113"/>
    </row>
    <row r="774" spans="1:28" ht="75" x14ac:dyDescent="0.25">
      <c r="A774" s="740"/>
      <c r="B774" s="145" t="s">
        <v>745</v>
      </c>
      <c r="C774" s="145" t="s">
        <v>743</v>
      </c>
      <c r="D774" s="227">
        <v>20</v>
      </c>
      <c r="E774" s="30">
        <v>12</v>
      </c>
      <c r="F774" s="30">
        <v>11</v>
      </c>
      <c r="G774" s="182">
        <f t="shared" si="17"/>
        <v>0.91666666666666663</v>
      </c>
      <c r="H774" s="246" t="s">
        <v>801</v>
      </c>
      <c r="I774" s="113"/>
      <c r="J774" s="113"/>
      <c r="K774" s="113"/>
      <c r="L774" s="113"/>
      <c r="M774" s="113"/>
      <c r="N774" s="113"/>
      <c r="O774" s="113"/>
      <c r="P774" s="113"/>
      <c r="Q774" s="113"/>
      <c r="R774" s="113"/>
      <c r="S774" s="113"/>
      <c r="T774" s="113"/>
      <c r="U774" s="113"/>
      <c r="V774" s="113"/>
      <c r="W774" s="113"/>
      <c r="X774" s="113"/>
      <c r="Y774" s="113"/>
      <c r="Z774" s="113"/>
      <c r="AA774" s="113"/>
      <c r="AB774" s="113"/>
    </row>
    <row r="775" spans="1:28" ht="75" x14ac:dyDescent="0.25">
      <c r="A775" s="740"/>
      <c r="B775" s="145" t="s">
        <v>747</v>
      </c>
      <c r="C775" s="145" t="s">
        <v>743</v>
      </c>
      <c r="D775" s="227">
        <v>20</v>
      </c>
      <c r="E775" s="30">
        <v>12</v>
      </c>
      <c r="F775" s="30">
        <v>11</v>
      </c>
      <c r="G775" s="182">
        <f t="shared" si="17"/>
        <v>0.91666666666666663</v>
      </c>
      <c r="H775" s="246" t="s">
        <v>802</v>
      </c>
      <c r="I775" s="113"/>
      <c r="J775" s="113"/>
      <c r="K775" s="113"/>
      <c r="L775" s="113"/>
      <c r="M775" s="113"/>
      <c r="N775" s="113"/>
      <c r="O775" s="113"/>
      <c r="P775" s="113"/>
      <c r="Q775" s="113"/>
      <c r="R775" s="113"/>
      <c r="S775" s="113"/>
      <c r="T775" s="113"/>
      <c r="U775" s="113"/>
      <c r="V775" s="113"/>
      <c r="W775" s="113"/>
      <c r="X775" s="113"/>
      <c r="Y775" s="113"/>
      <c r="Z775" s="113"/>
      <c r="AA775" s="113"/>
      <c r="AB775" s="113"/>
    </row>
    <row r="776" spans="1:28" ht="90" x14ac:dyDescent="0.25">
      <c r="A776" s="740"/>
      <c r="B776" s="145" t="s">
        <v>749</v>
      </c>
      <c r="C776" s="145" t="s">
        <v>177</v>
      </c>
      <c r="D776" s="227">
        <v>20</v>
      </c>
      <c r="E776" s="245">
        <v>0.2</v>
      </c>
      <c r="F776" s="147">
        <v>0.18340000000000001</v>
      </c>
      <c r="G776" s="182">
        <f t="shared" si="17"/>
        <v>0.91700000000000004</v>
      </c>
      <c r="H776" s="246" t="s">
        <v>803</v>
      </c>
      <c r="I776" s="113"/>
      <c r="J776" s="113"/>
      <c r="K776" s="113"/>
      <c r="L776" s="113"/>
      <c r="M776" s="113"/>
      <c r="N776" s="113"/>
      <c r="O776" s="113"/>
      <c r="P776" s="113"/>
      <c r="Q776" s="113"/>
      <c r="R776" s="113"/>
      <c r="S776" s="113"/>
      <c r="T776" s="113"/>
      <c r="U776" s="113"/>
      <c r="V776" s="113"/>
      <c r="W776" s="113"/>
      <c r="X776" s="113"/>
      <c r="Y776" s="113"/>
      <c r="Z776" s="113"/>
      <c r="AA776" s="113"/>
      <c r="AB776" s="113"/>
    </row>
    <row r="777" spans="1:28" ht="75.75" thickBot="1" x14ac:dyDescent="0.3">
      <c r="A777" s="744"/>
      <c r="B777" s="153" t="s">
        <v>751</v>
      </c>
      <c r="C777" s="153" t="s">
        <v>743</v>
      </c>
      <c r="D777" s="234">
        <v>20</v>
      </c>
      <c r="E777" s="155">
        <v>12</v>
      </c>
      <c r="F777" s="155">
        <v>11</v>
      </c>
      <c r="G777" s="182">
        <f t="shared" si="17"/>
        <v>0.91666666666666663</v>
      </c>
      <c r="H777" s="247" t="s">
        <v>813</v>
      </c>
      <c r="I777" s="113"/>
      <c r="J777" s="113"/>
      <c r="K777" s="113"/>
      <c r="L777" s="113"/>
      <c r="M777" s="113"/>
      <c r="N777" s="113"/>
      <c r="O777" s="113"/>
      <c r="P777" s="113"/>
      <c r="Q777" s="113"/>
      <c r="R777" s="113"/>
      <c r="S777" s="113"/>
      <c r="T777" s="113"/>
      <c r="U777" s="113"/>
      <c r="V777" s="113"/>
      <c r="W777" s="113"/>
      <c r="X777" s="113"/>
      <c r="Y777" s="113"/>
      <c r="Z777" s="113"/>
      <c r="AA777" s="113"/>
      <c r="AB777" s="113"/>
    </row>
    <row r="778" spans="1:28" ht="75" x14ac:dyDescent="0.25">
      <c r="A778" s="790" t="s">
        <v>430</v>
      </c>
      <c r="B778" s="138" t="s">
        <v>742</v>
      </c>
      <c r="C778" s="138" t="s">
        <v>743</v>
      </c>
      <c r="D778" s="224">
        <v>20</v>
      </c>
      <c r="E778" s="181">
        <v>12</v>
      </c>
      <c r="F778" s="181">
        <v>12</v>
      </c>
      <c r="G778" s="182">
        <f t="shared" si="17"/>
        <v>1</v>
      </c>
      <c r="H778" s="248" t="s">
        <v>808</v>
      </c>
      <c r="I778" s="113"/>
      <c r="J778" s="113"/>
      <c r="K778" s="113"/>
      <c r="L778" s="113"/>
      <c r="M778" s="113"/>
      <c r="N778" s="113"/>
      <c r="O778" s="113"/>
      <c r="P778" s="113"/>
      <c r="Q778" s="113"/>
      <c r="R778" s="113"/>
      <c r="S778" s="113"/>
      <c r="T778" s="113"/>
      <c r="U778" s="113"/>
      <c r="V778" s="113"/>
      <c r="W778" s="113"/>
      <c r="X778" s="113"/>
      <c r="Y778" s="113"/>
      <c r="Z778" s="113"/>
      <c r="AA778" s="113"/>
      <c r="AB778" s="113"/>
    </row>
    <row r="779" spans="1:28" ht="75" x14ac:dyDescent="0.25">
      <c r="A779" s="800"/>
      <c r="B779" s="145" t="s">
        <v>745</v>
      </c>
      <c r="C779" s="145" t="s">
        <v>743</v>
      </c>
      <c r="D779" s="227">
        <v>20</v>
      </c>
      <c r="E779" s="30">
        <v>12</v>
      </c>
      <c r="F779" s="30">
        <v>12</v>
      </c>
      <c r="G779" s="182">
        <f t="shared" si="17"/>
        <v>1</v>
      </c>
      <c r="H779" s="246" t="s">
        <v>801</v>
      </c>
      <c r="I779" s="113"/>
      <c r="J779" s="113"/>
      <c r="K779" s="113"/>
      <c r="L779" s="113"/>
      <c r="M779" s="113"/>
      <c r="N779" s="113"/>
      <c r="O779" s="113"/>
      <c r="P779" s="113"/>
      <c r="Q779" s="113"/>
      <c r="R779" s="113"/>
      <c r="S779" s="113"/>
      <c r="T779" s="113"/>
      <c r="U779" s="113"/>
      <c r="V779" s="113"/>
      <c r="W779" s="113"/>
      <c r="X779" s="113"/>
      <c r="Y779" s="113"/>
      <c r="Z779" s="113"/>
      <c r="AA779" s="113"/>
      <c r="AB779" s="113"/>
    </row>
    <row r="780" spans="1:28" ht="75" x14ac:dyDescent="0.25">
      <c r="A780" s="800"/>
      <c r="B780" s="145" t="s">
        <v>747</v>
      </c>
      <c r="C780" s="145" t="s">
        <v>743</v>
      </c>
      <c r="D780" s="227">
        <v>20</v>
      </c>
      <c r="E780" s="30">
        <v>12</v>
      </c>
      <c r="F780" s="30">
        <v>12</v>
      </c>
      <c r="G780" s="182">
        <f t="shared" si="17"/>
        <v>1</v>
      </c>
      <c r="H780" s="246" t="s">
        <v>802</v>
      </c>
      <c r="I780" s="113"/>
      <c r="J780" s="113"/>
      <c r="K780" s="113"/>
      <c r="L780" s="113"/>
      <c r="M780" s="113"/>
      <c r="N780" s="113"/>
      <c r="O780" s="113"/>
      <c r="P780" s="113"/>
      <c r="Q780" s="113"/>
      <c r="R780" s="113"/>
      <c r="S780" s="113"/>
      <c r="T780" s="113"/>
      <c r="U780" s="113"/>
      <c r="V780" s="113"/>
      <c r="W780" s="113"/>
      <c r="X780" s="113"/>
      <c r="Y780" s="113"/>
      <c r="Z780" s="113"/>
      <c r="AA780" s="113"/>
      <c r="AB780" s="113"/>
    </row>
    <row r="781" spans="1:28" ht="90" x14ac:dyDescent="0.25">
      <c r="A781" s="800"/>
      <c r="B781" s="145" t="s">
        <v>749</v>
      </c>
      <c r="C781" s="145" t="s">
        <v>177</v>
      </c>
      <c r="D781" s="227">
        <v>20</v>
      </c>
      <c r="E781" s="245">
        <v>0.2</v>
      </c>
      <c r="F781" s="147">
        <v>0.2</v>
      </c>
      <c r="G781" s="182">
        <f t="shared" si="17"/>
        <v>1</v>
      </c>
      <c r="H781" s="246" t="s">
        <v>803</v>
      </c>
      <c r="I781" s="113"/>
      <c r="J781" s="113"/>
      <c r="K781" s="113"/>
      <c r="L781" s="113"/>
      <c r="M781" s="113"/>
      <c r="N781" s="113"/>
      <c r="O781" s="113"/>
      <c r="P781" s="113"/>
      <c r="Q781" s="113"/>
      <c r="R781" s="113"/>
      <c r="S781" s="113"/>
      <c r="T781" s="113"/>
      <c r="U781" s="113"/>
      <c r="V781" s="113"/>
      <c r="W781" s="113"/>
      <c r="X781" s="113"/>
      <c r="Y781" s="113"/>
      <c r="Z781" s="113"/>
      <c r="AA781" s="113"/>
      <c r="AB781" s="113"/>
    </row>
    <row r="782" spans="1:28" ht="75.75" thickBot="1" x14ac:dyDescent="0.3">
      <c r="A782" s="808"/>
      <c r="B782" s="153" t="s">
        <v>751</v>
      </c>
      <c r="C782" s="153" t="s">
        <v>743</v>
      </c>
      <c r="D782" s="234">
        <v>20</v>
      </c>
      <c r="E782" s="155">
        <v>12</v>
      </c>
      <c r="F782" s="155">
        <v>12</v>
      </c>
      <c r="G782" s="182">
        <f t="shared" si="17"/>
        <v>1</v>
      </c>
      <c r="H782" s="247" t="s">
        <v>813</v>
      </c>
      <c r="I782" s="113"/>
      <c r="J782" s="113"/>
      <c r="K782" s="113"/>
      <c r="L782" s="113"/>
      <c r="M782" s="113"/>
      <c r="N782" s="113"/>
      <c r="O782" s="113"/>
      <c r="P782" s="113"/>
      <c r="Q782" s="113"/>
      <c r="R782" s="113"/>
      <c r="S782" s="113"/>
      <c r="T782" s="113"/>
      <c r="U782" s="113"/>
      <c r="V782" s="113"/>
      <c r="W782" s="113"/>
      <c r="X782" s="113"/>
      <c r="Y782" s="113"/>
      <c r="Z782" s="113"/>
      <c r="AA782" s="113"/>
      <c r="AB782" s="113"/>
    </row>
    <row r="783" spans="1:28" ht="15.75" customHeight="1" thickBot="1" x14ac:dyDescent="0.3">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c r="AA783" s="113"/>
      <c r="AB783" s="113"/>
    </row>
    <row r="784" spans="1:28" ht="15.75" customHeight="1" x14ac:dyDescent="0.3">
      <c r="A784" s="789" t="s">
        <v>818</v>
      </c>
      <c r="B784" s="592"/>
      <c r="C784" s="592"/>
      <c r="D784" s="592"/>
      <c r="E784" s="592"/>
      <c r="F784" s="592"/>
      <c r="G784" s="592"/>
      <c r="H784" s="689"/>
      <c r="I784" s="113"/>
      <c r="J784" s="113"/>
      <c r="K784" s="113"/>
      <c r="L784" s="113"/>
      <c r="M784" s="113"/>
      <c r="N784" s="113"/>
      <c r="O784" s="113"/>
      <c r="P784" s="113"/>
      <c r="Q784" s="113"/>
      <c r="R784" s="113"/>
      <c r="S784" s="113"/>
      <c r="T784" s="113"/>
      <c r="U784" s="113"/>
      <c r="V784" s="113"/>
      <c r="W784" s="113"/>
      <c r="X784" s="113"/>
      <c r="Y784" s="113"/>
      <c r="Z784" s="113"/>
      <c r="AA784" s="113"/>
      <c r="AB784" s="113"/>
    </row>
    <row r="785" spans="1:28" ht="63.75" customHeight="1" thickBot="1" x14ac:dyDescent="0.3">
      <c r="A785" s="114" t="s">
        <v>29</v>
      </c>
      <c r="B785" s="115" t="s">
        <v>738</v>
      </c>
      <c r="C785" s="238" t="s">
        <v>446</v>
      </c>
      <c r="D785" s="238" t="s">
        <v>670</v>
      </c>
      <c r="E785" s="238" t="s">
        <v>819</v>
      </c>
      <c r="F785" s="238" t="s">
        <v>820</v>
      </c>
      <c r="G785" s="238" t="s">
        <v>821</v>
      </c>
      <c r="H785" s="116" t="s">
        <v>678</v>
      </c>
      <c r="I785" s="113"/>
      <c r="J785" s="113"/>
      <c r="K785" s="113"/>
      <c r="L785" s="113"/>
      <c r="M785" s="113"/>
      <c r="N785" s="113"/>
      <c r="O785" s="113"/>
      <c r="P785" s="113"/>
      <c r="Q785" s="113"/>
      <c r="R785" s="113"/>
      <c r="S785" s="113"/>
      <c r="T785" s="113"/>
      <c r="U785" s="113"/>
      <c r="V785" s="113"/>
      <c r="W785" s="113"/>
      <c r="X785" s="113"/>
      <c r="Y785" s="113"/>
      <c r="Z785" s="113"/>
      <c r="AA785" s="113"/>
      <c r="AB785" s="113"/>
    </row>
    <row r="786" spans="1:28" ht="75" x14ac:dyDescent="0.25">
      <c r="A786" s="790" t="s">
        <v>432</v>
      </c>
      <c r="B786" s="138" t="s">
        <v>742</v>
      </c>
      <c r="C786" s="138" t="s">
        <v>743</v>
      </c>
      <c r="D786" s="224">
        <v>20</v>
      </c>
      <c r="E786" s="181">
        <v>6</v>
      </c>
      <c r="F786" s="181">
        <v>1</v>
      </c>
      <c r="G786" s="182">
        <f t="shared" ref="G786:G810" si="18">F786/E786</f>
        <v>0.16666666666666666</v>
      </c>
      <c r="H786" s="248" t="s">
        <v>808</v>
      </c>
      <c r="I786" s="113"/>
      <c r="J786" s="113"/>
      <c r="K786" s="113"/>
      <c r="L786" s="113"/>
      <c r="M786" s="113"/>
      <c r="N786" s="113"/>
      <c r="O786" s="113"/>
      <c r="P786" s="113"/>
      <c r="Q786" s="113"/>
      <c r="R786" s="113"/>
      <c r="S786" s="113"/>
      <c r="T786" s="113"/>
      <c r="U786" s="113"/>
      <c r="V786" s="113"/>
      <c r="W786" s="113"/>
      <c r="X786" s="113"/>
      <c r="Y786" s="113"/>
      <c r="Z786" s="113"/>
      <c r="AA786" s="113"/>
      <c r="AB786" s="113"/>
    </row>
    <row r="787" spans="1:28" ht="75" x14ac:dyDescent="0.25">
      <c r="A787" s="800"/>
      <c r="B787" s="145" t="s">
        <v>745</v>
      </c>
      <c r="C787" s="145" t="s">
        <v>743</v>
      </c>
      <c r="D787" s="227">
        <v>20</v>
      </c>
      <c r="E787" s="30">
        <v>6</v>
      </c>
      <c r="F787" s="30">
        <v>1</v>
      </c>
      <c r="G787" s="182">
        <f t="shared" si="18"/>
        <v>0.16666666666666666</v>
      </c>
      <c r="H787" s="246" t="s">
        <v>801</v>
      </c>
      <c r="I787" s="113"/>
      <c r="J787" s="113"/>
      <c r="K787" s="113"/>
      <c r="L787" s="113"/>
      <c r="M787" s="113"/>
      <c r="N787" s="113"/>
      <c r="O787" s="113"/>
      <c r="P787" s="113"/>
      <c r="Q787" s="113"/>
      <c r="R787" s="113"/>
      <c r="S787" s="113"/>
      <c r="T787" s="113"/>
      <c r="U787" s="113"/>
      <c r="V787" s="113"/>
      <c r="W787" s="113"/>
      <c r="X787" s="113"/>
      <c r="Y787" s="113"/>
      <c r="Z787" s="113"/>
      <c r="AA787" s="113"/>
      <c r="AB787" s="113"/>
    </row>
    <row r="788" spans="1:28" ht="75" x14ac:dyDescent="0.25">
      <c r="A788" s="800"/>
      <c r="B788" s="145" t="s">
        <v>747</v>
      </c>
      <c r="C788" s="145" t="s">
        <v>743</v>
      </c>
      <c r="D788" s="227">
        <v>20</v>
      </c>
      <c r="E788" s="30">
        <v>6</v>
      </c>
      <c r="F788" s="30">
        <v>1</v>
      </c>
      <c r="G788" s="182">
        <f t="shared" si="18"/>
        <v>0.16666666666666666</v>
      </c>
      <c r="H788" s="246" t="s">
        <v>802</v>
      </c>
      <c r="I788" s="113"/>
      <c r="J788" s="113"/>
      <c r="K788" s="113"/>
      <c r="L788" s="113"/>
      <c r="M788" s="113"/>
      <c r="N788" s="113"/>
      <c r="O788" s="113"/>
      <c r="P788" s="113"/>
      <c r="Q788" s="113"/>
      <c r="R788" s="113"/>
      <c r="S788" s="113"/>
      <c r="T788" s="113"/>
      <c r="U788" s="113"/>
      <c r="V788" s="113"/>
      <c r="W788" s="113"/>
      <c r="X788" s="113"/>
      <c r="Y788" s="113"/>
      <c r="Z788" s="113"/>
      <c r="AA788" s="113"/>
      <c r="AB788" s="113"/>
    </row>
    <row r="789" spans="1:28" ht="90" x14ac:dyDescent="0.25">
      <c r="A789" s="800"/>
      <c r="B789" s="145" t="s">
        <v>749</v>
      </c>
      <c r="C789" s="145" t="s">
        <v>177</v>
      </c>
      <c r="D789" s="227">
        <v>20</v>
      </c>
      <c r="E789" s="245">
        <v>0.1</v>
      </c>
      <c r="F789" s="147">
        <v>0.02</v>
      </c>
      <c r="G789" s="182">
        <f t="shared" si="18"/>
        <v>0.19999999999999998</v>
      </c>
      <c r="H789" s="246" t="s">
        <v>803</v>
      </c>
      <c r="I789" s="113"/>
      <c r="J789" s="113"/>
      <c r="K789" s="113"/>
      <c r="L789" s="113"/>
      <c r="M789" s="113"/>
      <c r="N789" s="113"/>
      <c r="O789" s="113"/>
      <c r="P789" s="113"/>
      <c r="Q789" s="113"/>
      <c r="R789" s="113"/>
      <c r="S789" s="113"/>
      <c r="T789" s="113"/>
      <c r="U789" s="113"/>
      <c r="V789" s="113"/>
      <c r="W789" s="113"/>
      <c r="X789" s="113"/>
      <c r="Y789" s="113"/>
      <c r="Z789" s="113"/>
      <c r="AA789" s="113"/>
      <c r="AB789" s="113"/>
    </row>
    <row r="790" spans="1:28" ht="88.5" customHeight="1" thickBot="1" x14ac:dyDescent="0.3">
      <c r="A790" s="808"/>
      <c r="B790" s="153" t="s">
        <v>751</v>
      </c>
      <c r="C790" s="153" t="s">
        <v>743</v>
      </c>
      <c r="D790" s="234">
        <v>20</v>
      </c>
      <c r="E790" s="155">
        <v>6</v>
      </c>
      <c r="F790" s="155">
        <v>1</v>
      </c>
      <c r="G790" s="182">
        <f t="shared" si="18"/>
        <v>0.16666666666666666</v>
      </c>
      <c r="H790" s="247" t="s">
        <v>813</v>
      </c>
      <c r="I790" s="113"/>
      <c r="J790" s="113"/>
      <c r="K790" s="113"/>
      <c r="L790" s="113"/>
      <c r="M790" s="113"/>
      <c r="N790" s="113"/>
      <c r="O790" s="113"/>
      <c r="P790" s="113"/>
      <c r="Q790" s="113"/>
      <c r="R790" s="113"/>
      <c r="S790" s="113"/>
      <c r="T790" s="113"/>
      <c r="U790" s="113"/>
      <c r="V790" s="113"/>
      <c r="W790" s="113"/>
      <c r="X790" s="113"/>
      <c r="Y790" s="113"/>
      <c r="Z790" s="113"/>
      <c r="AA790" s="113"/>
      <c r="AB790" s="113"/>
    </row>
    <row r="791" spans="1:28" ht="75" x14ac:dyDescent="0.25">
      <c r="A791" s="790" t="s">
        <v>434</v>
      </c>
      <c r="B791" s="138" t="s">
        <v>742</v>
      </c>
      <c r="C791" s="138" t="s">
        <v>743</v>
      </c>
      <c r="D791" s="224">
        <v>20</v>
      </c>
      <c r="E791" s="181">
        <v>6</v>
      </c>
      <c r="F791" s="181">
        <v>2</v>
      </c>
      <c r="G791" s="182">
        <f t="shared" si="18"/>
        <v>0.33333333333333331</v>
      </c>
      <c r="H791" s="248" t="s">
        <v>808</v>
      </c>
      <c r="I791" s="113"/>
      <c r="J791" s="113"/>
      <c r="K791" s="113"/>
      <c r="L791" s="113"/>
      <c r="M791" s="113"/>
      <c r="N791" s="113"/>
      <c r="O791" s="113"/>
      <c r="P791" s="113"/>
      <c r="Q791" s="113"/>
      <c r="R791" s="113"/>
      <c r="S791" s="113"/>
      <c r="T791" s="113"/>
      <c r="U791" s="113"/>
      <c r="V791" s="113"/>
      <c r="W791" s="113"/>
      <c r="X791" s="113"/>
      <c r="Y791" s="113"/>
      <c r="Z791" s="113"/>
      <c r="AA791" s="113"/>
      <c r="AB791" s="113"/>
    </row>
    <row r="792" spans="1:28" ht="75" x14ac:dyDescent="0.25">
      <c r="A792" s="800"/>
      <c r="B792" s="145" t="s">
        <v>745</v>
      </c>
      <c r="C792" s="145" t="s">
        <v>743</v>
      </c>
      <c r="D792" s="227">
        <v>20</v>
      </c>
      <c r="E792" s="30">
        <v>6</v>
      </c>
      <c r="F792" s="30">
        <v>2</v>
      </c>
      <c r="G792" s="182">
        <f t="shared" si="18"/>
        <v>0.33333333333333331</v>
      </c>
      <c r="H792" s="246" t="s">
        <v>801</v>
      </c>
      <c r="I792" s="113"/>
      <c r="J792" s="113"/>
      <c r="K792" s="113"/>
      <c r="L792" s="113"/>
      <c r="M792" s="113"/>
      <c r="N792" s="113"/>
      <c r="O792" s="113"/>
      <c r="P792" s="113"/>
      <c r="Q792" s="113"/>
      <c r="R792" s="113"/>
      <c r="S792" s="113"/>
      <c r="T792" s="113"/>
      <c r="U792" s="113"/>
      <c r="V792" s="113"/>
      <c r="W792" s="113"/>
      <c r="X792" s="113"/>
      <c r="Y792" s="113"/>
      <c r="Z792" s="113"/>
      <c r="AA792" s="113"/>
      <c r="AB792" s="113"/>
    </row>
    <row r="793" spans="1:28" ht="75" x14ac:dyDescent="0.25">
      <c r="A793" s="800"/>
      <c r="B793" s="145" t="s">
        <v>747</v>
      </c>
      <c r="C793" s="145" t="s">
        <v>743</v>
      </c>
      <c r="D793" s="227">
        <v>20</v>
      </c>
      <c r="E793" s="30">
        <v>6</v>
      </c>
      <c r="F793" s="30">
        <v>2</v>
      </c>
      <c r="G793" s="182">
        <f t="shared" si="18"/>
        <v>0.33333333333333331</v>
      </c>
      <c r="H793" s="246" t="s">
        <v>802</v>
      </c>
      <c r="I793" s="113"/>
      <c r="J793" s="113"/>
      <c r="K793" s="113"/>
      <c r="L793" s="113"/>
      <c r="M793" s="113"/>
      <c r="N793" s="113"/>
      <c r="O793" s="113"/>
      <c r="P793" s="113"/>
      <c r="Q793" s="113"/>
      <c r="R793" s="113"/>
      <c r="S793" s="113"/>
      <c r="T793" s="113"/>
      <c r="U793" s="113"/>
      <c r="V793" s="113"/>
      <c r="W793" s="113"/>
      <c r="X793" s="113"/>
      <c r="Y793" s="113"/>
      <c r="Z793" s="113"/>
      <c r="AA793" s="113"/>
      <c r="AB793" s="113"/>
    </row>
    <row r="794" spans="1:28" ht="90" x14ac:dyDescent="0.25">
      <c r="A794" s="800"/>
      <c r="B794" s="145" t="s">
        <v>749</v>
      </c>
      <c r="C794" s="145" t="s">
        <v>177</v>
      </c>
      <c r="D794" s="227">
        <v>20</v>
      </c>
      <c r="E794" s="245">
        <v>0.1</v>
      </c>
      <c r="F794" s="147">
        <v>0.04</v>
      </c>
      <c r="G794" s="182">
        <f t="shared" si="18"/>
        <v>0.39999999999999997</v>
      </c>
      <c r="H794" s="246" t="s">
        <v>803</v>
      </c>
      <c r="I794" s="113"/>
      <c r="J794" s="113"/>
      <c r="K794" s="113"/>
      <c r="L794" s="113"/>
      <c r="M794" s="113"/>
      <c r="N794" s="113"/>
      <c r="O794" s="113"/>
      <c r="P794" s="113"/>
      <c r="Q794" s="113"/>
      <c r="R794" s="113"/>
      <c r="S794" s="113"/>
      <c r="T794" s="113"/>
      <c r="U794" s="113"/>
      <c r="V794" s="113"/>
      <c r="W794" s="113"/>
      <c r="X794" s="113"/>
      <c r="Y794" s="113"/>
      <c r="Z794" s="113"/>
      <c r="AA794" s="113"/>
      <c r="AB794" s="113"/>
    </row>
    <row r="795" spans="1:28" ht="75.75" thickBot="1" x14ac:dyDescent="0.3">
      <c r="A795" s="808"/>
      <c r="B795" s="153" t="s">
        <v>751</v>
      </c>
      <c r="C795" s="153" t="s">
        <v>743</v>
      </c>
      <c r="D795" s="234">
        <v>20</v>
      </c>
      <c r="E795" s="155">
        <v>6</v>
      </c>
      <c r="F795" s="155">
        <v>2</v>
      </c>
      <c r="G795" s="182">
        <f t="shared" si="18"/>
        <v>0.33333333333333331</v>
      </c>
      <c r="H795" s="247" t="s">
        <v>813</v>
      </c>
      <c r="I795" s="113"/>
      <c r="J795" s="113"/>
      <c r="K795" s="113"/>
      <c r="L795" s="113"/>
      <c r="M795" s="113"/>
      <c r="N795" s="113"/>
      <c r="O795" s="113"/>
      <c r="P795" s="113"/>
      <c r="Q795" s="113"/>
      <c r="R795" s="113"/>
      <c r="S795" s="113"/>
      <c r="T795" s="113"/>
      <c r="U795" s="113"/>
      <c r="V795" s="113"/>
      <c r="W795" s="113"/>
      <c r="X795" s="113"/>
      <c r="Y795" s="113"/>
      <c r="Z795" s="113"/>
      <c r="AA795" s="113"/>
      <c r="AB795" s="113"/>
    </row>
    <row r="796" spans="1:28" ht="75" x14ac:dyDescent="0.25">
      <c r="A796" s="809" t="s">
        <v>435</v>
      </c>
      <c r="B796" s="289" t="s">
        <v>742</v>
      </c>
      <c r="C796" s="289" t="s">
        <v>743</v>
      </c>
      <c r="D796" s="290">
        <v>20</v>
      </c>
      <c r="E796" s="291">
        <v>6</v>
      </c>
      <c r="F796" s="291">
        <v>3</v>
      </c>
      <c r="G796" s="292">
        <f t="shared" si="18"/>
        <v>0.5</v>
      </c>
      <c r="H796" s="293" t="s">
        <v>808</v>
      </c>
      <c r="I796" s="113"/>
      <c r="J796" s="113"/>
      <c r="K796" s="113"/>
      <c r="L796" s="113"/>
      <c r="M796" s="113"/>
      <c r="N796" s="113"/>
      <c r="O796" s="113"/>
      <c r="P796" s="113"/>
      <c r="Q796" s="113"/>
      <c r="R796" s="113"/>
      <c r="S796" s="113"/>
      <c r="T796" s="113"/>
      <c r="U796" s="113"/>
      <c r="V796" s="113"/>
      <c r="W796" s="113"/>
      <c r="X796" s="113"/>
      <c r="Y796" s="113"/>
      <c r="Z796" s="113"/>
      <c r="AA796" s="113"/>
      <c r="AB796" s="113"/>
    </row>
    <row r="797" spans="1:28" ht="75" x14ac:dyDescent="0.25">
      <c r="A797" s="810"/>
      <c r="B797" s="294" t="s">
        <v>745</v>
      </c>
      <c r="C797" s="294" t="s">
        <v>743</v>
      </c>
      <c r="D797" s="295">
        <v>20</v>
      </c>
      <c r="E797" s="296">
        <v>6</v>
      </c>
      <c r="F797" s="296">
        <v>3</v>
      </c>
      <c r="G797" s="292">
        <f t="shared" si="18"/>
        <v>0.5</v>
      </c>
      <c r="H797" s="297" t="s">
        <v>801</v>
      </c>
      <c r="I797" s="113"/>
      <c r="J797" s="113"/>
      <c r="K797" s="113"/>
      <c r="L797" s="113"/>
      <c r="M797" s="113"/>
      <c r="N797" s="113"/>
      <c r="O797" s="113"/>
      <c r="P797" s="113"/>
      <c r="Q797" s="113"/>
      <c r="R797" s="113"/>
      <c r="S797" s="113"/>
      <c r="T797" s="113"/>
      <c r="U797" s="113"/>
      <c r="V797" s="113"/>
      <c r="W797" s="113"/>
      <c r="X797" s="113"/>
      <c r="Y797" s="113"/>
      <c r="Z797" s="113"/>
      <c r="AA797" s="113"/>
      <c r="AB797" s="113"/>
    </row>
    <row r="798" spans="1:28" ht="75" x14ac:dyDescent="0.25">
      <c r="A798" s="810"/>
      <c r="B798" s="294" t="s">
        <v>747</v>
      </c>
      <c r="C798" s="294" t="s">
        <v>743</v>
      </c>
      <c r="D798" s="295">
        <v>20</v>
      </c>
      <c r="E798" s="296">
        <v>6</v>
      </c>
      <c r="F798" s="296">
        <v>3</v>
      </c>
      <c r="G798" s="292">
        <f t="shared" si="18"/>
        <v>0.5</v>
      </c>
      <c r="H798" s="297" t="s">
        <v>802</v>
      </c>
      <c r="I798" s="113"/>
      <c r="J798" s="113"/>
      <c r="K798" s="113"/>
      <c r="L798" s="113"/>
      <c r="M798" s="113"/>
      <c r="N798" s="113"/>
      <c r="O798" s="113"/>
      <c r="P798" s="113"/>
      <c r="Q798" s="113"/>
      <c r="R798" s="113"/>
      <c r="S798" s="113"/>
      <c r="T798" s="113"/>
      <c r="U798" s="113"/>
      <c r="V798" s="113"/>
      <c r="W798" s="113"/>
      <c r="X798" s="113"/>
      <c r="Y798" s="113"/>
      <c r="Z798" s="113"/>
      <c r="AA798" s="113"/>
      <c r="AB798" s="113"/>
    </row>
    <row r="799" spans="1:28" ht="90" x14ac:dyDescent="0.25">
      <c r="A799" s="810"/>
      <c r="B799" s="294" t="s">
        <v>749</v>
      </c>
      <c r="C799" s="294" t="s">
        <v>177</v>
      </c>
      <c r="D799" s="295">
        <v>20</v>
      </c>
      <c r="E799" s="298">
        <v>0.1</v>
      </c>
      <c r="F799" s="299">
        <v>0.06</v>
      </c>
      <c r="G799" s="292">
        <f t="shared" si="18"/>
        <v>0.6</v>
      </c>
      <c r="H799" s="297" t="s">
        <v>803</v>
      </c>
      <c r="I799" s="113"/>
      <c r="J799" s="113"/>
      <c r="K799" s="113"/>
      <c r="L799" s="113"/>
      <c r="M799" s="113"/>
      <c r="N799" s="113"/>
      <c r="O799" s="113"/>
      <c r="P799" s="113"/>
      <c r="Q799" s="113"/>
      <c r="R799" s="113"/>
      <c r="S799" s="113"/>
      <c r="T799" s="113"/>
      <c r="U799" s="113"/>
      <c r="V799" s="113"/>
      <c r="W799" s="113"/>
      <c r="X799" s="113"/>
      <c r="Y799" s="113"/>
      <c r="Z799" s="113"/>
      <c r="AA799" s="113"/>
      <c r="AB799" s="113"/>
    </row>
    <row r="800" spans="1:28" ht="75.75" thickBot="1" x14ac:dyDescent="0.3">
      <c r="A800" s="811"/>
      <c r="B800" s="300" t="s">
        <v>751</v>
      </c>
      <c r="C800" s="300" t="s">
        <v>743</v>
      </c>
      <c r="D800" s="301">
        <v>20</v>
      </c>
      <c r="E800" s="302">
        <v>6</v>
      </c>
      <c r="F800" s="302">
        <v>3</v>
      </c>
      <c r="G800" s="292">
        <f t="shared" si="18"/>
        <v>0.5</v>
      </c>
      <c r="H800" s="303" t="s">
        <v>813</v>
      </c>
      <c r="I800" s="113"/>
      <c r="J800" s="113"/>
      <c r="K800" s="113"/>
      <c r="L800" s="113"/>
      <c r="M800" s="113"/>
      <c r="N800" s="113"/>
      <c r="O800" s="113"/>
      <c r="P800" s="113"/>
      <c r="Q800" s="113"/>
      <c r="R800" s="113"/>
      <c r="S800" s="113"/>
      <c r="T800" s="113"/>
      <c r="U800" s="113"/>
      <c r="V800" s="113"/>
      <c r="W800" s="113"/>
      <c r="X800" s="113"/>
      <c r="Y800" s="113"/>
      <c r="Z800" s="113"/>
      <c r="AA800" s="113"/>
      <c r="AB800" s="113"/>
    </row>
    <row r="801" spans="1:28" ht="75" x14ac:dyDescent="0.25">
      <c r="A801" s="790" t="s">
        <v>436</v>
      </c>
      <c r="B801" s="138" t="s">
        <v>742</v>
      </c>
      <c r="C801" s="138" t="s">
        <v>743</v>
      </c>
      <c r="D801" s="224">
        <v>20</v>
      </c>
      <c r="E801" s="181">
        <v>6</v>
      </c>
      <c r="F801" s="181">
        <v>4</v>
      </c>
      <c r="G801" s="182">
        <f t="shared" si="18"/>
        <v>0.66666666666666663</v>
      </c>
      <c r="H801" s="248" t="s">
        <v>808</v>
      </c>
      <c r="I801" s="113"/>
      <c r="J801" s="113"/>
      <c r="K801" s="113"/>
      <c r="L801" s="113"/>
      <c r="M801" s="113"/>
      <c r="N801" s="113"/>
      <c r="O801" s="113"/>
      <c r="P801" s="113"/>
      <c r="Q801" s="113"/>
      <c r="R801" s="113"/>
      <c r="S801" s="113"/>
      <c r="T801" s="113"/>
      <c r="U801" s="113"/>
      <c r="V801" s="113"/>
      <c r="W801" s="113"/>
      <c r="X801" s="113"/>
      <c r="Y801" s="113"/>
      <c r="Z801" s="113"/>
      <c r="AA801" s="113"/>
      <c r="AB801" s="113"/>
    </row>
    <row r="802" spans="1:28" ht="75" x14ac:dyDescent="0.25">
      <c r="A802" s="800"/>
      <c r="B802" s="145" t="s">
        <v>745</v>
      </c>
      <c r="C802" s="145" t="s">
        <v>743</v>
      </c>
      <c r="D802" s="227">
        <v>20</v>
      </c>
      <c r="E802" s="30">
        <v>6</v>
      </c>
      <c r="F802" s="30">
        <v>4</v>
      </c>
      <c r="G802" s="182">
        <f t="shared" si="18"/>
        <v>0.66666666666666663</v>
      </c>
      <c r="H802" s="246" t="s">
        <v>801</v>
      </c>
      <c r="I802" s="113"/>
      <c r="J802" s="113"/>
      <c r="K802" s="113"/>
      <c r="L802" s="113"/>
      <c r="M802" s="113"/>
      <c r="N802" s="113"/>
      <c r="O802" s="113"/>
      <c r="P802" s="113"/>
      <c r="Q802" s="113"/>
      <c r="R802" s="113"/>
      <c r="S802" s="113"/>
      <c r="T802" s="113"/>
      <c r="U802" s="113"/>
      <c r="V802" s="113"/>
      <c r="W802" s="113"/>
      <c r="X802" s="113"/>
      <c r="Y802" s="113"/>
      <c r="Z802" s="113"/>
      <c r="AA802" s="113"/>
      <c r="AB802" s="113"/>
    </row>
    <row r="803" spans="1:28" ht="75" x14ac:dyDescent="0.25">
      <c r="A803" s="800"/>
      <c r="B803" s="145" t="s">
        <v>747</v>
      </c>
      <c r="C803" s="145" t="s">
        <v>743</v>
      </c>
      <c r="D803" s="227">
        <v>20</v>
      </c>
      <c r="E803" s="30">
        <v>6</v>
      </c>
      <c r="F803" s="30">
        <v>4</v>
      </c>
      <c r="G803" s="182">
        <f t="shared" si="18"/>
        <v>0.66666666666666663</v>
      </c>
      <c r="H803" s="246" t="s">
        <v>802</v>
      </c>
      <c r="I803" s="113"/>
      <c r="J803" s="113"/>
      <c r="K803" s="113"/>
      <c r="L803" s="113"/>
      <c r="M803" s="113"/>
      <c r="N803" s="113"/>
      <c r="O803" s="113"/>
      <c r="P803" s="113"/>
      <c r="Q803" s="113"/>
      <c r="R803" s="113"/>
      <c r="S803" s="113"/>
      <c r="T803" s="113"/>
      <c r="U803" s="113"/>
      <c r="V803" s="113"/>
      <c r="W803" s="113"/>
      <c r="X803" s="113"/>
      <c r="Y803" s="113"/>
      <c r="Z803" s="113"/>
      <c r="AA803" s="113"/>
      <c r="AB803" s="113"/>
    </row>
    <row r="804" spans="1:28" ht="90" x14ac:dyDescent="0.25">
      <c r="A804" s="800"/>
      <c r="B804" s="145" t="s">
        <v>749</v>
      </c>
      <c r="C804" s="145" t="s">
        <v>177</v>
      </c>
      <c r="D804" s="227">
        <v>20</v>
      </c>
      <c r="E804" s="245">
        <v>0.1</v>
      </c>
      <c r="F804" s="147">
        <v>0.08</v>
      </c>
      <c r="G804" s="182">
        <f t="shared" si="18"/>
        <v>0.79999999999999993</v>
      </c>
      <c r="H804" s="246" t="s">
        <v>803</v>
      </c>
      <c r="I804" s="113"/>
      <c r="J804" s="113"/>
      <c r="K804" s="113"/>
      <c r="L804" s="113"/>
      <c r="M804" s="113"/>
      <c r="N804" s="113"/>
      <c r="O804" s="113"/>
      <c r="P804" s="113"/>
      <c r="Q804" s="113"/>
      <c r="R804" s="113"/>
      <c r="S804" s="113"/>
      <c r="T804" s="113"/>
      <c r="U804" s="113"/>
      <c r="V804" s="113"/>
      <c r="W804" s="113"/>
      <c r="X804" s="113"/>
      <c r="Y804" s="113"/>
      <c r="Z804" s="113"/>
      <c r="AA804" s="113"/>
      <c r="AB804" s="113"/>
    </row>
    <row r="805" spans="1:28" ht="75.75" thickBot="1" x14ac:dyDescent="0.3">
      <c r="A805" s="801"/>
      <c r="B805" s="153" t="s">
        <v>751</v>
      </c>
      <c r="C805" s="153" t="s">
        <v>743</v>
      </c>
      <c r="D805" s="234">
        <v>20</v>
      </c>
      <c r="E805" s="155">
        <v>6</v>
      </c>
      <c r="F805" s="155">
        <v>4</v>
      </c>
      <c r="G805" s="182">
        <f t="shared" si="18"/>
        <v>0.66666666666666663</v>
      </c>
      <c r="H805" s="247" t="s">
        <v>813</v>
      </c>
      <c r="I805" s="113"/>
      <c r="J805" s="113"/>
      <c r="K805" s="113"/>
      <c r="L805" s="113"/>
      <c r="M805" s="113"/>
      <c r="N805" s="113"/>
      <c r="O805" s="113"/>
      <c r="P805" s="113"/>
      <c r="Q805" s="113"/>
      <c r="R805" s="113"/>
      <c r="S805" s="113"/>
      <c r="T805" s="113"/>
      <c r="U805" s="113"/>
      <c r="V805" s="113"/>
      <c r="W805" s="113"/>
      <c r="X805" s="113"/>
      <c r="Y805" s="113"/>
      <c r="Z805" s="113"/>
      <c r="AA805" s="113"/>
      <c r="AB805" s="113"/>
    </row>
    <row r="806" spans="1:28" ht="75" x14ac:dyDescent="0.25">
      <c r="A806" s="791" t="s">
        <v>437</v>
      </c>
      <c r="B806" s="138" t="s">
        <v>742</v>
      </c>
      <c r="C806" s="138" t="s">
        <v>743</v>
      </c>
      <c r="D806" s="224">
        <v>20</v>
      </c>
      <c r="E806" s="181">
        <v>6</v>
      </c>
      <c r="F806" s="181">
        <v>6</v>
      </c>
      <c r="G806" s="182">
        <f t="shared" si="18"/>
        <v>1</v>
      </c>
      <c r="H806" s="248" t="s">
        <v>916</v>
      </c>
      <c r="I806" s="113"/>
      <c r="J806" s="113"/>
      <c r="K806" s="113"/>
      <c r="L806" s="113"/>
      <c r="M806" s="113"/>
      <c r="N806" s="113"/>
      <c r="O806" s="113"/>
      <c r="P806" s="113"/>
      <c r="Q806" s="113"/>
      <c r="R806" s="113"/>
      <c r="S806" s="113"/>
      <c r="T806" s="113"/>
      <c r="U806" s="113"/>
      <c r="V806" s="113"/>
      <c r="W806" s="113"/>
      <c r="X806" s="113"/>
      <c r="Y806" s="113"/>
      <c r="Z806" s="113"/>
      <c r="AA806" s="113"/>
      <c r="AB806" s="113"/>
    </row>
    <row r="807" spans="1:28" ht="75" x14ac:dyDescent="0.25">
      <c r="A807" s="800"/>
      <c r="B807" s="145" t="s">
        <v>745</v>
      </c>
      <c r="C807" s="145" t="s">
        <v>743</v>
      </c>
      <c r="D807" s="227">
        <v>20</v>
      </c>
      <c r="E807" s="30">
        <v>6</v>
      </c>
      <c r="F807" s="30">
        <v>6</v>
      </c>
      <c r="G807" s="182">
        <f t="shared" si="18"/>
        <v>1</v>
      </c>
      <c r="H807" s="246" t="s">
        <v>917</v>
      </c>
      <c r="I807" s="113"/>
      <c r="J807" s="113"/>
      <c r="K807" s="113"/>
      <c r="L807" s="113"/>
      <c r="M807" s="113"/>
      <c r="N807" s="113"/>
      <c r="O807" s="113"/>
      <c r="P807" s="113"/>
      <c r="Q807" s="113"/>
      <c r="R807" s="113"/>
      <c r="S807" s="113"/>
      <c r="T807" s="113"/>
      <c r="U807" s="113"/>
      <c r="V807" s="113"/>
      <c r="W807" s="113"/>
      <c r="X807" s="113"/>
      <c r="Y807" s="113"/>
      <c r="Z807" s="113"/>
      <c r="AA807" s="113"/>
      <c r="AB807" s="113"/>
    </row>
    <row r="808" spans="1:28" ht="75" x14ac:dyDescent="0.25">
      <c r="A808" s="800"/>
      <c r="B808" s="145" t="s">
        <v>747</v>
      </c>
      <c r="C808" s="145" t="s">
        <v>743</v>
      </c>
      <c r="D808" s="227">
        <v>20</v>
      </c>
      <c r="E808" s="30">
        <v>6</v>
      </c>
      <c r="F808" s="30">
        <v>6</v>
      </c>
      <c r="G808" s="182">
        <f t="shared" si="18"/>
        <v>1</v>
      </c>
      <c r="H808" s="246" t="s">
        <v>918</v>
      </c>
      <c r="I808" s="113"/>
      <c r="J808" s="113"/>
      <c r="K808" s="113"/>
      <c r="L808" s="113"/>
      <c r="M808" s="113"/>
      <c r="N808" s="113"/>
      <c r="O808" s="113"/>
      <c r="P808" s="113"/>
      <c r="Q808" s="113"/>
      <c r="R808" s="113"/>
      <c r="S808" s="113"/>
      <c r="T808" s="113"/>
      <c r="U808" s="113"/>
      <c r="V808" s="113"/>
      <c r="W808" s="113"/>
      <c r="X808" s="113"/>
      <c r="Y808" s="113"/>
      <c r="Z808" s="113"/>
      <c r="AA808" s="113"/>
      <c r="AB808" s="113"/>
    </row>
    <row r="809" spans="1:28" ht="90" x14ac:dyDescent="0.25">
      <c r="A809" s="800"/>
      <c r="B809" s="145" t="s">
        <v>749</v>
      </c>
      <c r="C809" s="145" t="s">
        <v>177</v>
      </c>
      <c r="D809" s="227">
        <v>20</v>
      </c>
      <c r="E809" s="245">
        <v>0.1</v>
      </c>
      <c r="F809" s="147">
        <v>0.1</v>
      </c>
      <c r="G809" s="182">
        <f t="shared" si="18"/>
        <v>1</v>
      </c>
      <c r="H809" s="246" t="s">
        <v>803</v>
      </c>
      <c r="I809" s="113"/>
      <c r="J809" s="113"/>
      <c r="K809" s="113"/>
      <c r="L809" s="113"/>
      <c r="M809" s="113"/>
      <c r="N809" s="113"/>
      <c r="O809" s="113"/>
      <c r="P809" s="113"/>
      <c r="Q809" s="113"/>
      <c r="R809" s="113"/>
      <c r="S809" s="113"/>
      <c r="T809" s="113"/>
      <c r="U809" s="113"/>
      <c r="V809" s="113"/>
      <c r="W809" s="113"/>
      <c r="X809" s="113"/>
      <c r="Y809" s="113"/>
      <c r="Z809" s="113"/>
      <c r="AA809" s="113"/>
      <c r="AB809" s="113"/>
    </row>
    <row r="810" spans="1:28" ht="75.75" thickBot="1" x14ac:dyDescent="0.3">
      <c r="A810" s="801"/>
      <c r="B810" s="153" t="s">
        <v>751</v>
      </c>
      <c r="C810" s="153" t="s">
        <v>743</v>
      </c>
      <c r="D810" s="234">
        <v>20</v>
      </c>
      <c r="E810" s="155">
        <v>6</v>
      </c>
      <c r="F810" s="155">
        <v>6</v>
      </c>
      <c r="G810" s="182">
        <f t="shared" si="18"/>
        <v>1</v>
      </c>
      <c r="H810" s="247" t="s">
        <v>919</v>
      </c>
      <c r="I810" s="113"/>
      <c r="J810" s="113"/>
      <c r="K810" s="113"/>
      <c r="L810" s="113"/>
      <c r="M810" s="113"/>
      <c r="N810" s="113"/>
      <c r="O810" s="113"/>
      <c r="P810" s="113"/>
      <c r="Q810" s="113"/>
      <c r="R810" s="113"/>
      <c r="S810" s="113"/>
      <c r="T810" s="113"/>
      <c r="U810" s="113"/>
      <c r="V810" s="113"/>
      <c r="W810" s="113"/>
      <c r="X810" s="113"/>
      <c r="Y810" s="113"/>
      <c r="Z810" s="113"/>
      <c r="AA810" s="113"/>
      <c r="AB810" s="113"/>
    </row>
    <row r="811" spans="1:28" ht="15.75" hidden="1" customHeight="1" x14ac:dyDescent="0.25">
      <c r="A811" s="126" t="s">
        <v>438</v>
      </c>
      <c r="B811" s="118"/>
      <c r="C811" s="118"/>
      <c r="D811" s="118"/>
      <c r="E811" s="118"/>
      <c r="F811" s="118"/>
      <c r="G811" s="118" t="e">
        <f t="shared" ref="G811:G817" si="19">F811/E811</f>
        <v>#DIV/0!</v>
      </c>
      <c r="H811" s="133"/>
      <c r="I811" s="113"/>
      <c r="J811" s="113"/>
      <c r="K811" s="113"/>
      <c r="L811" s="113"/>
      <c r="M811" s="113"/>
      <c r="N811" s="113"/>
      <c r="O811" s="113"/>
      <c r="P811" s="113"/>
      <c r="Q811" s="113"/>
      <c r="R811" s="113"/>
      <c r="S811" s="113"/>
      <c r="T811" s="113"/>
      <c r="U811" s="113"/>
      <c r="V811" s="113"/>
      <c r="W811" s="113"/>
      <c r="X811" s="113"/>
      <c r="Y811" s="113"/>
      <c r="Z811" s="113"/>
      <c r="AA811" s="113"/>
      <c r="AB811" s="113"/>
    </row>
    <row r="812" spans="1:28" ht="15.75" hidden="1" customHeight="1" x14ac:dyDescent="0.25">
      <c r="A812" s="126" t="s">
        <v>425</v>
      </c>
      <c r="B812" s="118"/>
      <c r="C812" s="118"/>
      <c r="D812" s="118"/>
      <c r="E812" s="118"/>
      <c r="F812" s="118"/>
      <c r="G812" s="118" t="e">
        <f t="shared" si="19"/>
        <v>#DIV/0!</v>
      </c>
      <c r="H812" s="133"/>
      <c r="I812" s="113"/>
      <c r="J812" s="113"/>
      <c r="K812" s="113"/>
      <c r="L812" s="113"/>
      <c r="M812" s="113"/>
      <c r="N812" s="113"/>
      <c r="O812" s="113"/>
      <c r="P812" s="113"/>
      <c r="Q812" s="113"/>
      <c r="R812" s="113"/>
      <c r="S812" s="113"/>
      <c r="T812" s="113"/>
      <c r="U812" s="113"/>
      <c r="V812" s="113"/>
      <c r="W812" s="113"/>
      <c r="X812" s="113"/>
      <c r="Y812" s="113"/>
      <c r="Z812" s="113"/>
      <c r="AA812" s="113"/>
      <c r="AB812" s="113"/>
    </row>
    <row r="813" spans="1:28" ht="15.75" hidden="1" customHeight="1" x14ac:dyDescent="0.25">
      <c r="A813" s="126" t="s">
        <v>426</v>
      </c>
      <c r="B813" s="118"/>
      <c r="C813" s="118"/>
      <c r="D813" s="118"/>
      <c r="E813" s="118"/>
      <c r="F813" s="118"/>
      <c r="G813" s="118" t="e">
        <f t="shared" si="19"/>
        <v>#DIV/0!</v>
      </c>
      <c r="H813" s="133"/>
      <c r="I813" s="113"/>
      <c r="J813" s="113"/>
      <c r="K813" s="113"/>
      <c r="L813" s="113"/>
      <c r="M813" s="113"/>
      <c r="N813" s="113"/>
      <c r="O813" s="113"/>
      <c r="P813" s="113"/>
      <c r="Q813" s="113"/>
      <c r="R813" s="113"/>
      <c r="S813" s="113"/>
      <c r="T813" s="113"/>
      <c r="U813" s="113"/>
      <c r="V813" s="113"/>
      <c r="W813" s="113"/>
      <c r="X813" s="113"/>
      <c r="Y813" s="113"/>
      <c r="Z813" s="113"/>
      <c r="AA813" s="113"/>
      <c r="AB813" s="113"/>
    </row>
    <row r="814" spans="1:28" ht="15.75" hidden="1" customHeight="1" x14ac:dyDescent="0.25">
      <c r="A814" s="126" t="s">
        <v>427</v>
      </c>
      <c r="B814" s="118"/>
      <c r="C814" s="118"/>
      <c r="D814" s="118"/>
      <c r="E814" s="118"/>
      <c r="F814" s="118"/>
      <c r="G814" s="118" t="e">
        <f t="shared" si="19"/>
        <v>#DIV/0!</v>
      </c>
      <c r="H814" s="133"/>
      <c r="I814" s="113"/>
      <c r="J814" s="113"/>
      <c r="K814" s="113"/>
      <c r="L814" s="113"/>
      <c r="M814" s="113"/>
      <c r="N814" s="113"/>
      <c r="O814" s="113"/>
      <c r="P814" s="113"/>
      <c r="Q814" s="113"/>
      <c r="R814" s="113"/>
      <c r="S814" s="113"/>
      <c r="T814" s="113"/>
      <c r="U814" s="113"/>
      <c r="V814" s="113"/>
      <c r="W814" s="113"/>
      <c r="X814" s="113"/>
      <c r="Y814" s="113"/>
      <c r="Z814" s="113"/>
      <c r="AA814" s="113"/>
      <c r="AB814" s="113"/>
    </row>
    <row r="815" spans="1:28" ht="15.75" hidden="1" customHeight="1" x14ac:dyDescent="0.25">
      <c r="A815" s="126" t="s">
        <v>428</v>
      </c>
      <c r="B815" s="118"/>
      <c r="C815" s="118"/>
      <c r="D815" s="118"/>
      <c r="E815" s="118"/>
      <c r="F815" s="118"/>
      <c r="G815" s="118" t="e">
        <f t="shared" si="19"/>
        <v>#DIV/0!</v>
      </c>
      <c r="H815" s="133"/>
      <c r="I815" s="113"/>
      <c r="J815" s="113"/>
      <c r="K815" s="113"/>
      <c r="L815" s="113"/>
      <c r="M815" s="113"/>
      <c r="N815" s="113"/>
      <c r="O815" s="113"/>
      <c r="P815" s="113"/>
      <c r="Q815" s="113"/>
      <c r="R815" s="113"/>
      <c r="S815" s="113"/>
      <c r="T815" s="113"/>
      <c r="U815" s="113"/>
      <c r="V815" s="113"/>
      <c r="W815" s="113"/>
      <c r="X815" s="113"/>
      <c r="Y815" s="113"/>
      <c r="Z815" s="113"/>
      <c r="AA815" s="113"/>
      <c r="AB815" s="113"/>
    </row>
    <row r="816" spans="1:28" ht="15.75" hidden="1" customHeight="1" x14ac:dyDescent="0.25">
      <c r="A816" s="126" t="s">
        <v>429</v>
      </c>
      <c r="B816" s="118"/>
      <c r="C816" s="118"/>
      <c r="D816" s="118"/>
      <c r="E816" s="118"/>
      <c r="F816" s="118"/>
      <c r="G816" s="118" t="e">
        <f t="shared" si="19"/>
        <v>#DIV/0!</v>
      </c>
      <c r="H816" s="133"/>
      <c r="I816" s="113"/>
      <c r="J816" s="113"/>
      <c r="K816" s="113"/>
      <c r="L816" s="113"/>
      <c r="M816" s="113"/>
      <c r="N816" s="113"/>
      <c r="O816" s="113"/>
      <c r="P816" s="113"/>
      <c r="Q816" s="113"/>
      <c r="R816" s="113"/>
      <c r="S816" s="113"/>
      <c r="T816" s="113"/>
      <c r="U816" s="113"/>
      <c r="V816" s="113"/>
      <c r="W816" s="113"/>
      <c r="X816" s="113"/>
      <c r="Y816" s="113"/>
      <c r="Z816" s="113"/>
      <c r="AA816" s="113"/>
      <c r="AB816" s="113"/>
    </row>
    <row r="817" spans="1:28" ht="15.75" hidden="1" customHeight="1" thickBot="1" x14ac:dyDescent="0.3">
      <c r="A817" s="129" t="s">
        <v>430</v>
      </c>
      <c r="B817" s="123"/>
      <c r="C817" s="123"/>
      <c r="D817" s="123"/>
      <c r="E817" s="123"/>
      <c r="F817" s="123"/>
      <c r="G817" s="123" t="e">
        <f t="shared" si="19"/>
        <v>#DIV/0!</v>
      </c>
      <c r="H817" s="184"/>
      <c r="I817" s="113"/>
      <c r="J817" s="113"/>
      <c r="K817" s="113"/>
      <c r="L817" s="113"/>
      <c r="M817" s="113"/>
      <c r="N817" s="113"/>
      <c r="O817" s="113"/>
      <c r="P817" s="113"/>
      <c r="Q817" s="113"/>
      <c r="R817" s="113"/>
      <c r="S817" s="113"/>
      <c r="T817" s="113"/>
      <c r="U817" s="113"/>
      <c r="V817" s="113"/>
      <c r="W817" s="113"/>
      <c r="X817" s="113"/>
      <c r="Y817" s="113"/>
      <c r="Z817" s="113"/>
      <c r="AA817" s="113"/>
      <c r="AB817" s="113"/>
    </row>
    <row r="818" spans="1:28" ht="26.25" customHeight="1" x14ac:dyDescent="0.25">
      <c r="A818" s="109" t="s">
        <v>180</v>
      </c>
      <c r="B818" s="107"/>
      <c r="C818" s="107"/>
      <c r="D818" s="107"/>
      <c r="E818" s="108"/>
      <c r="F818" s="108"/>
      <c r="G818" s="108"/>
      <c r="H818" s="108"/>
      <c r="I818" s="108"/>
      <c r="J818" s="108"/>
      <c r="K818" s="108"/>
      <c r="L818" s="108"/>
      <c r="M818" s="108"/>
      <c r="N818" s="108"/>
      <c r="O818" s="108"/>
      <c r="P818" s="108"/>
      <c r="Q818" s="108"/>
      <c r="R818" s="108"/>
      <c r="S818" s="108"/>
      <c r="T818" s="108"/>
      <c r="U818" s="108"/>
      <c r="V818" s="108"/>
      <c r="W818" s="108"/>
      <c r="X818" s="107"/>
      <c r="Y818" s="107"/>
      <c r="Z818" s="107"/>
      <c r="AA818" s="107"/>
      <c r="AB818" s="107"/>
    </row>
    <row r="819" spans="1:28" ht="15.75" customHeight="1" x14ac:dyDescent="0.25">
      <c r="A819" s="28" t="s">
        <v>181</v>
      </c>
      <c r="B819" s="715" t="s">
        <v>182</v>
      </c>
      <c r="C819" s="598"/>
      <c r="D819" s="598"/>
      <c r="E819" s="598"/>
      <c r="F819" s="598"/>
      <c r="G819" s="598"/>
      <c r="H819" s="599"/>
      <c r="I819" s="716" t="s">
        <v>183</v>
      </c>
      <c r="J819" s="598"/>
      <c r="K819" s="598"/>
      <c r="L819" s="598"/>
      <c r="M819" s="598"/>
      <c r="N819" s="598"/>
      <c r="O819" s="599"/>
      <c r="P819" s="113"/>
      <c r="Q819" s="113"/>
      <c r="R819" s="113"/>
      <c r="S819" s="113"/>
      <c r="T819" s="113"/>
      <c r="U819" s="113"/>
      <c r="V819" s="113"/>
      <c r="W819" s="113"/>
      <c r="X819" s="113"/>
      <c r="Y819" s="113"/>
      <c r="Z819" s="113"/>
      <c r="AA819" s="113"/>
      <c r="AB819" s="113"/>
    </row>
    <row r="820" spans="1:28" ht="15.75" customHeight="1" x14ac:dyDescent="0.25">
      <c r="A820" s="30">
        <v>13</v>
      </c>
      <c r="B820" s="709" t="s">
        <v>184</v>
      </c>
      <c r="C820" s="598"/>
      <c r="D820" s="598"/>
      <c r="E820" s="598"/>
      <c r="F820" s="598"/>
      <c r="G820" s="598"/>
      <c r="H820" s="599"/>
      <c r="I820" s="709" t="s">
        <v>185</v>
      </c>
      <c r="J820" s="598"/>
      <c r="K820" s="598"/>
      <c r="L820" s="598"/>
      <c r="M820" s="598"/>
      <c r="N820" s="598"/>
      <c r="O820" s="599"/>
      <c r="P820" s="113"/>
      <c r="Q820" s="113"/>
      <c r="R820" s="113"/>
      <c r="S820" s="113"/>
      <c r="T820" s="113"/>
      <c r="U820" s="113"/>
      <c r="V820" s="113"/>
      <c r="W820" s="113"/>
      <c r="X820" s="113"/>
      <c r="Y820" s="113"/>
      <c r="Z820" s="113"/>
      <c r="AA820" s="113"/>
      <c r="AB820" s="113"/>
    </row>
    <row r="821" spans="1:28" ht="15.75" customHeight="1" x14ac:dyDescent="0.25">
      <c r="A821" s="30">
        <v>14</v>
      </c>
      <c r="B821" s="709" t="s">
        <v>377</v>
      </c>
      <c r="C821" s="598"/>
      <c r="D821" s="598"/>
      <c r="E821" s="598"/>
      <c r="F821" s="598"/>
      <c r="G821" s="598"/>
      <c r="H821" s="599"/>
      <c r="I821" s="710" t="s">
        <v>187</v>
      </c>
      <c r="J821" s="598"/>
      <c r="K821" s="598"/>
      <c r="L821" s="598"/>
      <c r="M821" s="598"/>
      <c r="N821" s="598"/>
      <c r="O821" s="599"/>
      <c r="P821" s="113"/>
      <c r="Q821" s="113"/>
      <c r="R821" s="113"/>
      <c r="S821" s="113"/>
      <c r="T821" s="113"/>
      <c r="U821" s="113"/>
      <c r="V821" s="113"/>
      <c r="W821" s="113"/>
      <c r="X821" s="113"/>
      <c r="Y821" s="113"/>
      <c r="Z821" s="113"/>
      <c r="AA821" s="113"/>
      <c r="AB821" s="113"/>
    </row>
    <row r="822" spans="1:28" ht="15.75" customHeight="1" x14ac:dyDescent="0.25">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c r="AA822" s="113"/>
      <c r="AB822" s="113"/>
    </row>
    <row r="823" spans="1:28" ht="15.75" customHeight="1" x14ac:dyDescent="0.25">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c r="AA823" s="113"/>
      <c r="AB823" s="113"/>
    </row>
    <row r="824" spans="1:28" ht="15.75" customHeight="1" x14ac:dyDescent="0.25">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c r="AA824" s="113"/>
      <c r="AB824" s="113"/>
    </row>
    <row r="825" spans="1:28" ht="15.75" customHeight="1" x14ac:dyDescent="0.25">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c r="AA825" s="113"/>
      <c r="AB825" s="113"/>
    </row>
    <row r="826" spans="1:28" ht="15.75" customHeight="1" x14ac:dyDescent="0.25">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c r="AA826" s="113"/>
      <c r="AB826" s="113"/>
    </row>
    <row r="827" spans="1:28" ht="15.75" customHeight="1" x14ac:dyDescent="0.25">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c r="AA827" s="113"/>
      <c r="AB827" s="113"/>
    </row>
    <row r="828" spans="1:28" ht="15.75" customHeight="1" x14ac:dyDescent="0.25">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c r="AA828" s="113"/>
      <c r="AB828" s="113"/>
    </row>
    <row r="829" spans="1:28" ht="15.75" customHeight="1" x14ac:dyDescent="0.25">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c r="AA829" s="113"/>
      <c r="AB829" s="113"/>
    </row>
    <row r="830" spans="1:28" ht="15.75" customHeight="1" x14ac:dyDescent="0.25">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c r="AA830" s="113"/>
      <c r="AB830" s="113"/>
    </row>
    <row r="831" spans="1:28" ht="15.75" customHeight="1" x14ac:dyDescent="0.25">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c r="AA831" s="113"/>
      <c r="AB831" s="113"/>
    </row>
    <row r="832" spans="1:28" ht="15.75" customHeight="1" x14ac:dyDescent="0.25">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c r="AA832" s="113"/>
      <c r="AB832" s="113"/>
    </row>
    <row r="833" spans="1:28" ht="15.75" customHeight="1" x14ac:dyDescent="0.25">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c r="AA833" s="113"/>
      <c r="AB833" s="113"/>
    </row>
    <row r="834" spans="1:28" ht="15.75" customHeight="1" x14ac:dyDescent="0.25">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c r="AA834" s="113"/>
      <c r="AB834" s="113"/>
    </row>
    <row r="835" spans="1:28" ht="15.75" customHeight="1" x14ac:dyDescent="0.25">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c r="AA835" s="113"/>
      <c r="AB835" s="113"/>
    </row>
    <row r="836" spans="1:28" ht="15.75" customHeight="1" x14ac:dyDescent="0.25">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c r="AA836" s="113"/>
      <c r="AB836" s="113"/>
    </row>
    <row r="837" spans="1:28" ht="15.75" customHeight="1" x14ac:dyDescent="0.25">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c r="AA837" s="113"/>
      <c r="AB837" s="113"/>
    </row>
    <row r="838" spans="1:28" ht="15.75" customHeight="1" x14ac:dyDescent="0.25">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c r="AA838" s="113"/>
      <c r="AB838" s="113"/>
    </row>
    <row r="839" spans="1:28" ht="15.75" customHeight="1" x14ac:dyDescent="0.25">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c r="AA839" s="113"/>
      <c r="AB839" s="113"/>
    </row>
    <row r="840" spans="1:28" ht="15.75" customHeight="1" x14ac:dyDescent="0.25">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c r="AA840" s="113"/>
      <c r="AB840" s="113"/>
    </row>
    <row r="841" spans="1:28" ht="15.75" customHeight="1" x14ac:dyDescent="0.25">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c r="AA841" s="113"/>
      <c r="AB841" s="113"/>
    </row>
    <row r="842" spans="1:28" ht="15.75" customHeight="1" x14ac:dyDescent="0.25">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c r="AA842" s="113"/>
      <c r="AB842" s="113"/>
    </row>
    <row r="843" spans="1:28" ht="15.75" customHeight="1" x14ac:dyDescent="0.25">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c r="AA843" s="113"/>
      <c r="AB843" s="113"/>
    </row>
    <row r="844" spans="1:28" ht="15.75" customHeight="1" x14ac:dyDescent="0.25">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c r="AA844" s="113"/>
      <c r="AB844" s="113"/>
    </row>
    <row r="845" spans="1:28" ht="15.75" customHeight="1" x14ac:dyDescent="0.25">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c r="AA845" s="113"/>
      <c r="AB845" s="113"/>
    </row>
    <row r="846" spans="1:28" ht="15.75" customHeight="1" x14ac:dyDescent="0.25">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c r="AA846" s="113"/>
      <c r="AB846" s="113"/>
    </row>
    <row r="847" spans="1:28" ht="15.75" customHeight="1" x14ac:dyDescent="0.25">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c r="AA847" s="113"/>
      <c r="AB847" s="113"/>
    </row>
    <row r="848" spans="1:28" ht="15.75" customHeight="1" x14ac:dyDescent="0.25">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c r="AA848" s="113"/>
      <c r="AB848" s="113"/>
    </row>
    <row r="849" spans="1:28" ht="15.75" customHeight="1" x14ac:dyDescent="0.25">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c r="AA849" s="113"/>
      <c r="AB849" s="113"/>
    </row>
    <row r="850" spans="1:28" ht="15.75" customHeight="1" x14ac:dyDescent="0.25">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c r="AA850" s="113"/>
      <c r="AB850" s="113"/>
    </row>
    <row r="851" spans="1:28" ht="15.75" customHeight="1" x14ac:dyDescent="0.25">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c r="AA851" s="113"/>
      <c r="AB851" s="113"/>
    </row>
    <row r="852" spans="1:28" ht="15.75" customHeight="1" x14ac:dyDescent="0.25">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c r="AA852" s="113"/>
      <c r="AB852" s="113"/>
    </row>
    <row r="853" spans="1:28" ht="15.75" customHeight="1" x14ac:dyDescent="0.25">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c r="AA853" s="113"/>
      <c r="AB853" s="113"/>
    </row>
    <row r="854" spans="1:28" ht="15.75" customHeight="1" x14ac:dyDescent="0.25">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c r="AA854" s="113"/>
      <c r="AB854" s="113"/>
    </row>
    <row r="855" spans="1:28" ht="15.75" customHeight="1" x14ac:dyDescent="0.25">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c r="AA855" s="113"/>
      <c r="AB855" s="113"/>
    </row>
    <row r="856" spans="1:28" ht="15.75" customHeight="1" x14ac:dyDescent="0.25">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c r="AA856" s="113"/>
      <c r="AB856" s="113"/>
    </row>
    <row r="857" spans="1:28" ht="15.75" customHeight="1" x14ac:dyDescent="0.25">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c r="AA857" s="113"/>
      <c r="AB857" s="113"/>
    </row>
    <row r="858" spans="1:28" ht="15.75" customHeight="1" x14ac:dyDescent="0.25">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c r="AA858" s="113"/>
      <c r="AB858" s="113"/>
    </row>
    <row r="859" spans="1:28" ht="15.75" customHeight="1" x14ac:dyDescent="0.25">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c r="AA859" s="113"/>
      <c r="AB859" s="113"/>
    </row>
    <row r="860" spans="1:28" ht="15.75" customHeight="1" x14ac:dyDescent="0.25">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c r="AA860" s="113"/>
      <c r="AB860" s="113"/>
    </row>
    <row r="861" spans="1:28" ht="15.75" customHeight="1" x14ac:dyDescent="0.25">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c r="AA861" s="113"/>
      <c r="AB861" s="113"/>
    </row>
    <row r="862" spans="1:28" ht="15.75" customHeight="1" x14ac:dyDescent="0.25">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c r="AA862" s="113"/>
      <c r="AB862" s="113"/>
    </row>
    <row r="863" spans="1:28" ht="15.75" customHeight="1" x14ac:dyDescent="0.25">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c r="AA863" s="113"/>
      <c r="AB863" s="113"/>
    </row>
    <row r="864" spans="1:28" ht="15.75" customHeight="1" x14ac:dyDescent="0.25">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c r="AA864" s="113"/>
      <c r="AB864" s="113"/>
    </row>
    <row r="865" spans="1:28" ht="15.75" customHeight="1" x14ac:dyDescent="0.25">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c r="AA865" s="113"/>
      <c r="AB865" s="113"/>
    </row>
    <row r="866" spans="1:28" ht="15.75" customHeight="1" x14ac:dyDescent="0.25">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c r="AA866" s="113"/>
      <c r="AB866" s="113"/>
    </row>
    <row r="867" spans="1:28" ht="15.75" customHeight="1" x14ac:dyDescent="0.25">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c r="AA867" s="113"/>
      <c r="AB867" s="113"/>
    </row>
    <row r="868" spans="1:28" ht="15.75" customHeight="1" x14ac:dyDescent="0.25">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c r="AA868" s="113"/>
      <c r="AB868" s="113"/>
    </row>
    <row r="869" spans="1:28" ht="15.75" customHeight="1" x14ac:dyDescent="0.25">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c r="AA869" s="113"/>
      <c r="AB869" s="113"/>
    </row>
    <row r="870" spans="1:28" ht="15.75" customHeight="1" x14ac:dyDescent="0.25">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c r="AA870" s="113"/>
      <c r="AB870" s="113"/>
    </row>
    <row r="871" spans="1:28" ht="15.75" customHeight="1" x14ac:dyDescent="0.25">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c r="AA871" s="113"/>
      <c r="AB871" s="113"/>
    </row>
    <row r="872" spans="1:28" ht="15.75" customHeight="1" x14ac:dyDescent="0.25">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c r="AA872" s="113"/>
      <c r="AB872" s="113"/>
    </row>
    <row r="873" spans="1:28" ht="15.75" customHeight="1" x14ac:dyDescent="0.25">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c r="AA873" s="113"/>
      <c r="AB873" s="113"/>
    </row>
    <row r="874" spans="1:28" ht="15.75" customHeight="1" x14ac:dyDescent="0.25">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c r="AA874" s="113"/>
      <c r="AB874" s="113"/>
    </row>
    <row r="875" spans="1:28" ht="15.75" customHeight="1" x14ac:dyDescent="0.25">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c r="AA875" s="113"/>
      <c r="AB875" s="113"/>
    </row>
    <row r="876" spans="1:28" ht="15.75" customHeight="1" x14ac:dyDescent="0.25">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c r="AA876" s="113"/>
      <c r="AB876" s="113"/>
    </row>
    <row r="877" spans="1:28" ht="15.75" customHeight="1" x14ac:dyDescent="0.25">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c r="AA877" s="113"/>
      <c r="AB877" s="113"/>
    </row>
    <row r="878" spans="1:28" ht="15.75" customHeight="1" x14ac:dyDescent="0.25">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c r="AA878" s="113"/>
      <c r="AB878" s="113"/>
    </row>
    <row r="879" spans="1:28" ht="15.75" customHeight="1" x14ac:dyDescent="0.25">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c r="AA879" s="113"/>
      <c r="AB879" s="113"/>
    </row>
    <row r="880" spans="1:28" ht="15.75" customHeight="1" x14ac:dyDescent="0.25">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c r="AA880" s="113"/>
      <c r="AB880" s="113"/>
    </row>
    <row r="881" spans="1:28" ht="15.75" customHeight="1" x14ac:dyDescent="0.25">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c r="AA881" s="113"/>
      <c r="AB881" s="113"/>
    </row>
    <row r="882" spans="1:28" ht="15.75" customHeight="1" x14ac:dyDescent="0.25">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c r="AA882" s="113"/>
      <c r="AB882" s="113"/>
    </row>
    <row r="883" spans="1:28" ht="15.75" customHeight="1" x14ac:dyDescent="0.25">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c r="AA883" s="113"/>
      <c r="AB883" s="113"/>
    </row>
    <row r="884" spans="1:28" ht="15.75" customHeight="1" x14ac:dyDescent="0.25">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c r="AA884" s="113"/>
      <c r="AB884" s="113"/>
    </row>
    <row r="885" spans="1:28" ht="15.75" customHeight="1" x14ac:dyDescent="0.25">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c r="AA885" s="113"/>
      <c r="AB885" s="113"/>
    </row>
    <row r="886" spans="1:28" ht="15.75" customHeight="1" x14ac:dyDescent="0.25">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c r="AA886" s="113"/>
      <c r="AB886" s="113"/>
    </row>
    <row r="887" spans="1:28" ht="15.75" customHeight="1" x14ac:dyDescent="0.25">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c r="AA887" s="113"/>
      <c r="AB887" s="113"/>
    </row>
    <row r="888" spans="1:28" ht="15.75" customHeight="1" x14ac:dyDescent="0.25">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c r="AA888" s="113"/>
      <c r="AB888" s="113"/>
    </row>
    <row r="889" spans="1:28" ht="15.75" customHeight="1" x14ac:dyDescent="0.25">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c r="AA889" s="113"/>
      <c r="AB889" s="113"/>
    </row>
    <row r="890" spans="1:28" ht="15.75" customHeight="1" x14ac:dyDescent="0.25">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c r="AA890" s="113"/>
      <c r="AB890" s="113"/>
    </row>
    <row r="891" spans="1:28" ht="15.75" customHeight="1" x14ac:dyDescent="0.25">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c r="AA891" s="113"/>
      <c r="AB891" s="113"/>
    </row>
    <row r="892" spans="1:28" ht="15.75" customHeight="1" x14ac:dyDescent="0.25">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c r="AA892" s="113"/>
      <c r="AB892" s="113"/>
    </row>
    <row r="893" spans="1:28" ht="15.75" customHeight="1" x14ac:dyDescent="0.25">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c r="AA893" s="113"/>
      <c r="AB893" s="113"/>
    </row>
    <row r="894" spans="1:28" ht="15.75" customHeight="1" x14ac:dyDescent="0.25">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c r="AA894" s="113"/>
      <c r="AB894" s="113"/>
    </row>
    <row r="895" spans="1:28" ht="15.75" customHeight="1" x14ac:dyDescent="0.25">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c r="AA895" s="113"/>
      <c r="AB895" s="113"/>
    </row>
    <row r="896" spans="1:28" ht="15.75" customHeight="1" x14ac:dyDescent="0.25">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c r="AA896" s="113"/>
      <c r="AB896" s="113"/>
    </row>
    <row r="897" spans="1:28" ht="15.75" customHeight="1" x14ac:dyDescent="0.25">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c r="AA897" s="113"/>
      <c r="AB897" s="113"/>
    </row>
    <row r="898" spans="1:28" ht="15.75" customHeight="1" x14ac:dyDescent="0.25">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c r="AA898" s="113"/>
      <c r="AB898" s="113"/>
    </row>
    <row r="899" spans="1:28" ht="15.75" customHeight="1" x14ac:dyDescent="0.25">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c r="AA899" s="113"/>
      <c r="AB899" s="113"/>
    </row>
    <row r="900" spans="1:28" ht="15.75" customHeight="1" x14ac:dyDescent="0.25">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c r="AA900" s="113"/>
      <c r="AB900" s="113"/>
    </row>
    <row r="901" spans="1:28" ht="15.75" customHeight="1" x14ac:dyDescent="0.25">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c r="AA901" s="113"/>
      <c r="AB901" s="113"/>
    </row>
    <row r="902" spans="1:28" ht="15.75" customHeight="1" x14ac:dyDescent="0.25">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c r="AA902" s="113"/>
      <c r="AB902" s="113"/>
    </row>
    <row r="903" spans="1:28" ht="15.75" customHeight="1" x14ac:dyDescent="0.25">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c r="AA903" s="113"/>
      <c r="AB903" s="113"/>
    </row>
    <row r="904" spans="1:28" ht="15.75" customHeight="1" x14ac:dyDescent="0.25">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c r="AA904" s="113"/>
      <c r="AB904" s="113"/>
    </row>
    <row r="905" spans="1:28" ht="15.75" customHeight="1" x14ac:dyDescent="0.25">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c r="AA905" s="113"/>
      <c r="AB905" s="113"/>
    </row>
    <row r="906" spans="1:28" ht="15.75" customHeight="1" x14ac:dyDescent="0.25">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c r="AA906" s="113"/>
      <c r="AB906" s="113"/>
    </row>
    <row r="907" spans="1:28" ht="15.75" customHeight="1" x14ac:dyDescent="0.25">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c r="AA907" s="113"/>
      <c r="AB907" s="113"/>
    </row>
    <row r="908" spans="1:28" ht="15.75" customHeight="1" x14ac:dyDescent="0.25">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c r="AA908" s="113"/>
      <c r="AB908" s="113"/>
    </row>
    <row r="909" spans="1:28" ht="15.75" customHeight="1" x14ac:dyDescent="0.25">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c r="AA909" s="113"/>
      <c r="AB909" s="113"/>
    </row>
    <row r="910" spans="1:28" ht="15.75" customHeight="1" x14ac:dyDescent="0.25">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c r="AA910" s="113"/>
      <c r="AB910" s="113"/>
    </row>
    <row r="911" spans="1:28" ht="15.75" customHeight="1" x14ac:dyDescent="0.25">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c r="AA911" s="113"/>
      <c r="AB911" s="113"/>
    </row>
    <row r="912" spans="1:28" ht="15.75" customHeight="1" x14ac:dyDescent="0.25">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c r="AA912" s="113"/>
      <c r="AB912" s="113"/>
    </row>
    <row r="913" spans="1:28" ht="15.75" customHeight="1" x14ac:dyDescent="0.25">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c r="AA913" s="113"/>
      <c r="AB913" s="113"/>
    </row>
    <row r="914" spans="1:28" ht="15.75" customHeight="1" x14ac:dyDescent="0.25">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c r="AA914" s="113"/>
      <c r="AB914" s="113"/>
    </row>
    <row r="915" spans="1:28" ht="15.75" customHeight="1" x14ac:dyDescent="0.25">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c r="AA915" s="113"/>
      <c r="AB915" s="113"/>
    </row>
    <row r="916" spans="1:28" ht="15.75" customHeight="1" x14ac:dyDescent="0.25">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c r="AA916" s="113"/>
      <c r="AB916" s="113"/>
    </row>
    <row r="917" spans="1:28" ht="15.75" customHeight="1" x14ac:dyDescent="0.25">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c r="AA917" s="113"/>
      <c r="AB917" s="113"/>
    </row>
    <row r="918" spans="1:28" ht="15.75" customHeight="1" x14ac:dyDescent="0.25">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c r="AA918" s="113"/>
      <c r="AB918" s="113"/>
    </row>
    <row r="919" spans="1:28" ht="15.75" customHeight="1" x14ac:dyDescent="0.25">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c r="AA919" s="113"/>
      <c r="AB919" s="113"/>
    </row>
    <row r="920" spans="1:28" ht="15.75" customHeight="1" x14ac:dyDescent="0.25">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c r="AA920" s="113"/>
      <c r="AB920" s="113"/>
    </row>
    <row r="921" spans="1:28" ht="15.75" customHeight="1" x14ac:dyDescent="0.25">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c r="AA921" s="113"/>
      <c r="AB921" s="113"/>
    </row>
    <row r="922" spans="1:28" ht="15.75" customHeight="1" x14ac:dyDescent="0.25">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c r="AA922" s="113"/>
      <c r="AB922" s="113"/>
    </row>
    <row r="923" spans="1:28" ht="15.75" customHeight="1" x14ac:dyDescent="0.25">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c r="AA923" s="113"/>
      <c r="AB923" s="113"/>
    </row>
    <row r="924" spans="1:28" ht="15.75" customHeight="1" x14ac:dyDescent="0.25">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c r="AA924" s="113"/>
      <c r="AB924" s="113"/>
    </row>
    <row r="925" spans="1:28" ht="15.75" customHeight="1" x14ac:dyDescent="0.25">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c r="AA925" s="113"/>
      <c r="AB925" s="113"/>
    </row>
    <row r="926" spans="1:28" ht="15.75" customHeight="1" x14ac:dyDescent="0.25">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c r="AA926" s="113"/>
      <c r="AB926" s="113"/>
    </row>
    <row r="927" spans="1:28" ht="15.75" customHeight="1" x14ac:dyDescent="0.25">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c r="AA927" s="113"/>
      <c r="AB927" s="113"/>
    </row>
    <row r="928" spans="1:28" ht="15.75" customHeight="1" x14ac:dyDescent="0.25">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c r="AA928" s="113"/>
      <c r="AB928" s="113"/>
    </row>
    <row r="929" spans="1:28" ht="15.75" customHeight="1" x14ac:dyDescent="0.25">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c r="AA929" s="113"/>
      <c r="AB929" s="113"/>
    </row>
    <row r="930" spans="1:28" ht="15.75" customHeight="1" x14ac:dyDescent="0.25">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c r="AA930" s="113"/>
      <c r="AB930" s="113"/>
    </row>
    <row r="931" spans="1:28" ht="15.75" customHeight="1" x14ac:dyDescent="0.25">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c r="AA931" s="113"/>
      <c r="AB931" s="113"/>
    </row>
    <row r="932" spans="1:28" ht="15.75" customHeight="1" x14ac:dyDescent="0.25">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c r="AA932" s="113"/>
      <c r="AB932" s="113"/>
    </row>
    <row r="933" spans="1:28" ht="15.75" customHeight="1" x14ac:dyDescent="0.25">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c r="AA933" s="113"/>
      <c r="AB933" s="113"/>
    </row>
    <row r="934" spans="1:28" ht="15.75" customHeight="1" x14ac:dyDescent="0.25">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c r="AA934" s="113"/>
      <c r="AB934" s="113"/>
    </row>
    <row r="935" spans="1:28" ht="15.75" customHeight="1" x14ac:dyDescent="0.25">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c r="AA935" s="113"/>
      <c r="AB935" s="113"/>
    </row>
    <row r="936" spans="1:28" ht="15.75" customHeight="1" x14ac:dyDescent="0.25">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c r="AA936" s="113"/>
      <c r="AB936" s="113"/>
    </row>
    <row r="937" spans="1:28" ht="15.75" customHeight="1" x14ac:dyDescent="0.25">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c r="AA937" s="113"/>
      <c r="AB937" s="113"/>
    </row>
    <row r="938" spans="1:28" ht="15.75" customHeight="1" x14ac:dyDescent="0.25">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c r="AA938" s="113"/>
      <c r="AB938" s="113"/>
    </row>
    <row r="939" spans="1:28" ht="15.75" customHeight="1" x14ac:dyDescent="0.25">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c r="AA939" s="113"/>
      <c r="AB939" s="113"/>
    </row>
    <row r="940" spans="1:28" ht="15.75" customHeight="1" x14ac:dyDescent="0.25">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c r="AA940" s="113"/>
      <c r="AB940" s="113"/>
    </row>
    <row r="941" spans="1:28" ht="15.75" customHeight="1" x14ac:dyDescent="0.25">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c r="AA941" s="113"/>
      <c r="AB941" s="113"/>
    </row>
    <row r="942" spans="1:28" ht="15.75" customHeight="1" x14ac:dyDescent="0.25">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c r="AA942" s="113"/>
      <c r="AB942" s="113"/>
    </row>
    <row r="943" spans="1:28" ht="15.75" customHeight="1" x14ac:dyDescent="0.25">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c r="AA943" s="113"/>
      <c r="AB943" s="113"/>
    </row>
    <row r="944" spans="1:28" ht="15.75" customHeight="1" x14ac:dyDescent="0.25">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c r="AA944" s="113"/>
      <c r="AB944" s="113"/>
    </row>
    <row r="945" spans="1:28" ht="15.75" customHeight="1" x14ac:dyDescent="0.25">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c r="AA945" s="113"/>
      <c r="AB945" s="113"/>
    </row>
    <row r="946" spans="1:28" ht="15.75" customHeight="1" x14ac:dyDescent="0.25">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c r="AA946" s="113"/>
      <c r="AB946" s="113"/>
    </row>
    <row r="947" spans="1:28" ht="15.75" customHeight="1" x14ac:dyDescent="0.25">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c r="AA947" s="113"/>
      <c r="AB947" s="113"/>
    </row>
    <row r="948" spans="1:28" ht="15.75" customHeight="1" x14ac:dyDescent="0.25">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c r="AA948" s="113"/>
      <c r="AB948" s="113"/>
    </row>
    <row r="949" spans="1:28" ht="15.75" customHeight="1" x14ac:dyDescent="0.25">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c r="AA949" s="113"/>
      <c r="AB949" s="113"/>
    </row>
    <row r="950" spans="1:28" ht="15.75" customHeight="1" x14ac:dyDescent="0.25">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c r="AA950" s="113"/>
      <c r="AB950" s="113"/>
    </row>
    <row r="951" spans="1:28" ht="15.75" customHeight="1" x14ac:dyDescent="0.25">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c r="AA951" s="113"/>
      <c r="AB951" s="113"/>
    </row>
    <row r="952" spans="1:28" ht="15.75" customHeight="1" x14ac:dyDescent="0.25">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c r="AA952" s="113"/>
      <c r="AB952" s="113"/>
    </row>
    <row r="953" spans="1:28" ht="15.75" customHeight="1" x14ac:dyDescent="0.25">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c r="AA953" s="113"/>
      <c r="AB953" s="113"/>
    </row>
    <row r="954" spans="1:28" ht="15.75" customHeight="1" x14ac:dyDescent="0.25">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c r="AA954" s="113"/>
      <c r="AB954" s="113"/>
    </row>
    <row r="955" spans="1:28" ht="15.75" customHeight="1" x14ac:dyDescent="0.25">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c r="AA955" s="113"/>
      <c r="AB955" s="113"/>
    </row>
    <row r="956" spans="1:28" ht="15.75" customHeight="1" x14ac:dyDescent="0.25">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c r="AA956" s="113"/>
      <c r="AB956" s="113"/>
    </row>
    <row r="957" spans="1:28" ht="15.75" customHeight="1" x14ac:dyDescent="0.25">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c r="AA957" s="113"/>
      <c r="AB957" s="113"/>
    </row>
    <row r="958" spans="1:28" ht="15.75" customHeight="1" x14ac:dyDescent="0.25">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c r="AA958" s="113"/>
      <c r="AB958" s="113"/>
    </row>
    <row r="959" spans="1:28" ht="15.75" customHeight="1" x14ac:dyDescent="0.25">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c r="AA959" s="113"/>
      <c r="AB959" s="113"/>
    </row>
    <row r="960" spans="1:28" ht="15.75" customHeight="1" x14ac:dyDescent="0.25">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c r="AA960" s="113"/>
      <c r="AB960" s="113"/>
    </row>
    <row r="961" spans="1:28" ht="15.75" customHeight="1" x14ac:dyDescent="0.25">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c r="AA961" s="113"/>
      <c r="AB961" s="113"/>
    </row>
    <row r="962" spans="1:28" ht="15.75" customHeight="1" x14ac:dyDescent="0.25">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c r="AA962" s="113"/>
      <c r="AB962" s="113"/>
    </row>
    <row r="963" spans="1:28" ht="15.75" customHeight="1" x14ac:dyDescent="0.25">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c r="AA963" s="113"/>
      <c r="AB963" s="113"/>
    </row>
    <row r="964" spans="1:28" ht="15.75" customHeight="1" x14ac:dyDescent="0.25">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c r="AA964" s="113"/>
      <c r="AB964" s="113"/>
    </row>
    <row r="965" spans="1:28" ht="15.75" customHeight="1" x14ac:dyDescent="0.25">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c r="AA965" s="113"/>
      <c r="AB965" s="113"/>
    </row>
    <row r="966" spans="1:28" ht="15.75" customHeight="1" x14ac:dyDescent="0.25">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c r="AA966" s="113"/>
      <c r="AB966" s="113"/>
    </row>
    <row r="967" spans="1:28" ht="15.75" customHeight="1" x14ac:dyDescent="0.25">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c r="AA967" s="113"/>
      <c r="AB967" s="113"/>
    </row>
    <row r="968" spans="1:28" ht="15.75" customHeight="1" x14ac:dyDescent="0.25">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c r="AA968" s="113"/>
      <c r="AB968" s="113"/>
    </row>
    <row r="969" spans="1:28" ht="15.75" customHeight="1" x14ac:dyDescent="0.25">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c r="AA969" s="113"/>
      <c r="AB969" s="113"/>
    </row>
    <row r="970" spans="1:28" ht="15.75" customHeight="1" x14ac:dyDescent="0.25">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c r="AA970" s="113"/>
      <c r="AB970" s="113"/>
    </row>
    <row r="971" spans="1:28" ht="15.75" customHeight="1" x14ac:dyDescent="0.25">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c r="AA971" s="113"/>
      <c r="AB971" s="113"/>
    </row>
    <row r="972" spans="1:28" ht="15.75" customHeight="1" x14ac:dyDescent="0.25">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c r="AA972" s="113"/>
      <c r="AB972" s="113"/>
    </row>
    <row r="973" spans="1:28" ht="15.75" customHeight="1" x14ac:dyDescent="0.25">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c r="AA973" s="113"/>
      <c r="AB973" s="113"/>
    </row>
    <row r="974" spans="1:28" ht="15.75" customHeight="1" x14ac:dyDescent="0.25">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c r="AA974" s="113"/>
      <c r="AB974" s="113"/>
    </row>
    <row r="975" spans="1:28" ht="15.75" customHeight="1" x14ac:dyDescent="0.25">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c r="AA975" s="113"/>
      <c r="AB975" s="113"/>
    </row>
    <row r="976" spans="1:28" ht="15.75" customHeight="1" x14ac:dyDescent="0.25">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c r="AA976" s="113"/>
      <c r="AB976" s="113"/>
    </row>
    <row r="977" spans="1:28" ht="15.75" customHeight="1" x14ac:dyDescent="0.25">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c r="AA977" s="113"/>
      <c r="AB977" s="113"/>
    </row>
    <row r="978" spans="1:28" ht="15.75" customHeight="1" x14ac:dyDescent="0.25">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c r="AA978" s="113"/>
      <c r="AB978" s="113"/>
    </row>
    <row r="979" spans="1:28" ht="15.75" customHeight="1" x14ac:dyDescent="0.25">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c r="AA979" s="113"/>
      <c r="AB979" s="113"/>
    </row>
    <row r="980" spans="1:28" ht="15.75" customHeight="1" x14ac:dyDescent="0.25">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c r="AA980" s="113"/>
      <c r="AB980" s="113"/>
    </row>
    <row r="981" spans="1:28" ht="15.75" customHeight="1" x14ac:dyDescent="0.25">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c r="AA981" s="113"/>
      <c r="AB981" s="113"/>
    </row>
    <row r="982" spans="1:28" ht="15.75" customHeight="1" x14ac:dyDescent="0.25">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c r="AA982" s="113"/>
      <c r="AB982" s="113"/>
    </row>
    <row r="983" spans="1:28" ht="15.75" customHeight="1" x14ac:dyDescent="0.25">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c r="AA983" s="113"/>
      <c r="AB983" s="113"/>
    </row>
    <row r="984" spans="1:28" ht="15.75" customHeight="1" x14ac:dyDescent="0.25">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c r="AA984" s="113"/>
      <c r="AB984" s="113"/>
    </row>
    <row r="985" spans="1:28" ht="15.75" customHeight="1" x14ac:dyDescent="0.25">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c r="AA985" s="113"/>
      <c r="AB985" s="113"/>
    </row>
    <row r="986" spans="1:28" ht="15.75" customHeight="1" x14ac:dyDescent="0.25">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c r="AA986" s="113"/>
      <c r="AB986" s="113"/>
    </row>
    <row r="987" spans="1:28" ht="15.75" customHeight="1" x14ac:dyDescent="0.25">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c r="AA987" s="113"/>
      <c r="AB987" s="113"/>
    </row>
    <row r="988" spans="1:28" ht="15.75" customHeight="1" x14ac:dyDescent="0.25">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c r="AA988" s="113"/>
      <c r="AB988" s="113"/>
    </row>
    <row r="989" spans="1:28" ht="15.75" customHeight="1" x14ac:dyDescent="0.25">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c r="AA989" s="113"/>
      <c r="AB989" s="113"/>
    </row>
    <row r="990" spans="1:28" ht="15.75" customHeight="1" x14ac:dyDescent="0.25">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c r="AA990" s="113"/>
      <c r="AB990" s="113"/>
    </row>
    <row r="991" spans="1:28" ht="15.75" customHeight="1" x14ac:dyDescent="0.25">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c r="AA991" s="113"/>
      <c r="AB991" s="113"/>
    </row>
    <row r="992" spans="1:28" ht="15.75" customHeight="1" x14ac:dyDescent="0.25">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c r="AA992" s="113"/>
      <c r="AB992" s="113"/>
    </row>
    <row r="993" spans="1:28" ht="15.75" customHeight="1" x14ac:dyDescent="0.25">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c r="AA993" s="113"/>
      <c r="AB993" s="113"/>
    </row>
    <row r="994" spans="1:28" ht="15.75" customHeight="1" x14ac:dyDescent="0.25">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c r="AA994" s="113"/>
      <c r="AB994" s="113"/>
    </row>
    <row r="995" spans="1:28" ht="15.75" customHeight="1" x14ac:dyDescent="0.25">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c r="AA995" s="113"/>
      <c r="AB995" s="113"/>
    </row>
    <row r="996" spans="1:28" ht="15.75" customHeight="1" x14ac:dyDescent="0.25">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c r="AA996" s="113"/>
      <c r="AB996" s="113"/>
    </row>
    <row r="997" spans="1:28" ht="15.75" customHeight="1" x14ac:dyDescent="0.25">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c r="AA997" s="113"/>
      <c r="AB997" s="113"/>
    </row>
    <row r="998" spans="1:28" ht="15.75" customHeight="1" x14ac:dyDescent="0.25">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c r="AA998" s="113"/>
      <c r="AB998" s="113"/>
    </row>
    <row r="999" spans="1:28" ht="15.75" customHeight="1" x14ac:dyDescent="0.25">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c r="AA999" s="113"/>
      <c r="AB999" s="113"/>
    </row>
    <row r="1000" spans="1:28" ht="15.75" customHeight="1" x14ac:dyDescent="0.25">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c r="AA1000" s="113"/>
      <c r="AB1000" s="113"/>
    </row>
    <row r="1001" spans="1:28" ht="15.75" customHeight="1" x14ac:dyDescent="0.25">
      <c r="A1001" s="113"/>
      <c r="B1001" s="113"/>
      <c r="C1001" s="113"/>
      <c r="D1001" s="113"/>
      <c r="E1001" s="113"/>
      <c r="F1001" s="113"/>
      <c r="G1001" s="113"/>
      <c r="H1001" s="113"/>
      <c r="I1001" s="113"/>
      <c r="J1001" s="113"/>
      <c r="K1001" s="113"/>
      <c r="L1001" s="113"/>
      <c r="M1001" s="113"/>
      <c r="N1001" s="113"/>
      <c r="O1001" s="113"/>
      <c r="P1001" s="113"/>
      <c r="Q1001" s="113"/>
      <c r="R1001" s="113"/>
      <c r="S1001" s="113"/>
      <c r="T1001" s="113"/>
      <c r="U1001" s="113"/>
      <c r="V1001" s="113"/>
      <c r="W1001" s="113"/>
      <c r="X1001" s="113"/>
      <c r="Y1001" s="113"/>
      <c r="Z1001" s="113"/>
      <c r="AA1001" s="113"/>
      <c r="AB1001" s="113"/>
    </row>
    <row r="1002" spans="1:28" ht="15.75" customHeight="1" x14ac:dyDescent="0.25">
      <c r="A1002" s="113"/>
      <c r="B1002" s="113"/>
      <c r="C1002" s="113"/>
      <c r="D1002" s="113"/>
      <c r="E1002" s="113"/>
      <c r="F1002" s="113"/>
      <c r="G1002" s="113"/>
      <c r="H1002" s="113"/>
      <c r="I1002" s="113"/>
      <c r="J1002" s="113"/>
      <c r="K1002" s="113"/>
      <c r="L1002" s="113"/>
      <c r="M1002" s="113"/>
      <c r="N1002" s="113"/>
      <c r="O1002" s="113"/>
      <c r="P1002" s="113"/>
      <c r="Q1002" s="113"/>
      <c r="R1002" s="113"/>
      <c r="S1002" s="113"/>
      <c r="T1002" s="113"/>
      <c r="U1002" s="113"/>
      <c r="V1002" s="113"/>
      <c r="W1002" s="113"/>
      <c r="X1002" s="113"/>
      <c r="Y1002" s="113"/>
      <c r="Z1002" s="113"/>
      <c r="AA1002" s="113"/>
      <c r="AB1002" s="113"/>
    </row>
    <row r="1003" spans="1:28" ht="15.75" customHeight="1" x14ac:dyDescent="0.25">
      <c r="A1003" s="113"/>
      <c r="B1003" s="113"/>
      <c r="C1003" s="113"/>
      <c r="D1003" s="113"/>
      <c r="E1003" s="113"/>
      <c r="F1003" s="113"/>
      <c r="G1003" s="113"/>
      <c r="H1003" s="113"/>
      <c r="I1003" s="113"/>
      <c r="J1003" s="113"/>
      <c r="K1003" s="113"/>
      <c r="L1003" s="113"/>
      <c r="M1003" s="113"/>
      <c r="N1003" s="113"/>
      <c r="O1003" s="113"/>
      <c r="P1003" s="113"/>
      <c r="Q1003" s="113"/>
      <c r="R1003" s="113"/>
      <c r="S1003" s="113"/>
      <c r="T1003" s="113"/>
      <c r="U1003" s="113"/>
      <c r="V1003" s="113"/>
      <c r="W1003" s="113"/>
      <c r="X1003" s="113"/>
      <c r="Y1003" s="113"/>
      <c r="Z1003" s="113"/>
      <c r="AA1003" s="113"/>
      <c r="AB1003" s="113"/>
    </row>
    <row r="1004" spans="1:28" ht="15.75" customHeight="1" x14ac:dyDescent="0.25">
      <c r="A1004" s="113"/>
      <c r="B1004" s="113"/>
      <c r="C1004" s="113"/>
      <c r="D1004" s="113"/>
      <c r="E1004" s="113"/>
      <c r="F1004" s="113"/>
      <c r="G1004" s="113"/>
      <c r="H1004" s="113"/>
      <c r="I1004" s="113"/>
      <c r="J1004" s="113"/>
      <c r="K1004" s="113"/>
      <c r="L1004" s="113"/>
      <c r="M1004" s="113"/>
      <c r="N1004" s="113"/>
      <c r="O1004" s="113"/>
      <c r="P1004" s="113"/>
      <c r="Q1004" s="113"/>
      <c r="R1004" s="113"/>
      <c r="S1004" s="113"/>
      <c r="T1004" s="113"/>
      <c r="U1004" s="113"/>
      <c r="V1004" s="113"/>
      <c r="W1004" s="113"/>
      <c r="X1004" s="113"/>
      <c r="Y1004" s="113"/>
      <c r="Z1004" s="113"/>
      <c r="AA1004" s="113"/>
      <c r="AB1004" s="113"/>
    </row>
    <row r="1005" spans="1:28" ht="15.75" customHeight="1" x14ac:dyDescent="0.25">
      <c r="A1005" s="113"/>
      <c r="B1005" s="113"/>
      <c r="C1005" s="113"/>
      <c r="D1005" s="113"/>
      <c r="E1005" s="113"/>
      <c r="F1005" s="113"/>
      <c r="G1005" s="113"/>
      <c r="H1005" s="113"/>
      <c r="I1005" s="113"/>
      <c r="J1005" s="113"/>
      <c r="K1005" s="113"/>
      <c r="L1005" s="113"/>
      <c r="M1005" s="113"/>
      <c r="N1005" s="113"/>
      <c r="O1005" s="113"/>
      <c r="P1005" s="113"/>
      <c r="Q1005" s="113"/>
      <c r="R1005" s="113"/>
      <c r="S1005" s="113"/>
      <c r="T1005" s="113"/>
      <c r="U1005" s="113"/>
      <c r="V1005" s="113"/>
      <c r="W1005" s="113"/>
      <c r="X1005" s="113"/>
      <c r="Y1005" s="113"/>
      <c r="Z1005" s="113"/>
      <c r="AA1005" s="113"/>
      <c r="AB1005" s="113"/>
    </row>
    <row r="1006" spans="1:28" ht="15.75" customHeight="1" x14ac:dyDescent="0.25">
      <c r="A1006" s="113"/>
      <c r="B1006" s="113"/>
      <c r="C1006" s="113"/>
      <c r="D1006" s="113"/>
      <c r="E1006" s="113"/>
      <c r="F1006" s="113"/>
      <c r="G1006" s="113"/>
      <c r="H1006" s="113"/>
      <c r="I1006" s="113"/>
      <c r="J1006" s="113"/>
      <c r="K1006" s="113"/>
      <c r="L1006" s="113"/>
      <c r="M1006" s="113"/>
      <c r="N1006" s="113"/>
      <c r="O1006" s="113"/>
      <c r="P1006" s="113"/>
      <c r="Q1006" s="113"/>
      <c r="R1006" s="113"/>
      <c r="S1006" s="113"/>
      <c r="T1006" s="113"/>
      <c r="U1006" s="113"/>
      <c r="V1006" s="113"/>
      <c r="W1006" s="113"/>
      <c r="X1006" s="113"/>
      <c r="Y1006" s="113"/>
      <c r="Z1006" s="113"/>
      <c r="AA1006" s="113"/>
      <c r="AB1006" s="113"/>
    </row>
    <row r="1007" spans="1:28" ht="15.75" customHeight="1" x14ac:dyDescent="0.25">
      <c r="A1007" s="113"/>
      <c r="B1007" s="113"/>
      <c r="C1007" s="113"/>
      <c r="D1007" s="113"/>
      <c r="E1007" s="113"/>
      <c r="F1007" s="113"/>
      <c r="G1007" s="113"/>
      <c r="H1007" s="113"/>
      <c r="I1007" s="113"/>
      <c r="J1007" s="113"/>
      <c r="K1007" s="113"/>
      <c r="L1007" s="113"/>
      <c r="M1007" s="113"/>
      <c r="N1007" s="113"/>
      <c r="O1007" s="113"/>
      <c r="P1007" s="113"/>
      <c r="Q1007" s="113"/>
      <c r="R1007" s="113"/>
      <c r="S1007" s="113"/>
      <c r="T1007" s="113"/>
      <c r="U1007" s="113"/>
      <c r="V1007" s="113"/>
      <c r="W1007" s="113"/>
      <c r="X1007" s="113"/>
      <c r="Y1007" s="113"/>
      <c r="Z1007" s="113"/>
      <c r="AA1007" s="113"/>
      <c r="AB1007" s="113"/>
    </row>
    <row r="1008" spans="1:28" ht="15.75" customHeight="1" x14ac:dyDescent="0.25">
      <c r="A1008" s="113"/>
      <c r="B1008" s="113"/>
      <c r="C1008" s="113"/>
      <c r="D1008" s="113"/>
      <c r="E1008" s="113"/>
      <c r="F1008" s="113"/>
      <c r="G1008" s="113"/>
      <c r="H1008" s="113"/>
      <c r="I1008" s="113"/>
      <c r="J1008" s="113"/>
      <c r="K1008" s="113"/>
      <c r="L1008" s="113"/>
      <c r="M1008" s="113"/>
      <c r="N1008" s="113"/>
      <c r="O1008" s="113"/>
      <c r="P1008" s="113"/>
      <c r="Q1008" s="113"/>
      <c r="R1008" s="113"/>
      <c r="S1008" s="113"/>
      <c r="T1008" s="113"/>
      <c r="U1008" s="113"/>
      <c r="V1008" s="113"/>
      <c r="W1008" s="113"/>
      <c r="X1008" s="113"/>
      <c r="Y1008" s="113"/>
      <c r="Z1008" s="113"/>
      <c r="AA1008" s="113"/>
      <c r="AB1008" s="113"/>
    </row>
    <row r="1009" spans="1:28" ht="15.75" customHeight="1" x14ac:dyDescent="0.25">
      <c r="A1009" s="113"/>
      <c r="B1009" s="113"/>
      <c r="C1009" s="113"/>
      <c r="D1009" s="113"/>
      <c r="E1009" s="113"/>
      <c r="F1009" s="113"/>
      <c r="G1009" s="113"/>
      <c r="H1009" s="113"/>
      <c r="I1009" s="113"/>
      <c r="J1009" s="113"/>
      <c r="K1009" s="113"/>
      <c r="L1009" s="113"/>
      <c r="M1009" s="113"/>
      <c r="N1009" s="113"/>
      <c r="O1009" s="113"/>
      <c r="P1009" s="113"/>
      <c r="Q1009" s="113"/>
      <c r="R1009" s="113"/>
      <c r="S1009" s="113"/>
      <c r="T1009" s="113"/>
      <c r="U1009" s="113"/>
      <c r="V1009" s="113"/>
      <c r="W1009" s="113"/>
      <c r="X1009" s="113"/>
      <c r="Y1009" s="113"/>
      <c r="Z1009" s="113"/>
      <c r="AA1009" s="113"/>
      <c r="AB1009" s="113"/>
    </row>
    <row r="1010" spans="1:28" ht="15.75" customHeight="1" x14ac:dyDescent="0.25">
      <c r="A1010" s="113"/>
      <c r="B1010" s="113"/>
      <c r="C1010" s="113"/>
      <c r="D1010" s="113"/>
      <c r="E1010" s="113"/>
      <c r="F1010" s="113"/>
      <c r="G1010" s="113"/>
      <c r="H1010" s="113"/>
      <c r="I1010" s="113"/>
      <c r="J1010" s="113"/>
      <c r="K1010" s="113"/>
      <c r="L1010" s="113"/>
      <c r="M1010" s="113"/>
      <c r="N1010" s="113"/>
      <c r="O1010" s="113"/>
      <c r="P1010" s="113"/>
      <c r="Q1010" s="113"/>
      <c r="R1010" s="113"/>
      <c r="S1010" s="113"/>
      <c r="T1010" s="113"/>
      <c r="U1010" s="113"/>
      <c r="V1010" s="113"/>
      <c r="W1010" s="113"/>
      <c r="X1010" s="113"/>
      <c r="Y1010" s="113"/>
      <c r="Z1010" s="113"/>
      <c r="AA1010" s="113"/>
      <c r="AB1010" s="113"/>
    </row>
    <row r="1011" spans="1:28" ht="15.75" customHeight="1" x14ac:dyDescent="0.25">
      <c r="A1011" s="113"/>
      <c r="B1011" s="113"/>
      <c r="C1011" s="113"/>
      <c r="D1011" s="113"/>
      <c r="E1011" s="113"/>
      <c r="F1011" s="113"/>
      <c r="G1011" s="113"/>
      <c r="H1011" s="113"/>
      <c r="I1011" s="113"/>
      <c r="J1011" s="113"/>
      <c r="K1011" s="113"/>
      <c r="L1011" s="113"/>
      <c r="M1011" s="113"/>
      <c r="N1011" s="113"/>
      <c r="O1011" s="113"/>
      <c r="P1011" s="113"/>
      <c r="Q1011" s="113"/>
      <c r="R1011" s="113"/>
      <c r="S1011" s="113"/>
      <c r="T1011" s="113"/>
      <c r="U1011" s="113"/>
      <c r="V1011" s="113"/>
      <c r="W1011" s="113"/>
      <c r="X1011" s="113"/>
      <c r="Y1011" s="113"/>
      <c r="Z1011" s="113"/>
      <c r="AA1011" s="113"/>
      <c r="AB1011" s="113"/>
    </row>
    <row r="1012" spans="1:28" ht="15.75" customHeight="1" x14ac:dyDescent="0.25">
      <c r="A1012" s="113"/>
      <c r="B1012" s="113"/>
      <c r="C1012" s="113"/>
      <c r="D1012" s="113"/>
      <c r="E1012" s="113"/>
      <c r="F1012" s="113"/>
      <c r="G1012" s="113"/>
      <c r="H1012" s="113"/>
      <c r="I1012" s="113"/>
      <c r="J1012" s="113"/>
      <c r="K1012" s="113"/>
      <c r="L1012" s="113"/>
      <c r="M1012" s="113"/>
      <c r="N1012" s="113"/>
      <c r="O1012" s="113"/>
      <c r="P1012" s="113"/>
      <c r="Q1012" s="113"/>
      <c r="R1012" s="113"/>
      <c r="S1012" s="113"/>
      <c r="T1012" s="113"/>
      <c r="U1012" s="113"/>
      <c r="V1012" s="113"/>
      <c r="W1012" s="113"/>
      <c r="X1012" s="113"/>
      <c r="Y1012" s="113"/>
      <c r="Z1012" s="113"/>
      <c r="AA1012" s="113"/>
      <c r="AB1012" s="113"/>
    </row>
    <row r="1013" spans="1:28" ht="15.75" customHeight="1" x14ac:dyDescent="0.25">
      <c r="A1013" s="113"/>
      <c r="B1013" s="113"/>
      <c r="C1013" s="113"/>
      <c r="D1013" s="113"/>
      <c r="E1013" s="113"/>
      <c r="F1013" s="113"/>
      <c r="G1013" s="113"/>
      <c r="H1013" s="113"/>
      <c r="I1013" s="113"/>
      <c r="J1013" s="113"/>
      <c r="K1013" s="113"/>
      <c r="L1013" s="113"/>
      <c r="M1013" s="113"/>
      <c r="N1013" s="113"/>
      <c r="O1013" s="113"/>
      <c r="P1013" s="113"/>
      <c r="Q1013" s="113"/>
      <c r="R1013" s="113"/>
      <c r="S1013" s="113"/>
      <c r="T1013" s="113"/>
      <c r="U1013" s="113"/>
      <c r="V1013" s="113"/>
      <c r="W1013" s="113"/>
      <c r="X1013" s="113"/>
      <c r="Y1013" s="113"/>
      <c r="Z1013" s="113"/>
      <c r="AA1013" s="113"/>
      <c r="AB1013" s="113"/>
    </row>
    <row r="1014" spans="1:28" ht="15.75" customHeight="1" x14ac:dyDescent="0.25">
      <c r="A1014" s="113"/>
      <c r="B1014" s="113"/>
      <c r="C1014" s="113"/>
      <c r="D1014" s="113"/>
      <c r="E1014" s="113"/>
      <c r="F1014" s="113"/>
      <c r="G1014" s="113"/>
      <c r="H1014" s="113"/>
      <c r="I1014" s="113"/>
      <c r="J1014" s="113"/>
      <c r="K1014" s="113"/>
      <c r="L1014" s="113"/>
      <c r="M1014" s="113"/>
      <c r="N1014" s="113"/>
      <c r="O1014" s="113"/>
      <c r="P1014" s="113"/>
      <c r="Q1014" s="113"/>
      <c r="R1014" s="113"/>
      <c r="S1014" s="113"/>
      <c r="T1014" s="113"/>
      <c r="U1014" s="113"/>
      <c r="V1014" s="113"/>
      <c r="W1014" s="113"/>
      <c r="X1014" s="113"/>
      <c r="Y1014" s="113"/>
      <c r="Z1014" s="113"/>
      <c r="AA1014" s="113"/>
      <c r="AB1014" s="113"/>
    </row>
    <row r="1015" spans="1:28" ht="15.75" customHeight="1" x14ac:dyDescent="0.25">
      <c r="A1015" s="113"/>
      <c r="B1015" s="113"/>
      <c r="C1015" s="113"/>
      <c r="D1015" s="113"/>
      <c r="E1015" s="113"/>
      <c r="F1015" s="113"/>
      <c r="G1015" s="113"/>
      <c r="H1015" s="113"/>
      <c r="I1015" s="113"/>
      <c r="J1015" s="113"/>
      <c r="K1015" s="113"/>
      <c r="L1015" s="113"/>
      <c r="M1015" s="113"/>
      <c r="N1015" s="113"/>
      <c r="O1015" s="113"/>
      <c r="P1015" s="113"/>
      <c r="Q1015" s="113"/>
      <c r="R1015" s="113"/>
      <c r="S1015" s="113"/>
      <c r="T1015" s="113"/>
      <c r="U1015" s="113"/>
      <c r="V1015" s="113"/>
      <c r="W1015" s="113"/>
      <c r="X1015" s="113"/>
      <c r="Y1015" s="113"/>
      <c r="Z1015" s="113"/>
      <c r="AA1015" s="113"/>
      <c r="AB1015" s="113"/>
    </row>
    <row r="1016" spans="1:28" ht="15.75" customHeight="1" x14ac:dyDescent="0.25">
      <c r="A1016" s="113"/>
      <c r="B1016" s="113"/>
      <c r="C1016" s="113"/>
      <c r="D1016" s="113"/>
      <c r="E1016" s="113"/>
      <c r="F1016" s="113"/>
      <c r="G1016" s="113"/>
      <c r="H1016" s="113"/>
      <c r="I1016" s="113"/>
      <c r="J1016" s="113"/>
      <c r="K1016" s="113"/>
      <c r="L1016" s="113"/>
      <c r="M1016" s="113"/>
      <c r="N1016" s="113"/>
      <c r="O1016" s="113"/>
      <c r="P1016" s="113"/>
      <c r="Q1016" s="113"/>
      <c r="R1016" s="113"/>
      <c r="S1016" s="113"/>
      <c r="T1016" s="113"/>
      <c r="U1016" s="113"/>
      <c r="V1016" s="113"/>
      <c r="W1016" s="113"/>
      <c r="X1016" s="113"/>
      <c r="Y1016" s="113"/>
      <c r="Z1016" s="113"/>
      <c r="AA1016" s="113"/>
      <c r="AB1016" s="113"/>
    </row>
    <row r="1017" spans="1:28" ht="15.75" customHeight="1" x14ac:dyDescent="0.25">
      <c r="A1017" s="113"/>
      <c r="B1017" s="113"/>
      <c r="C1017" s="113"/>
      <c r="D1017" s="113"/>
      <c r="E1017" s="113"/>
      <c r="F1017" s="113"/>
      <c r="G1017" s="113"/>
      <c r="H1017" s="113"/>
      <c r="I1017" s="113"/>
      <c r="J1017" s="113"/>
      <c r="K1017" s="113"/>
      <c r="L1017" s="113"/>
      <c r="M1017" s="113"/>
      <c r="N1017" s="113"/>
      <c r="O1017" s="113"/>
      <c r="P1017" s="113"/>
      <c r="Q1017" s="113"/>
      <c r="R1017" s="113"/>
      <c r="S1017" s="113"/>
      <c r="T1017" s="113"/>
      <c r="U1017" s="113"/>
      <c r="V1017" s="113"/>
      <c r="W1017" s="113"/>
      <c r="X1017" s="113"/>
      <c r="Y1017" s="113"/>
      <c r="Z1017" s="113"/>
      <c r="AA1017" s="113"/>
      <c r="AB1017" s="113"/>
    </row>
    <row r="1018" spans="1:28" ht="15.75" customHeight="1" x14ac:dyDescent="0.25">
      <c r="A1018" s="113"/>
      <c r="B1018" s="113"/>
      <c r="C1018" s="113"/>
      <c r="D1018" s="113"/>
      <c r="E1018" s="113"/>
      <c r="F1018" s="113"/>
      <c r="G1018" s="113"/>
      <c r="H1018" s="113"/>
      <c r="I1018" s="113"/>
      <c r="J1018" s="113"/>
      <c r="K1018" s="113"/>
      <c r="L1018" s="113"/>
      <c r="M1018" s="113"/>
      <c r="N1018" s="113"/>
      <c r="O1018" s="113"/>
      <c r="P1018" s="113"/>
      <c r="Q1018" s="113"/>
      <c r="R1018" s="113"/>
      <c r="S1018" s="113"/>
      <c r="T1018" s="113"/>
      <c r="U1018" s="113"/>
      <c r="V1018" s="113"/>
      <c r="W1018" s="113"/>
      <c r="X1018" s="113"/>
      <c r="Y1018" s="113"/>
      <c r="Z1018" s="113"/>
      <c r="AA1018" s="113"/>
      <c r="AB1018" s="113"/>
    </row>
    <row r="1019" spans="1:28" ht="15.75" customHeight="1" x14ac:dyDescent="0.25">
      <c r="A1019" s="113"/>
      <c r="B1019" s="113"/>
      <c r="C1019" s="113"/>
      <c r="D1019" s="113"/>
      <c r="E1019" s="113"/>
      <c r="F1019" s="113"/>
      <c r="G1019" s="113"/>
      <c r="H1019" s="113"/>
      <c r="I1019" s="113"/>
      <c r="J1019" s="113"/>
      <c r="K1019" s="113"/>
      <c r="L1019" s="113"/>
      <c r="M1019" s="113"/>
      <c r="N1019" s="113"/>
      <c r="O1019" s="113"/>
      <c r="P1019" s="113"/>
      <c r="Q1019" s="113"/>
      <c r="R1019" s="113"/>
      <c r="S1019" s="113"/>
      <c r="T1019" s="113"/>
      <c r="U1019" s="113"/>
      <c r="V1019" s="113"/>
      <c r="W1019" s="113"/>
      <c r="X1019" s="113"/>
      <c r="Y1019" s="113"/>
      <c r="Z1019" s="113"/>
      <c r="AA1019" s="113"/>
      <c r="AB1019" s="113"/>
    </row>
    <row r="1020" spans="1:28" ht="15.75" customHeight="1" x14ac:dyDescent="0.25">
      <c r="A1020" s="113"/>
      <c r="B1020" s="113"/>
      <c r="C1020" s="113"/>
      <c r="D1020" s="113"/>
      <c r="E1020" s="113"/>
      <c r="F1020" s="113"/>
      <c r="G1020" s="113"/>
      <c r="H1020" s="113"/>
      <c r="I1020" s="113"/>
      <c r="J1020" s="113"/>
      <c r="K1020" s="113"/>
      <c r="L1020" s="113"/>
      <c r="M1020" s="113"/>
      <c r="N1020" s="113"/>
      <c r="O1020" s="113"/>
      <c r="P1020" s="113"/>
      <c r="Q1020" s="113"/>
      <c r="R1020" s="113"/>
      <c r="S1020" s="113"/>
      <c r="T1020" s="113"/>
      <c r="U1020" s="113"/>
      <c r="V1020" s="113"/>
      <c r="W1020" s="113"/>
      <c r="X1020" s="113"/>
      <c r="Y1020" s="113"/>
      <c r="Z1020" s="113"/>
      <c r="AA1020" s="113"/>
      <c r="AB1020" s="113"/>
    </row>
    <row r="1021" spans="1:28" ht="15.75" customHeight="1" x14ac:dyDescent="0.25">
      <c r="A1021" s="113"/>
      <c r="B1021" s="113"/>
      <c r="C1021" s="113"/>
      <c r="D1021" s="113"/>
      <c r="E1021" s="113"/>
      <c r="F1021" s="113"/>
      <c r="G1021" s="113"/>
      <c r="H1021" s="113"/>
      <c r="I1021" s="113"/>
      <c r="J1021" s="113"/>
      <c r="K1021" s="113"/>
      <c r="L1021" s="113"/>
      <c r="M1021" s="113"/>
      <c r="N1021" s="113"/>
      <c r="O1021" s="113"/>
      <c r="P1021" s="113"/>
      <c r="Q1021" s="113"/>
      <c r="R1021" s="113"/>
      <c r="S1021" s="113"/>
      <c r="T1021" s="113"/>
      <c r="U1021" s="113"/>
      <c r="V1021" s="113"/>
      <c r="W1021" s="113"/>
      <c r="X1021" s="113"/>
      <c r="Y1021" s="113"/>
      <c r="Z1021" s="113"/>
      <c r="AA1021" s="113"/>
      <c r="AB1021" s="113"/>
    </row>
    <row r="1022" spans="1:28" ht="15.75" customHeight="1" x14ac:dyDescent="0.25"/>
    <row r="1023" spans="1:28" ht="15.75" customHeight="1" x14ac:dyDescent="0.25"/>
    <row r="1024" spans="1:28"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sheetData>
  <mergeCells count="169">
    <mergeCell ref="A278:A282"/>
    <mergeCell ref="A506:A510"/>
    <mergeCell ref="A763:A767"/>
    <mergeCell ref="A428:A432"/>
    <mergeCell ref="A433:A437"/>
    <mergeCell ref="A438:A442"/>
    <mergeCell ref="A443:A447"/>
    <mergeCell ref="A448:A452"/>
    <mergeCell ref="A453:A457"/>
    <mergeCell ref="A458:A462"/>
    <mergeCell ref="A466:A470"/>
    <mergeCell ref="A471:A475"/>
    <mergeCell ref="A464:G464"/>
    <mergeCell ref="A380:A384"/>
    <mergeCell ref="A385:A389"/>
    <mergeCell ref="A390:A394"/>
    <mergeCell ref="A395:A399"/>
    <mergeCell ref="A403:A407"/>
    <mergeCell ref="A660:A664"/>
    <mergeCell ref="A665:A669"/>
    <mergeCell ref="A670:A674"/>
    <mergeCell ref="A675:A679"/>
    <mergeCell ref="A680:A684"/>
    <mergeCell ref="A685:A689"/>
    <mergeCell ref="A690:A694"/>
    <mergeCell ref="A607:A611"/>
    <mergeCell ref="A612:A616"/>
    <mergeCell ref="A652:A656"/>
    <mergeCell ref="A695:A699"/>
    <mergeCell ref="A784:H784"/>
    <mergeCell ref="B819:H819"/>
    <mergeCell ref="I819:O819"/>
    <mergeCell ref="A700:A704"/>
    <mergeCell ref="A705:A709"/>
    <mergeCell ref="A710:A714"/>
    <mergeCell ref="A715:A719"/>
    <mergeCell ref="A721:H721"/>
    <mergeCell ref="A786:A790"/>
    <mergeCell ref="A778:A782"/>
    <mergeCell ref="B820:H820"/>
    <mergeCell ref="I820:O820"/>
    <mergeCell ref="B821:H821"/>
    <mergeCell ref="I821:O821"/>
    <mergeCell ref="A723:A727"/>
    <mergeCell ref="A728:A732"/>
    <mergeCell ref="A733:A737"/>
    <mergeCell ref="A738:A742"/>
    <mergeCell ref="A743:A747"/>
    <mergeCell ref="A748:A752"/>
    <mergeCell ref="A753:A757"/>
    <mergeCell ref="A768:A772"/>
    <mergeCell ref="A758:A762"/>
    <mergeCell ref="A791:A795"/>
    <mergeCell ref="A773:A777"/>
    <mergeCell ref="A796:A800"/>
    <mergeCell ref="A801:A805"/>
    <mergeCell ref="A806:A810"/>
    <mergeCell ref="A573:A577"/>
    <mergeCell ref="A511:A515"/>
    <mergeCell ref="A658:H658"/>
    <mergeCell ref="A617:A621"/>
    <mergeCell ref="A622:A626"/>
    <mergeCell ref="A627:A631"/>
    <mergeCell ref="A632:A636"/>
    <mergeCell ref="A637:A641"/>
    <mergeCell ref="A642:A646"/>
    <mergeCell ref="A647:A651"/>
    <mergeCell ref="A527:G527"/>
    <mergeCell ref="A561:H561"/>
    <mergeCell ref="A595:H595"/>
    <mergeCell ref="A578:A582"/>
    <mergeCell ref="A583:A587"/>
    <mergeCell ref="A588:A592"/>
    <mergeCell ref="A597:A601"/>
    <mergeCell ref="A602:A606"/>
    <mergeCell ref="A529:A533"/>
    <mergeCell ref="A521:A525"/>
    <mergeCell ref="A549:A553"/>
    <mergeCell ref="A283:A287"/>
    <mergeCell ref="A476:A480"/>
    <mergeCell ref="A481:A485"/>
    <mergeCell ref="A486:A490"/>
    <mergeCell ref="A491:A495"/>
    <mergeCell ref="A496:A500"/>
    <mergeCell ref="A501:A505"/>
    <mergeCell ref="A563:A567"/>
    <mergeCell ref="A568:A572"/>
    <mergeCell ref="A408:A412"/>
    <mergeCell ref="A413:A417"/>
    <mergeCell ref="A418:A422"/>
    <mergeCell ref="A423:A427"/>
    <mergeCell ref="A302:A306"/>
    <mergeCell ref="A293:A297"/>
    <mergeCell ref="A307:A311"/>
    <mergeCell ref="A534:A538"/>
    <mergeCell ref="A288:A292"/>
    <mergeCell ref="A516:A520"/>
    <mergeCell ref="A312:A316"/>
    <mergeCell ref="A539:A543"/>
    <mergeCell ref="A317:A321"/>
    <mergeCell ref="A544:A548"/>
    <mergeCell ref="A322:A326"/>
    <mergeCell ref="A215:A219"/>
    <mergeCell ref="A220:A224"/>
    <mergeCell ref="A225:A229"/>
    <mergeCell ref="A230:A234"/>
    <mergeCell ref="A236:N236"/>
    <mergeCell ref="A273:A277"/>
    <mergeCell ref="A300:N300"/>
    <mergeCell ref="A338:G338"/>
    <mergeCell ref="A401:G401"/>
    <mergeCell ref="A238:A242"/>
    <mergeCell ref="A243:A247"/>
    <mergeCell ref="A248:A252"/>
    <mergeCell ref="A253:A257"/>
    <mergeCell ref="A258:A262"/>
    <mergeCell ref="A263:A267"/>
    <mergeCell ref="A268:A272"/>
    <mergeCell ref="A340:A344"/>
    <mergeCell ref="A345:A349"/>
    <mergeCell ref="A350:A354"/>
    <mergeCell ref="A355:A359"/>
    <mergeCell ref="A360:A364"/>
    <mergeCell ref="A365:A369"/>
    <mergeCell ref="A370:A374"/>
    <mergeCell ref="A375:A379"/>
    <mergeCell ref="A173:N173"/>
    <mergeCell ref="A103:A107"/>
    <mergeCell ref="A112:A116"/>
    <mergeCell ref="A117:A121"/>
    <mergeCell ref="A122:A126"/>
    <mergeCell ref="A127:A131"/>
    <mergeCell ref="A132:A136"/>
    <mergeCell ref="A137:A141"/>
    <mergeCell ref="A210:A214"/>
    <mergeCell ref="A175:A179"/>
    <mergeCell ref="A180:A184"/>
    <mergeCell ref="A185:A189"/>
    <mergeCell ref="A190:A194"/>
    <mergeCell ref="A195:A199"/>
    <mergeCell ref="A200:A204"/>
    <mergeCell ref="A205:A209"/>
    <mergeCell ref="A93:A97"/>
    <mergeCell ref="A98:A102"/>
    <mergeCell ref="A110:N110"/>
    <mergeCell ref="A142:A146"/>
    <mergeCell ref="A147:A151"/>
    <mergeCell ref="A152:A156"/>
    <mergeCell ref="A157:A161"/>
    <mergeCell ref="A162:A166"/>
    <mergeCell ref="A167:A171"/>
    <mergeCell ref="A1:B3"/>
    <mergeCell ref="C1:N1"/>
    <mergeCell ref="C2:N2"/>
    <mergeCell ref="C3:G3"/>
    <mergeCell ref="H3:N3"/>
    <mergeCell ref="A4:B4"/>
    <mergeCell ref="C4:N4"/>
    <mergeCell ref="A5:B5"/>
    <mergeCell ref="C5:N5"/>
    <mergeCell ref="A7:H7"/>
    <mergeCell ref="A16:H16"/>
    <mergeCell ref="A31:H31"/>
    <mergeCell ref="A46:H46"/>
    <mergeCell ref="A61:H61"/>
    <mergeCell ref="A76:N76"/>
    <mergeCell ref="A78:A82"/>
    <mergeCell ref="A83:A87"/>
    <mergeCell ref="A88:A92"/>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dcterms:created xsi:type="dcterms:W3CDTF">2010-03-25T16:40:43Z</dcterms:created>
  <dcterms:modified xsi:type="dcterms:W3CDTF">2024-08-02T16:08:36Z</dcterms:modified>
</cp:coreProperties>
</file>