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C:\Users\YULIED.PENARANDA.SDA\Desktop\2021\AGOSTO\PARA PUBLICAR\PARA PUBLICAR\PLAN DE ACCION II-TRIM-2021\"/>
    </mc:Choice>
  </mc:AlternateContent>
  <xr:revisionPtr revIDLastSave="0" documentId="13_ncr:1_{00840911-D4AB-4093-9661-962F98C3A5F7}" xr6:coauthVersionLast="47" xr6:coauthVersionMax="47" xr10:uidLastSave="{00000000-0000-0000-0000-000000000000}"/>
  <bookViews>
    <workbookView xWindow="-120" yWindow="-120" windowWidth="20730" windowHeight="11160" activeTab="1" xr2:uid="{00000000-000D-0000-FFFF-FFFF00000000}"/>
  </bookViews>
  <sheets>
    <sheet name="GESTIÓN" sheetId="5" r:id="rId1"/>
    <sheet name="INVERSIÓN" sheetId="6" r:id="rId2"/>
    <sheet name="ACTIVIDADES" sheetId="7" r:id="rId3"/>
    <sheet name="TERRITORIALIZACIÓN" sheetId="15" r:id="rId4"/>
    <sheet name="SPI." sheetId="16" r:id="rId5"/>
    <sheet name="SPI" sheetId="14" state="hidden" r:id="rId6"/>
  </sheets>
  <externalReferences>
    <externalReference r:id="rId7"/>
    <externalReference r:id="rId8"/>
    <externalReference r:id="rId9"/>
    <externalReference r:id="rId10"/>
  </externalReferences>
  <definedNames>
    <definedName name="_xlnm._FilterDatabase" localSheetId="2" hidden="1">ACTIVIDADES!$A$8:$X$8</definedName>
    <definedName name="_xlnm._FilterDatabase" localSheetId="0" hidden="1">GESTIÓN!$A$11:$FC$11</definedName>
    <definedName name="_xlnm._FilterDatabase" localSheetId="1" hidden="1">INVERSIÓN!$A$9:$FB$61</definedName>
    <definedName name="_xlnm.Print_Area" localSheetId="2">ACTIVIDADES!$A$1:$V$70</definedName>
    <definedName name="_xlnm.Print_Area" localSheetId="0">GESTIÓN!$A$1:$FC$19</definedName>
    <definedName name="_xlnm.Print_Area" localSheetId="1">INVERSIÓN!$A$1:$FA$62</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10" i="16" l="1"/>
  <c r="G609" i="16"/>
  <c r="G608" i="16"/>
  <c r="G607" i="16"/>
  <c r="G606" i="16"/>
  <c r="G605" i="16"/>
  <c r="G604" i="16"/>
  <c r="G603" i="16"/>
  <c r="G602" i="16"/>
  <c r="G601" i="16"/>
  <c r="G600" i="16"/>
  <c r="G599" i="16"/>
  <c r="G595" i="16"/>
  <c r="G594" i="16"/>
  <c r="G593" i="16"/>
  <c r="G592" i="16"/>
  <c r="G591" i="16"/>
  <c r="G590" i="16"/>
  <c r="G589" i="16"/>
  <c r="G588" i="16"/>
  <c r="G587" i="16"/>
  <c r="G586" i="16"/>
  <c r="G585" i="16"/>
  <c r="G584" i="16"/>
  <c r="G580" i="16"/>
  <c r="G579" i="16"/>
  <c r="G578" i="16"/>
  <c r="G577" i="16"/>
  <c r="G576" i="16"/>
  <c r="G575" i="16"/>
  <c r="G574" i="16"/>
  <c r="G573" i="16"/>
  <c r="G572" i="16"/>
  <c r="G571" i="16"/>
  <c r="G570" i="16"/>
  <c r="G569" i="16"/>
  <c r="G565" i="16"/>
  <c r="G564" i="16"/>
  <c r="G563" i="16"/>
  <c r="G562" i="16"/>
  <c r="G561" i="16"/>
  <c r="G560" i="16"/>
  <c r="G559" i="16"/>
  <c r="G558" i="16"/>
  <c r="G557" i="16"/>
  <c r="G556" i="16"/>
  <c r="G555" i="16"/>
  <c r="G554" i="16"/>
  <c r="G553" i="16"/>
  <c r="G552" i="16"/>
  <c r="G551" i="16"/>
  <c r="G550" i="16"/>
  <c r="G549" i="16"/>
  <c r="G548" i="16"/>
  <c r="G547" i="16"/>
  <c r="G546" i="16"/>
  <c r="G545" i="16"/>
  <c r="G544" i="16"/>
  <c r="G543" i="16"/>
  <c r="G542" i="16"/>
  <c r="G541" i="16"/>
  <c r="G540" i="16"/>
  <c r="G539" i="16"/>
  <c r="G538" i="16"/>
  <c r="G537" i="16"/>
  <c r="G536" i="16"/>
  <c r="G535" i="16"/>
  <c r="G534" i="16"/>
  <c r="G533" i="16"/>
  <c r="G532" i="16"/>
  <c r="G531" i="16"/>
  <c r="G530" i="16"/>
  <c r="G529" i="16"/>
  <c r="G528" i="16"/>
  <c r="G527" i="16"/>
  <c r="G526" i="16"/>
  <c r="G525" i="16"/>
  <c r="G524" i="16"/>
  <c r="G523" i="16"/>
  <c r="G522" i="16"/>
  <c r="G521" i="16"/>
  <c r="G520" i="16"/>
  <c r="G519" i="16"/>
  <c r="G518" i="16"/>
  <c r="F514" i="16"/>
  <c r="G514" i="16" s="1"/>
  <c r="E514" i="16"/>
  <c r="G513" i="16"/>
  <c r="F513" i="16"/>
  <c r="E513" i="16"/>
  <c r="F512" i="16"/>
  <c r="G512" i="16" s="1"/>
  <c r="E512" i="16"/>
  <c r="G511" i="16"/>
  <c r="F510" i="16"/>
  <c r="G510" i="16" s="1"/>
  <c r="E510" i="16"/>
  <c r="F509" i="16"/>
  <c r="E509" i="16"/>
  <c r="G509" i="16" s="1"/>
  <c r="G508" i="16"/>
  <c r="H507" i="16"/>
  <c r="F507" i="16"/>
  <c r="G507" i="16" s="1"/>
  <c r="E507" i="16"/>
  <c r="H506" i="16"/>
  <c r="F506" i="16"/>
  <c r="G506" i="16" s="1"/>
  <c r="E506" i="16"/>
  <c r="H505" i="16"/>
  <c r="F505" i="16"/>
  <c r="G505" i="16" s="1"/>
  <c r="E505" i="16"/>
  <c r="H504" i="16"/>
  <c r="G504" i="16"/>
  <c r="H503" i="16"/>
  <c r="F503" i="16"/>
  <c r="G503" i="16" s="1"/>
  <c r="E503" i="16"/>
  <c r="H502" i="16"/>
  <c r="F502" i="16"/>
  <c r="G502" i="16" s="1"/>
  <c r="E502" i="16"/>
  <c r="H501" i="16"/>
  <c r="G501" i="16"/>
  <c r="F500" i="16"/>
  <c r="G500" i="16" s="1"/>
  <c r="E500" i="16"/>
  <c r="F499" i="16"/>
  <c r="G499" i="16" s="1"/>
  <c r="E499" i="16"/>
  <c r="F498" i="16"/>
  <c r="G498" i="16" s="1"/>
  <c r="E498" i="16"/>
  <c r="G497" i="16"/>
  <c r="F496" i="16"/>
  <c r="G496" i="16" s="1"/>
  <c r="E496" i="16"/>
  <c r="H495" i="16"/>
  <c r="F495" i="16"/>
  <c r="G495" i="16" s="1"/>
  <c r="E495" i="16"/>
  <c r="G494" i="16"/>
  <c r="H493" i="16"/>
  <c r="F493" i="16"/>
  <c r="G493" i="16" s="1"/>
  <c r="E493" i="16"/>
  <c r="H492" i="16"/>
  <c r="F492" i="16"/>
  <c r="G492" i="16" s="1"/>
  <c r="E492" i="16"/>
  <c r="H491" i="16"/>
  <c r="F491" i="16"/>
  <c r="G491" i="16" s="1"/>
  <c r="E491" i="16"/>
  <c r="H490" i="16"/>
  <c r="G490" i="16"/>
  <c r="H489" i="16"/>
  <c r="F489" i="16"/>
  <c r="G489" i="16" s="1"/>
  <c r="E489" i="16"/>
  <c r="H488" i="16"/>
  <c r="F488" i="16"/>
  <c r="G488" i="16" s="1"/>
  <c r="E488" i="16"/>
  <c r="H487" i="16"/>
  <c r="G487" i="16"/>
  <c r="H486" i="16"/>
  <c r="F486" i="16"/>
  <c r="G486" i="16" s="1"/>
  <c r="E486" i="16"/>
  <c r="H485" i="16"/>
  <c r="F485" i="16"/>
  <c r="G485" i="16" s="1"/>
  <c r="E485" i="16"/>
  <c r="H484" i="16"/>
  <c r="F484" i="16"/>
  <c r="G484" i="16" s="1"/>
  <c r="E484" i="16"/>
  <c r="H483" i="16"/>
  <c r="G483" i="16"/>
  <c r="H482" i="16"/>
  <c r="F482" i="16"/>
  <c r="G482" i="16" s="1"/>
  <c r="E482" i="16"/>
  <c r="H481" i="16"/>
  <c r="F481" i="16"/>
  <c r="G481" i="16" s="1"/>
  <c r="E481" i="16"/>
  <c r="H480" i="16"/>
  <c r="G480" i="16"/>
  <c r="H479" i="16"/>
  <c r="F479" i="16"/>
  <c r="G479" i="16" s="1"/>
  <c r="E479" i="16"/>
  <c r="H478" i="16"/>
  <c r="F478" i="16"/>
  <c r="G478" i="16" s="1"/>
  <c r="E478" i="16"/>
  <c r="H477" i="16"/>
  <c r="F477" i="16"/>
  <c r="G477" i="16" s="1"/>
  <c r="E477" i="16"/>
  <c r="H476" i="16"/>
  <c r="G476" i="16"/>
  <c r="H475" i="16"/>
  <c r="F475" i="16"/>
  <c r="G475" i="16" s="1"/>
  <c r="E475" i="16"/>
  <c r="H474" i="16"/>
  <c r="F474" i="16"/>
  <c r="G474" i="16" s="1"/>
  <c r="E474" i="16"/>
  <c r="H473" i="16"/>
  <c r="G473" i="16"/>
  <c r="F373" i="16"/>
  <c r="E373" i="16"/>
  <c r="F372" i="16"/>
  <c r="E372" i="16"/>
  <c r="F371" i="16"/>
  <c r="E371" i="16"/>
  <c r="F370" i="16"/>
  <c r="E370" i="16"/>
  <c r="F369" i="16"/>
  <c r="E369" i="16"/>
  <c r="F368" i="16"/>
  <c r="E368" i="16"/>
  <c r="F367" i="16"/>
  <c r="E367" i="16"/>
  <c r="F366" i="16"/>
  <c r="E366" i="16"/>
  <c r="F365" i="16"/>
  <c r="E365" i="16"/>
  <c r="F364" i="16"/>
  <c r="E364" i="16"/>
  <c r="F363" i="16"/>
  <c r="E363" i="16"/>
  <c r="F362" i="16"/>
  <c r="E362" i="16"/>
  <c r="F361" i="16"/>
  <c r="E361" i="16"/>
  <c r="F360" i="16"/>
  <c r="E360" i="16"/>
  <c r="F359" i="16"/>
  <c r="E359" i="16"/>
  <c r="F358" i="16"/>
  <c r="E358" i="16"/>
  <c r="F357" i="16"/>
  <c r="E357" i="16"/>
  <c r="F356" i="16"/>
  <c r="E356" i="16"/>
  <c r="F355" i="16"/>
  <c r="E355" i="16"/>
  <c r="F354" i="16"/>
  <c r="E354" i="16"/>
  <c r="F353" i="16"/>
  <c r="E353" i="16"/>
  <c r="F352" i="16"/>
  <c r="E352" i="16"/>
  <c r="F351" i="16"/>
  <c r="E351" i="16"/>
  <c r="F350" i="16"/>
  <c r="E350" i="16"/>
  <c r="F349" i="16"/>
  <c r="E349" i="16"/>
  <c r="F348" i="16"/>
  <c r="E348" i="16"/>
  <c r="F347" i="16"/>
  <c r="E347" i="16"/>
  <c r="F346" i="16"/>
  <c r="E346" i="16"/>
  <c r="F345" i="16"/>
  <c r="E345" i="16"/>
  <c r="F344" i="16"/>
  <c r="E344" i="16"/>
  <c r="F343" i="16"/>
  <c r="E343" i="16"/>
  <c r="F342" i="16"/>
  <c r="E342" i="16"/>
  <c r="F341" i="16"/>
  <c r="E341" i="16"/>
  <c r="F340" i="16"/>
  <c r="E340" i="16"/>
  <c r="F339" i="16"/>
  <c r="E339" i="16"/>
  <c r="F338" i="16"/>
  <c r="E338" i="16"/>
  <c r="F337" i="16"/>
  <c r="E337" i="16"/>
  <c r="F336" i="16"/>
  <c r="E336" i="16"/>
  <c r="F335" i="16"/>
  <c r="E335" i="16"/>
  <c r="F334" i="16"/>
  <c r="E334" i="16"/>
  <c r="F333" i="16"/>
  <c r="E333" i="16"/>
  <c r="F332" i="16"/>
  <c r="E332" i="16"/>
  <c r="M328" i="16"/>
  <c r="J328" i="16"/>
  <c r="M327" i="16"/>
  <c r="J327" i="16"/>
  <c r="M326" i="16"/>
  <c r="J326" i="16"/>
  <c r="M325" i="16"/>
  <c r="J325" i="16"/>
  <c r="M324" i="16"/>
  <c r="J324" i="16"/>
  <c r="M323" i="16"/>
  <c r="J323" i="16"/>
  <c r="M322" i="16"/>
  <c r="J322" i="16"/>
  <c r="M321" i="16"/>
  <c r="J321" i="16"/>
  <c r="M320" i="16"/>
  <c r="J320" i="16"/>
  <c r="M319" i="16"/>
  <c r="J319" i="16"/>
  <c r="M318" i="16"/>
  <c r="J318" i="16"/>
  <c r="M317" i="16"/>
  <c r="J317" i="16"/>
  <c r="M313" i="16"/>
  <c r="J313" i="16"/>
  <c r="M312" i="16"/>
  <c r="J312" i="16"/>
  <c r="M311" i="16"/>
  <c r="J311" i="16"/>
  <c r="M310" i="16"/>
  <c r="J310" i="16"/>
  <c r="M309" i="16"/>
  <c r="J309" i="16"/>
  <c r="M308" i="16"/>
  <c r="J308" i="16"/>
  <c r="M307" i="16"/>
  <c r="J307" i="16"/>
  <c r="M306" i="16"/>
  <c r="J306" i="16"/>
  <c r="M305" i="16"/>
  <c r="J305" i="16"/>
  <c r="M304" i="16"/>
  <c r="J304" i="16"/>
  <c r="M303" i="16"/>
  <c r="J303" i="16"/>
  <c r="M302" i="16"/>
  <c r="J302" i="16"/>
  <c r="M298" i="16"/>
  <c r="J298" i="16"/>
  <c r="M297" i="16"/>
  <c r="J297" i="16"/>
  <c r="M296" i="16"/>
  <c r="J296" i="16"/>
  <c r="M295" i="16"/>
  <c r="J295" i="16"/>
  <c r="M294" i="16"/>
  <c r="J294" i="16"/>
  <c r="M293" i="16"/>
  <c r="J293" i="16"/>
  <c r="M292" i="16"/>
  <c r="J292" i="16"/>
  <c r="M291" i="16"/>
  <c r="J291" i="16"/>
  <c r="M290" i="16"/>
  <c r="J290" i="16"/>
  <c r="M289" i="16"/>
  <c r="J289" i="16"/>
  <c r="M288" i="16"/>
  <c r="J288" i="16"/>
  <c r="M287" i="16"/>
  <c r="J287" i="16"/>
  <c r="M283" i="16"/>
  <c r="J283" i="16"/>
  <c r="M282" i="16"/>
  <c r="J282" i="16"/>
  <c r="M281" i="16"/>
  <c r="J281" i="16"/>
  <c r="M280" i="16"/>
  <c r="J280" i="16"/>
  <c r="M279" i="16"/>
  <c r="J279" i="16"/>
  <c r="M278" i="16"/>
  <c r="J278" i="16"/>
  <c r="I277" i="16"/>
  <c r="H277" i="16"/>
  <c r="J277" i="16" s="1"/>
  <c r="I276" i="16"/>
  <c r="J276" i="16" s="1"/>
  <c r="H276" i="16"/>
  <c r="J275" i="16"/>
  <c r="I275" i="16"/>
  <c r="H275" i="16"/>
  <c r="I274" i="16"/>
  <c r="J274" i="16" s="1"/>
  <c r="H274" i="16"/>
  <c r="I273" i="16"/>
  <c r="H273" i="16"/>
  <c r="J273" i="16" s="1"/>
  <c r="I272" i="16"/>
  <c r="J272" i="16" s="1"/>
  <c r="H272" i="16"/>
  <c r="J271" i="16"/>
  <c r="I271" i="16"/>
  <c r="H271" i="16"/>
  <c r="H270" i="16"/>
  <c r="J270" i="16" s="1"/>
  <c r="H269" i="16"/>
  <c r="J269" i="16" s="1"/>
  <c r="H268" i="16"/>
  <c r="J268" i="16" s="1"/>
  <c r="H267" i="16"/>
  <c r="J267" i="16" s="1"/>
  <c r="H266" i="16"/>
  <c r="J266" i="16" s="1"/>
  <c r="H265" i="16"/>
  <c r="J265" i="16" s="1"/>
  <c r="H264" i="16"/>
  <c r="J264" i="16" s="1"/>
  <c r="J263" i="16"/>
  <c r="J262" i="16"/>
  <c r="J261" i="16"/>
  <c r="J260" i="16"/>
  <c r="J259" i="16"/>
  <c r="J258" i="16"/>
  <c r="J257" i="16"/>
  <c r="J256" i="16"/>
  <c r="J255" i="16"/>
  <c r="J254" i="16"/>
  <c r="J253" i="16"/>
  <c r="J252" i="16"/>
  <c r="J251" i="16"/>
  <c r="J250" i="16"/>
  <c r="J249" i="16"/>
  <c r="J248" i="16"/>
  <c r="J247" i="16"/>
  <c r="J246" i="16"/>
  <c r="J245" i="16"/>
  <c r="J244" i="16"/>
  <c r="J243" i="16"/>
  <c r="J242" i="16"/>
  <c r="J241" i="16"/>
  <c r="J240" i="16"/>
  <c r="J239" i="16"/>
  <c r="J238" i="16"/>
  <c r="J237" i="16"/>
  <c r="J236" i="16"/>
  <c r="M232" i="16"/>
  <c r="I232" i="16"/>
  <c r="H232" i="16"/>
  <c r="J232" i="16" s="1"/>
  <c r="M231" i="16"/>
  <c r="I231" i="16"/>
  <c r="H231" i="16"/>
  <c r="J231" i="16" s="1"/>
  <c r="M230" i="16"/>
  <c r="I230" i="16"/>
  <c r="H230" i="16"/>
  <c r="J230" i="16" s="1"/>
  <c r="M229" i="16"/>
  <c r="I229" i="16"/>
  <c r="H229" i="16"/>
  <c r="J229" i="16" s="1"/>
  <c r="M228" i="16"/>
  <c r="I228" i="16"/>
  <c r="H228" i="16"/>
  <c r="J228" i="16" s="1"/>
  <c r="M227" i="16"/>
  <c r="I227" i="16"/>
  <c r="H227" i="16"/>
  <c r="J227" i="16" s="1"/>
  <c r="M226" i="16"/>
  <c r="I226" i="16"/>
  <c r="H226" i="16"/>
  <c r="J226" i="16" s="1"/>
  <c r="M225" i="16"/>
  <c r="I225" i="16"/>
  <c r="H225" i="16"/>
  <c r="J225" i="16" s="1"/>
  <c r="M224" i="16"/>
  <c r="I224" i="16"/>
  <c r="H224" i="16"/>
  <c r="J224" i="16" s="1"/>
  <c r="M223" i="16"/>
  <c r="I223" i="16"/>
  <c r="H223" i="16"/>
  <c r="J223" i="16" s="1"/>
  <c r="M222" i="16"/>
  <c r="I222" i="16"/>
  <c r="H222" i="16"/>
  <c r="J222" i="16" s="1"/>
  <c r="M221" i="16"/>
  <c r="I221" i="16"/>
  <c r="H221" i="16"/>
  <c r="J221" i="16" s="1"/>
  <c r="M220" i="16"/>
  <c r="I220" i="16"/>
  <c r="H220" i="16"/>
  <c r="J220" i="16" s="1"/>
  <c r="M219" i="16"/>
  <c r="I219" i="16"/>
  <c r="H219" i="16"/>
  <c r="J219" i="16" s="1"/>
  <c r="N218" i="16"/>
  <c r="H500" i="16" s="1"/>
  <c r="M218" i="16"/>
  <c r="I218" i="16"/>
  <c r="J218" i="16" s="1"/>
  <c r="H218" i="16"/>
  <c r="N217" i="16"/>
  <c r="H499" i="16" s="1"/>
  <c r="M217" i="16"/>
  <c r="J217" i="16"/>
  <c r="I217" i="16"/>
  <c r="H217" i="16"/>
  <c r="N216" i="16"/>
  <c r="H498" i="16" s="1"/>
  <c r="M216" i="16"/>
  <c r="I216" i="16"/>
  <c r="J216" i="16" s="1"/>
  <c r="H216" i="16"/>
  <c r="N215" i="16"/>
  <c r="H497" i="16" s="1"/>
  <c r="M215" i="16"/>
  <c r="I215" i="16"/>
  <c r="H215" i="16"/>
  <c r="J215" i="16" s="1"/>
  <c r="N214" i="16"/>
  <c r="H496" i="16" s="1"/>
  <c r="M214" i="16"/>
  <c r="I214" i="16"/>
  <c r="J214" i="16" s="1"/>
  <c r="H214" i="16"/>
  <c r="N213" i="16"/>
  <c r="M213" i="16"/>
  <c r="J213" i="16"/>
  <c r="I213" i="16"/>
  <c r="H213" i="16"/>
  <c r="N212" i="16"/>
  <c r="H494" i="16" s="1"/>
  <c r="M212" i="16"/>
  <c r="I212" i="16"/>
  <c r="J212" i="16" s="1"/>
  <c r="H212" i="16"/>
  <c r="M211" i="16"/>
  <c r="I211" i="16"/>
  <c r="J211" i="16" s="1"/>
  <c r="H211" i="16"/>
  <c r="M210" i="16"/>
  <c r="I210" i="16"/>
  <c r="J210" i="16" s="1"/>
  <c r="H210" i="16"/>
  <c r="M209" i="16"/>
  <c r="I209" i="16"/>
  <c r="J209" i="16" s="1"/>
  <c r="H209" i="16"/>
  <c r="M208" i="16"/>
  <c r="I208" i="16"/>
  <c r="J208" i="16" s="1"/>
  <c r="H208" i="16"/>
  <c r="M207" i="16"/>
  <c r="I207" i="16"/>
  <c r="J207" i="16" s="1"/>
  <c r="H207" i="16"/>
  <c r="M206" i="16"/>
  <c r="I206" i="16"/>
  <c r="J206" i="16" s="1"/>
  <c r="H206" i="16"/>
  <c r="M205" i="16"/>
  <c r="I205" i="16"/>
  <c r="J205" i="16" s="1"/>
  <c r="H205" i="16"/>
  <c r="M204" i="16"/>
  <c r="I204" i="16"/>
  <c r="J204" i="16" s="1"/>
  <c r="H204" i="16"/>
  <c r="M203" i="16"/>
  <c r="I203" i="16"/>
  <c r="J203" i="16" s="1"/>
  <c r="H203" i="16"/>
  <c r="M202" i="16"/>
  <c r="I202" i="16"/>
  <c r="J202" i="16" s="1"/>
  <c r="H202" i="16"/>
  <c r="M201" i="16"/>
  <c r="I201" i="16"/>
  <c r="J201" i="16" s="1"/>
  <c r="H201" i="16"/>
  <c r="M200" i="16"/>
  <c r="I200" i="16"/>
  <c r="J200" i="16" s="1"/>
  <c r="H200" i="16"/>
  <c r="M199" i="16"/>
  <c r="I199" i="16"/>
  <c r="J199" i="16" s="1"/>
  <c r="H199" i="16"/>
  <c r="M198" i="16"/>
  <c r="I198" i="16"/>
  <c r="J198" i="16" s="1"/>
  <c r="H198" i="16"/>
  <c r="M197" i="16"/>
  <c r="I197" i="16"/>
  <c r="J197" i="16" s="1"/>
  <c r="H197" i="16"/>
  <c r="M196" i="16"/>
  <c r="I196" i="16"/>
  <c r="J196" i="16" s="1"/>
  <c r="H196" i="16"/>
  <c r="M195" i="16"/>
  <c r="I195" i="16"/>
  <c r="J195" i="16" s="1"/>
  <c r="H195" i="16"/>
  <c r="M194" i="16"/>
  <c r="I194" i="16"/>
  <c r="J194" i="16" s="1"/>
  <c r="H194" i="16"/>
  <c r="M193" i="16"/>
  <c r="I193" i="16"/>
  <c r="J193" i="16" s="1"/>
  <c r="H193" i="16"/>
  <c r="M192" i="16"/>
  <c r="I192" i="16"/>
  <c r="J192" i="16" s="1"/>
  <c r="H192" i="16"/>
  <c r="M191" i="16"/>
  <c r="I191" i="16"/>
  <c r="J191" i="16" s="1"/>
  <c r="H191" i="16"/>
  <c r="H187" i="16"/>
  <c r="H186" i="16"/>
  <c r="H185" i="16"/>
  <c r="H184" i="16"/>
  <c r="H183" i="16"/>
  <c r="H182" i="16"/>
  <c r="H181" i="16"/>
  <c r="H180" i="16"/>
  <c r="H179" i="16"/>
  <c r="H178" i="16"/>
  <c r="H177" i="16"/>
  <c r="H176" i="16"/>
  <c r="H172" i="16"/>
  <c r="H171" i="16"/>
  <c r="H170" i="16"/>
  <c r="H169" i="16"/>
  <c r="H168" i="16"/>
  <c r="H167" i="16"/>
  <c r="H166" i="16"/>
  <c r="H165" i="16"/>
  <c r="H164" i="16"/>
  <c r="H163" i="16"/>
  <c r="H162" i="16"/>
  <c r="H161" i="16"/>
  <c r="H157" i="16"/>
  <c r="H156" i="16"/>
  <c r="H155" i="16"/>
  <c r="H154" i="16"/>
  <c r="H153" i="16"/>
  <c r="H152" i="16"/>
  <c r="H151" i="16"/>
  <c r="H150" i="16"/>
  <c r="H149" i="16"/>
  <c r="H148" i="16"/>
  <c r="H147" i="16"/>
  <c r="H146" i="16"/>
  <c r="I142" i="16"/>
  <c r="I141" i="16"/>
  <c r="I140" i="16"/>
  <c r="I139" i="16"/>
  <c r="I138" i="16"/>
  <c r="I137" i="16"/>
  <c r="I114" i="16"/>
  <c r="I113" i="16"/>
  <c r="I112" i="16"/>
  <c r="I111" i="16"/>
  <c r="I109" i="16"/>
  <c r="I107" i="16"/>
  <c r="I106" i="16"/>
  <c r="I105" i="16"/>
  <c r="I104" i="16"/>
  <c r="I103" i="16"/>
  <c r="I101" i="16"/>
  <c r="I100" i="16"/>
  <c r="I98" i="16"/>
  <c r="I96" i="16"/>
  <c r="I95" i="16"/>
  <c r="I94" i="16"/>
  <c r="I93" i="16"/>
  <c r="I92" i="16"/>
  <c r="I90" i="16"/>
  <c r="I89" i="16"/>
  <c r="I87" i="16"/>
  <c r="I85" i="16"/>
  <c r="I84" i="16"/>
  <c r="I83" i="16"/>
  <c r="I82" i="16"/>
  <c r="H68" i="16"/>
  <c r="I68" i="16" s="1"/>
  <c r="H67" i="16"/>
  <c r="I67" i="16" s="1"/>
  <c r="H66" i="16"/>
  <c r="I66" i="16" s="1"/>
  <c r="H65" i="16"/>
  <c r="I65" i="16" s="1"/>
  <c r="I64" i="16"/>
  <c r="I63" i="16"/>
  <c r="H63" i="16"/>
  <c r="I62" i="16"/>
  <c r="H62" i="16"/>
  <c r="I61" i="16"/>
  <c r="H61" i="16"/>
  <c r="I60" i="16"/>
  <c r="H60" i="16"/>
  <c r="I59" i="16"/>
  <c r="H59" i="16"/>
  <c r="I58" i="16"/>
  <c r="I57" i="16"/>
  <c r="I56" i="16"/>
  <c r="I55" i="16"/>
  <c r="I53" i="16"/>
  <c r="I52" i="16"/>
  <c r="I50" i="16"/>
  <c r="I49" i="16"/>
  <c r="I48" i="16"/>
  <c r="I47" i="16"/>
  <c r="I46" i="16"/>
  <c r="I45" i="16"/>
  <c r="I43" i="16"/>
  <c r="I42" i="16"/>
  <c r="I40" i="16"/>
  <c r="I39" i="16"/>
  <c r="I38" i="16"/>
  <c r="AE102" i="15"/>
  <c r="O102" i="15"/>
  <c r="N102" i="15"/>
  <c r="AE101" i="15"/>
  <c r="AD101" i="15"/>
  <c r="AC101" i="15"/>
  <c r="AB101" i="15"/>
  <c r="AA101" i="15"/>
  <c r="Z101" i="15"/>
  <c r="R101" i="15"/>
  <c r="Q101" i="15"/>
  <c r="P101" i="15"/>
  <c r="O101" i="15"/>
  <c r="N101" i="15"/>
  <c r="M101" i="15"/>
  <c r="L101" i="15"/>
  <c r="AE100" i="15"/>
  <c r="AD100" i="15"/>
  <c r="AD102" i="15" s="1"/>
  <c r="AC100" i="15"/>
  <c r="AC102" i="15" s="1"/>
  <c r="AB100" i="15"/>
  <c r="AB102" i="15" s="1"/>
  <c r="AA100" i="15"/>
  <c r="AA102" i="15" s="1"/>
  <c r="Z100" i="15"/>
  <c r="Z102" i="15" s="1"/>
  <c r="T100" i="15"/>
  <c r="T102" i="15" s="1"/>
  <c r="R100" i="15"/>
  <c r="R102" i="15" s="1"/>
  <c r="Q100" i="15"/>
  <c r="Q102" i="15" s="1"/>
  <c r="P100" i="15"/>
  <c r="P102" i="15" s="1"/>
  <c r="O100" i="15"/>
  <c r="N100" i="15"/>
  <c r="M100" i="15"/>
  <c r="M102" i="15" s="1"/>
  <c r="L100" i="15"/>
  <c r="L102" i="15" s="1"/>
  <c r="K100" i="15"/>
  <c r="K102" i="15" s="1"/>
  <c r="X99" i="15"/>
  <c r="W99" i="15"/>
  <c r="V99" i="15"/>
  <c r="T99" i="15"/>
  <c r="L99" i="15"/>
  <c r="I99" i="15"/>
  <c r="H99" i="15"/>
  <c r="E99" i="15"/>
  <c r="E98" i="15"/>
  <c r="Y97" i="15"/>
  <c r="X97" i="15"/>
  <c r="W97" i="15"/>
  <c r="V97" i="15"/>
  <c r="U97" i="15"/>
  <c r="T97" i="15"/>
  <c r="K97" i="15"/>
  <c r="J97" i="15"/>
  <c r="I97" i="15"/>
  <c r="H97" i="15"/>
  <c r="G97" i="15"/>
  <c r="F97" i="15"/>
  <c r="F99" i="15" s="1"/>
  <c r="Y96" i="15"/>
  <c r="Y98" i="15" s="1"/>
  <c r="X96" i="15"/>
  <c r="W96" i="15"/>
  <c r="V96" i="15"/>
  <c r="U96" i="15"/>
  <c r="T96" i="15"/>
  <c r="K96" i="15"/>
  <c r="J96" i="15"/>
  <c r="I96" i="15"/>
  <c r="H96" i="15"/>
  <c r="G96" i="15"/>
  <c r="F96" i="15"/>
  <c r="Y95" i="15"/>
  <c r="Y99" i="15" s="1"/>
  <c r="X95" i="15"/>
  <c r="W95" i="15"/>
  <c r="V95" i="15"/>
  <c r="U95" i="15"/>
  <c r="U99" i="15" s="1"/>
  <c r="T95" i="15"/>
  <c r="K95" i="15"/>
  <c r="K99" i="15" s="1"/>
  <c r="J95" i="15"/>
  <c r="J99" i="15" s="1"/>
  <c r="I95" i="15"/>
  <c r="H95" i="15"/>
  <c r="G95" i="15"/>
  <c r="G99" i="15" s="1"/>
  <c r="AX94" i="15"/>
  <c r="X94" i="15"/>
  <c r="X98" i="15" s="1"/>
  <c r="W94" i="15"/>
  <c r="W98" i="15" s="1"/>
  <c r="V94" i="15"/>
  <c r="V98" i="15" s="1"/>
  <c r="U94" i="15"/>
  <c r="U98" i="15" s="1"/>
  <c r="T94" i="15"/>
  <c r="T98" i="15" s="1"/>
  <c r="K94" i="15"/>
  <c r="K98" i="15" s="1"/>
  <c r="J94" i="15"/>
  <c r="J98" i="15" s="1"/>
  <c r="I94" i="15"/>
  <c r="I98" i="15" s="1"/>
  <c r="H94" i="15"/>
  <c r="H98" i="15" s="1"/>
  <c r="G94" i="15"/>
  <c r="G98" i="15" s="1"/>
  <c r="F94" i="15"/>
  <c r="F98" i="15" s="1"/>
  <c r="Y93" i="15"/>
  <c r="L93" i="15"/>
  <c r="K93" i="15"/>
  <c r="J93" i="15"/>
  <c r="E93" i="15"/>
  <c r="X92" i="15"/>
  <c r="W92" i="15"/>
  <c r="L92" i="15"/>
  <c r="E92" i="15"/>
  <c r="Y91" i="15"/>
  <c r="X91" i="15"/>
  <c r="X93" i="15" s="1"/>
  <c r="W91" i="15"/>
  <c r="V91" i="15"/>
  <c r="V93" i="15" s="1"/>
  <c r="U91" i="15"/>
  <c r="T91" i="15"/>
  <c r="K91" i="15"/>
  <c r="J91" i="15"/>
  <c r="I91" i="15"/>
  <c r="H91" i="15"/>
  <c r="G91" i="15"/>
  <c r="Y90" i="15"/>
  <c r="X90" i="15"/>
  <c r="W90" i="15"/>
  <c r="V90" i="15"/>
  <c r="U90" i="15"/>
  <c r="T90" i="15"/>
  <c r="K90" i="15"/>
  <c r="K92" i="15" s="1"/>
  <c r="J90" i="15"/>
  <c r="I90" i="15"/>
  <c r="I92" i="15" s="1"/>
  <c r="H90" i="15"/>
  <c r="H92" i="15" s="1"/>
  <c r="G90" i="15"/>
  <c r="G92" i="15" s="1"/>
  <c r="F90" i="15"/>
  <c r="Y89" i="15"/>
  <c r="X89" i="15"/>
  <c r="W89" i="15"/>
  <c r="W93" i="15" s="1"/>
  <c r="V89" i="15"/>
  <c r="U89" i="15"/>
  <c r="U93" i="15" s="1"/>
  <c r="T89" i="15"/>
  <c r="T93" i="15" s="1"/>
  <c r="K89" i="15"/>
  <c r="J89" i="15"/>
  <c r="I89" i="15"/>
  <c r="I93" i="15" s="1"/>
  <c r="H89" i="15"/>
  <c r="H93" i="15" s="1"/>
  <c r="G89" i="15"/>
  <c r="G93" i="15" s="1"/>
  <c r="F89" i="15"/>
  <c r="F100" i="15" s="1"/>
  <c r="AX88" i="15"/>
  <c r="Y88" i="15"/>
  <c r="Y92" i="15" s="1"/>
  <c r="X88" i="15"/>
  <c r="W88" i="15"/>
  <c r="V88" i="15"/>
  <c r="V92" i="15" s="1"/>
  <c r="U88" i="15"/>
  <c r="U92" i="15" s="1"/>
  <c r="T88" i="15"/>
  <c r="T92" i="15" s="1"/>
  <c r="K88" i="15"/>
  <c r="J88" i="15"/>
  <c r="J92" i="15" s="1"/>
  <c r="I88" i="15"/>
  <c r="H88" i="15"/>
  <c r="G88" i="15"/>
  <c r="F88" i="15"/>
  <c r="F92" i="15" s="1"/>
  <c r="V87" i="15"/>
  <c r="U87" i="15"/>
  <c r="L87" i="15"/>
  <c r="G87" i="15"/>
  <c r="F87" i="15"/>
  <c r="E87" i="15"/>
  <c r="E86" i="15"/>
  <c r="Y85" i="15"/>
  <c r="X85" i="15"/>
  <c r="W85" i="15"/>
  <c r="V85" i="15"/>
  <c r="U85" i="15"/>
  <c r="T85" i="15"/>
  <c r="K85" i="15"/>
  <c r="K87" i="15" s="1"/>
  <c r="J85" i="15"/>
  <c r="I85" i="15"/>
  <c r="I101" i="15" s="1"/>
  <c r="H85" i="15"/>
  <c r="G85" i="15"/>
  <c r="Y84" i="15"/>
  <c r="X84" i="15"/>
  <c r="W84" i="15"/>
  <c r="V84" i="15"/>
  <c r="U84" i="15"/>
  <c r="T84" i="15"/>
  <c r="K84" i="15"/>
  <c r="J84" i="15"/>
  <c r="I84" i="15"/>
  <c r="H84" i="15"/>
  <c r="G84" i="15"/>
  <c r="F84" i="15"/>
  <c r="Y83" i="15"/>
  <c r="Y87" i="15" s="1"/>
  <c r="X83" i="15"/>
  <c r="X87" i="15" s="1"/>
  <c r="W83" i="15"/>
  <c r="W87" i="15" s="1"/>
  <c r="V83" i="15"/>
  <c r="U83" i="15"/>
  <c r="T83" i="15"/>
  <c r="T87" i="15" s="1"/>
  <c r="K83" i="15"/>
  <c r="J83" i="15"/>
  <c r="J87" i="15" s="1"/>
  <c r="I83" i="15"/>
  <c r="H83" i="15"/>
  <c r="H87" i="15" s="1"/>
  <c r="G83" i="15"/>
  <c r="AX82" i="15"/>
  <c r="Y82" i="15"/>
  <c r="Y86" i="15" s="1"/>
  <c r="X82" i="15"/>
  <c r="X86" i="15" s="1"/>
  <c r="W82" i="15"/>
  <c r="W86" i="15" s="1"/>
  <c r="V82" i="15"/>
  <c r="V86" i="15" s="1"/>
  <c r="U82" i="15"/>
  <c r="U86" i="15" s="1"/>
  <c r="T82" i="15"/>
  <c r="T86" i="15" s="1"/>
  <c r="K82" i="15"/>
  <c r="K86" i="15" s="1"/>
  <c r="J82" i="15"/>
  <c r="J86" i="15" s="1"/>
  <c r="I82" i="15"/>
  <c r="I86" i="15" s="1"/>
  <c r="H82" i="15"/>
  <c r="H86" i="15" s="1"/>
  <c r="G82" i="15"/>
  <c r="G86" i="15" s="1"/>
  <c r="F82" i="15"/>
  <c r="F86" i="15" s="1"/>
  <c r="Y81" i="15"/>
  <c r="X81" i="15"/>
  <c r="W81" i="15"/>
  <c r="V81" i="15"/>
  <c r="U81" i="15"/>
  <c r="T81" i="15"/>
  <c r="K81" i="15"/>
  <c r="J81" i="15"/>
  <c r="I81" i="15"/>
  <c r="H81" i="15"/>
  <c r="G81" i="15"/>
  <c r="F81" i="15"/>
  <c r="E81" i="15"/>
  <c r="Y80" i="15"/>
  <c r="X80" i="15"/>
  <c r="W80" i="15"/>
  <c r="V80" i="15"/>
  <c r="U80" i="15"/>
  <c r="T80" i="15"/>
  <c r="K80" i="15"/>
  <c r="J80" i="15"/>
  <c r="I80" i="15"/>
  <c r="H80" i="15"/>
  <c r="G80" i="15"/>
  <c r="F80" i="15"/>
  <c r="E80" i="15"/>
  <c r="AX76" i="15"/>
  <c r="AE76" i="15"/>
  <c r="AD76" i="15"/>
  <c r="AC76" i="15"/>
  <c r="AB76" i="15"/>
  <c r="AA76" i="15"/>
  <c r="Z76" i="15"/>
  <c r="Y75" i="15"/>
  <c r="X75" i="15"/>
  <c r="W75" i="15"/>
  <c r="V75" i="15"/>
  <c r="U75" i="15"/>
  <c r="T75" i="15"/>
  <c r="K75" i="15"/>
  <c r="J75" i="15"/>
  <c r="I75" i="15"/>
  <c r="H75" i="15"/>
  <c r="G75" i="15"/>
  <c r="F75" i="15"/>
  <c r="E75" i="15"/>
  <c r="Y74" i="15"/>
  <c r="X74" i="15"/>
  <c r="W74" i="15"/>
  <c r="V74" i="15"/>
  <c r="U74" i="15"/>
  <c r="T74" i="15"/>
  <c r="K74" i="15"/>
  <c r="J74" i="15"/>
  <c r="I74" i="15"/>
  <c r="H74" i="15"/>
  <c r="G74" i="15"/>
  <c r="F74" i="15"/>
  <c r="E74" i="15"/>
  <c r="AX70" i="15"/>
  <c r="AE70" i="15"/>
  <c r="AD70" i="15"/>
  <c r="AC70" i="15"/>
  <c r="AB70" i="15"/>
  <c r="AA70" i="15"/>
  <c r="Z70" i="15"/>
  <c r="Y69" i="15"/>
  <c r="X69" i="15"/>
  <c r="W69" i="15"/>
  <c r="V69" i="15"/>
  <c r="U69" i="15"/>
  <c r="T69" i="15"/>
  <c r="K69" i="15"/>
  <c r="J69" i="15"/>
  <c r="I69" i="15"/>
  <c r="H69" i="15"/>
  <c r="G69" i="15"/>
  <c r="F69" i="15"/>
  <c r="E69" i="15"/>
  <c r="Y68" i="15"/>
  <c r="X68" i="15"/>
  <c r="W68" i="15"/>
  <c r="V68" i="15"/>
  <c r="U68" i="15"/>
  <c r="T68" i="15"/>
  <c r="K68" i="15"/>
  <c r="J68" i="15"/>
  <c r="I68" i="15"/>
  <c r="H68" i="15"/>
  <c r="G68" i="15"/>
  <c r="F68" i="15"/>
  <c r="E68" i="15"/>
  <c r="AX64" i="15"/>
  <c r="AE64" i="15"/>
  <c r="AD64" i="15"/>
  <c r="AC64" i="15"/>
  <c r="AB64" i="15"/>
  <c r="AA64" i="15"/>
  <c r="Z64" i="15"/>
  <c r="Y63" i="15"/>
  <c r="X63" i="15"/>
  <c r="W63" i="15"/>
  <c r="V63" i="15"/>
  <c r="U63" i="15"/>
  <c r="T63" i="15"/>
  <c r="K63" i="15"/>
  <c r="J63" i="15"/>
  <c r="I63" i="15"/>
  <c r="H63" i="15"/>
  <c r="G63" i="15"/>
  <c r="F63" i="15"/>
  <c r="E63" i="15"/>
  <c r="Y62" i="15"/>
  <c r="X62" i="15"/>
  <c r="W62" i="15"/>
  <c r="V62" i="15"/>
  <c r="U62" i="15"/>
  <c r="T62" i="15"/>
  <c r="K62" i="15"/>
  <c r="J62" i="15"/>
  <c r="I62" i="15"/>
  <c r="H62" i="15"/>
  <c r="G62" i="15"/>
  <c r="F62" i="15"/>
  <c r="E62" i="15"/>
  <c r="AX58" i="15"/>
  <c r="AE58" i="15"/>
  <c r="AD58" i="15"/>
  <c r="AC58" i="15"/>
  <c r="AB58" i="15"/>
  <c r="AA58" i="15"/>
  <c r="Z58" i="15"/>
  <c r="Y57" i="15"/>
  <c r="X57" i="15"/>
  <c r="W57" i="15"/>
  <c r="V57" i="15"/>
  <c r="U57" i="15"/>
  <c r="T57" i="15"/>
  <c r="K57" i="15"/>
  <c r="J57" i="15"/>
  <c r="I57" i="15"/>
  <c r="H57" i="15"/>
  <c r="G57" i="15"/>
  <c r="F57" i="15"/>
  <c r="E57" i="15"/>
  <c r="Y56" i="15"/>
  <c r="X56" i="15"/>
  <c r="W56" i="15"/>
  <c r="V56" i="15"/>
  <c r="U56" i="15"/>
  <c r="T56" i="15"/>
  <c r="K56" i="15"/>
  <c r="J56" i="15"/>
  <c r="I56" i="15"/>
  <c r="H56" i="15"/>
  <c r="G56" i="15"/>
  <c r="F56" i="15"/>
  <c r="E56" i="15"/>
  <c r="AX52" i="15"/>
  <c r="AE52" i="15"/>
  <c r="AD52" i="15"/>
  <c r="AC52" i="15"/>
  <c r="AB52" i="15"/>
  <c r="AA52" i="15"/>
  <c r="Z52" i="15"/>
  <c r="Y51" i="15"/>
  <c r="X51" i="15"/>
  <c r="W51" i="15"/>
  <c r="V51" i="15"/>
  <c r="U51" i="15"/>
  <c r="T51" i="15"/>
  <c r="K51" i="15"/>
  <c r="J51" i="15"/>
  <c r="I51" i="15"/>
  <c r="H51" i="15"/>
  <c r="G51" i="15"/>
  <c r="F51" i="15"/>
  <c r="E51" i="15"/>
  <c r="Y50" i="15"/>
  <c r="X50" i="15"/>
  <c r="W50" i="15"/>
  <c r="V50" i="15"/>
  <c r="U50" i="15"/>
  <c r="T50" i="15"/>
  <c r="K50" i="15"/>
  <c r="J50" i="15"/>
  <c r="I50" i="15"/>
  <c r="H50" i="15"/>
  <c r="G50" i="15"/>
  <c r="F50" i="15"/>
  <c r="E50" i="15"/>
  <c r="AX46" i="15"/>
  <c r="AE46" i="15"/>
  <c r="AD46" i="15"/>
  <c r="AC46" i="15"/>
  <c r="AB46" i="15"/>
  <c r="AA46" i="15"/>
  <c r="Z46" i="15"/>
  <c r="Y45" i="15"/>
  <c r="X45" i="15"/>
  <c r="W45" i="15"/>
  <c r="V45" i="15"/>
  <c r="U45" i="15"/>
  <c r="T45" i="15"/>
  <c r="K45" i="15"/>
  <c r="J45" i="15"/>
  <c r="I45" i="15"/>
  <c r="H45" i="15"/>
  <c r="G45" i="15"/>
  <c r="F45" i="15"/>
  <c r="E45" i="15"/>
  <c r="Y44" i="15"/>
  <c r="X44" i="15"/>
  <c r="W44" i="15"/>
  <c r="V44" i="15"/>
  <c r="U44" i="15"/>
  <c r="T44" i="15"/>
  <c r="K44" i="15"/>
  <c r="J44" i="15"/>
  <c r="I44" i="15"/>
  <c r="H44" i="15"/>
  <c r="G44" i="15"/>
  <c r="F44" i="15"/>
  <c r="E44" i="15"/>
  <c r="AX40" i="15"/>
  <c r="AE40" i="15"/>
  <c r="AD40" i="15"/>
  <c r="AC40" i="15"/>
  <c r="AB40" i="15"/>
  <c r="AA40" i="15"/>
  <c r="Z40" i="15"/>
  <c r="Y39" i="15"/>
  <c r="X39" i="15"/>
  <c r="W39" i="15"/>
  <c r="V39" i="15"/>
  <c r="U39" i="15"/>
  <c r="T39" i="15"/>
  <c r="K39" i="15"/>
  <c r="J39" i="15"/>
  <c r="I39" i="15"/>
  <c r="H39" i="15"/>
  <c r="G39" i="15"/>
  <c r="F39" i="15"/>
  <c r="E39" i="15"/>
  <c r="Y38" i="15"/>
  <c r="X38" i="15"/>
  <c r="W38" i="15"/>
  <c r="V38" i="15"/>
  <c r="U38" i="15"/>
  <c r="T38" i="15"/>
  <c r="K38" i="15"/>
  <c r="J38" i="15"/>
  <c r="I38" i="15"/>
  <c r="H38" i="15"/>
  <c r="G38" i="15"/>
  <c r="F38" i="15"/>
  <c r="E38" i="15"/>
  <c r="AX34" i="15"/>
  <c r="AE34" i="15"/>
  <c r="AD34" i="15"/>
  <c r="AC34" i="15"/>
  <c r="AB34" i="15"/>
  <c r="AA34" i="15"/>
  <c r="Z34" i="15"/>
  <c r="Y33" i="15"/>
  <c r="L33" i="15"/>
  <c r="K33" i="15"/>
  <c r="J33" i="15"/>
  <c r="I33" i="15"/>
  <c r="H33" i="15"/>
  <c r="G33" i="15"/>
  <c r="F33" i="15"/>
  <c r="E33" i="15"/>
  <c r="L32" i="15"/>
  <c r="K32" i="15"/>
  <c r="J32" i="15"/>
  <c r="I32" i="15"/>
  <c r="H32" i="15"/>
  <c r="G32" i="15"/>
  <c r="F32" i="15"/>
  <c r="E32" i="15"/>
  <c r="AE28" i="15"/>
  <c r="AD28" i="15"/>
  <c r="AC28" i="15"/>
  <c r="AB28" i="15"/>
  <c r="AA28" i="15"/>
  <c r="Z28" i="15"/>
  <c r="Y27" i="15"/>
  <c r="W27" i="15"/>
  <c r="V27" i="15"/>
  <c r="L27" i="15"/>
  <c r="H27" i="15"/>
  <c r="G27" i="15"/>
  <c r="E27" i="15"/>
  <c r="U26" i="15"/>
  <c r="T26" i="15"/>
  <c r="L26" i="15"/>
  <c r="F26" i="15"/>
  <c r="E26" i="15"/>
  <c r="Y25" i="15"/>
  <c r="X25" i="15"/>
  <c r="W25" i="15"/>
  <c r="V25" i="15"/>
  <c r="U25" i="15"/>
  <c r="T25" i="15"/>
  <c r="K25" i="15"/>
  <c r="K27" i="15" s="1"/>
  <c r="J25" i="15"/>
  <c r="J27" i="15" s="1"/>
  <c r="I25" i="15"/>
  <c r="I27" i="15" s="1"/>
  <c r="H25" i="15"/>
  <c r="G25" i="15"/>
  <c r="F25" i="15"/>
  <c r="F27" i="15" s="1"/>
  <c r="Y24" i="15"/>
  <c r="Y26" i="15" s="1"/>
  <c r="X24" i="15"/>
  <c r="W24" i="15"/>
  <c r="W26" i="15" s="1"/>
  <c r="V24" i="15"/>
  <c r="U24" i="15"/>
  <c r="T24" i="15"/>
  <c r="K24" i="15"/>
  <c r="J24" i="15"/>
  <c r="J26" i="15" s="1"/>
  <c r="I24" i="15"/>
  <c r="H24" i="15"/>
  <c r="G24" i="15"/>
  <c r="F24" i="15"/>
  <c r="X23" i="15"/>
  <c r="X27" i="15" s="1"/>
  <c r="W23" i="15"/>
  <c r="V23" i="15"/>
  <c r="U23" i="15"/>
  <c r="U27" i="15" s="1"/>
  <c r="T23" i="15"/>
  <c r="T27" i="15" s="1"/>
  <c r="G23" i="15"/>
  <c r="AX22" i="15"/>
  <c r="X22" i="15"/>
  <c r="X26" i="15" s="1"/>
  <c r="W22" i="15"/>
  <c r="V22" i="15"/>
  <c r="V26" i="15" s="1"/>
  <c r="U22" i="15"/>
  <c r="T22" i="15"/>
  <c r="K22" i="15"/>
  <c r="K26" i="15" s="1"/>
  <c r="J22" i="15"/>
  <c r="I22" i="15"/>
  <c r="I26" i="15" s="1"/>
  <c r="H22" i="15"/>
  <c r="H26" i="15" s="1"/>
  <c r="G22" i="15"/>
  <c r="G26" i="15" s="1"/>
  <c r="F22" i="15"/>
  <c r="Y21" i="15"/>
  <c r="U21" i="15"/>
  <c r="T21" i="15"/>
  <c r="L21" i="15"/>
  <c r="I21" i="15"/>
  <c r="F21" i="15"/>
  <c r="E21" i="15"/>
  <c r="Y20" i="15"/>
  <c r="U20" i="15"/>
  <c r="K20" i="15"/>
  <c r="J20" i="15"/>
  <c r="I20" i="15"/>
  <c r="E20" i="15"/>
  <c r="Y19" i="15"/>
  <c r="X19" i="15"/>
  <c r="W19" i="15"/>
  <c r="V19" i="15"/>
  <c r="U19" i="15"/>
  <c r="T19" i="15"/>
  <c r="K19" i="15"/>
  <c r="J19" i="15"/>
  <c r="I19" i="15"/>
  <c r="H19" i="15"/>
  <c r="G19" i="15"/>
  <c r="F19" i="15"/>
  <c r="Y18" i="15"/>
  <c r="X18" i="15"/>
  <c r="W18" i="15"/>
  <c r="V18" i="15"/>
  <c r="U18" i="15"/>
  <c r="T18" i="15"/>
  <c r="K18" i="15"/>
  <c r="J18" i="15"/>
  <c r="I18" i="15"/>
  <c r="H18" i="15"/>
  <c r="G18" i="15"/>
  <c r="F18" i="15"/>
  <c r="Y17" i="15"/>
  <c r="X17" i="15"/>
  <c r="X21" i="15" s="1"/>
  <c r="W17" i="15"/>
  <c r="W21" i="15" s="1"/>
  <c r="V17" i="15"/>
  <c r="V21" i="15" s="1"/>
  <c r="U17" i="15"/>
  <c r="T17" i="15"/>
  <c r="K17" i="15"/>
  <c r="K21" i="15" s="1"/>
  <c r="J17" i="15"/>
  <c r="J21" i="15" s="1"/>
  <c r="I17" i="15"/>
  <c r="H17" i="15"/>
  <c r="H21" i="15" s="1"/>
  <c r="G17" i="15"/>
  <c r="G21" i="15" s="1"/>
  <c r="AX16" i="15"/>
  <c r="Y16" i="15"/>
  <c r="X16" i="15"/>
  <c r="X20" i="15" s="1"/>
  <c r="W16" i="15"/>
  <c r="W20" i="15" s="1"/>
  <c r="V16" i="15"/>
  <c r="V20" i="15" s="1"/>
  <c r="U16" i="15"/>
  <c r="T16" i="15"/>
  <c r="T20" i="15" s="1"/>
  <c r="K16" i="15"/>
  <c r="J16" i="15"/>
  <c r="I16" i="15"/>
  <c r="H16" i="15"/>
  <c r="H20" i="15" s="1"/>
  <c r="G16" i="15"/>
  <c r="G20" i="15" s="1"/>
  <c r="F16" i="15"/>
  <c r="F20" i="15" s="1"/>
  <c r="X15" i="15"/>
  <c r="L15" i="15"/>
  <c r="I15" i="15"/>
  <c r="V14" i="15"/>
  <c r="Y13" i="15"/>
  <c r="Y101" i="15" s="1"/>
  <c r="X13" i="15"/>
  <c r="X101" i="15" s="1"/>
  <c r="W13" i="15"/>
  <c r="W101" i="15" s="1"/>
  <c r="V13" i="15"/>
  <c r="V15" i="15" s="1"/>
  <c r="U13" i="15"/>
  <c r="T13" i="15"/>
  <c r="K13" i="15"/>
  <c r="K101" i="15" s="1"/>
  <c r="J13" i="15"/>
  <c r="J101" i="15" s="1"/>
  <c r="I13" i="15"/>
  <c r="H13" i="15"/>
  <c r="H101" i="15" s="1"/>
  <c r="G13" i="15"/>
  <c r="G101" i="15" s="1"/>
  <c r="E13" i="15"/>
  <c r="E101" i="15" s="1"/>
  <c r="Y12" i="15"/>
  <c r="X12" i="15"/>
  <c r="X14" i="15" s="1"/>
  <c r="W12" i="15"/>
  <c r="V12" i="15"/>
  <c r="U12" i="15"/>
  <c r="U101" i="15" s="1"/>
  <c r="T12" i="15"/>
  <c r="T101" i="15" s="1"/>
  <c r="K12" i="15"/>
  <c r="J12" i="15"/>
  <c r="I12" i="15"/>
  <c r="H12" i="15"/>
  <c r="H14" i="15" s="1"/>
  <c r="G12" i="15"/>
  <c r="F12" i="15"/>
  <c r="E12" i="15"/>
  <c r="Y11" i="15"/>
  <c r="Y100" i="15" s="1"/>
  <c r="Y102" i="15" s="1"/>
  <c r="X11" i="15"/>
  <c r="X100" i="15" s="1"/>
  <c r="X102" i="15" s="1"/>
  <c r="W11" i="15"/>
  <c r="W15" i="15" s="1"/>
  <c r="V11" i="15"/>
  <c r="V100" i="15" s="1"/>
  <c r="U11" i="15"/>
  <c r="U15" i="15" s="1"/>
  <c r="T11" i="15"/>
  <c r="T15" i="15" s="1"/>
  <c r="K11" i="15"/>
  <c r="J11" i="15"/>
  <c r="J100" i="15" s="1"/>
  <c r="J102" i="15" s="1"/>
  <c r="I11" i="15"/>
  <c r="I100" i="15" s="1"/>
  <c r="H11" i="15"/>
  <c r="H15" i="15" s="1"/>
  <c r="G11" i="15"/>
  <c r="G15" i="15" s="1"/>
  <c r="E11" i="15"/>
  <c r="E100" i="15" s="1"/>
  <c r="AX10" i="15"/>
  <c r="Y10" i="15"/>
  <c r="Y14" i="15" s="1"/>
  <c r="X10" i="15"/>
  <c r="W10" i="15"/>
  <c r="W14" i="15" s="1"/>
  <c r="V10" i="15"/>
  <c r="U10" i="15"/>
  <c r="U14" i="15" s="1"/>
  <c r="T10" i="15"/>
  <c r="T14" i="15" s="1"/>
  <c r="K10" i="15"/>
  <c r="K14" i="15" s="1"/>
  <c r="J10" i="15"/>
  <c r="J14" i="15" s="1"/>
  <c r="I10" i="15"/>
  <c r="I14" i="15" s="1"/>
  <c r="H10" i="15"/>
  <c r="G10" i="15"/>
  <c r="G14" i="15" s="1"/>
  <c r="E10" i="15"/>
  <c r="E14" i="15" s="1"/>
  <c r="DN37" i="6"/>
  <c r="ER36" i="6"/>
  <c r="EV38" i="6"/>
  <c r="BC10" i="6"/>
  <c r="I102" i="15" l="1"/>
  <c r="E102" i="15"/>
  <c r="J15" i="15"/>
  <c r="Y15" i="15"/>
  <c r="U100" i="15"/>
  <c r="U102" i="15" s="1"/>
  <c r="K15" i="15"/>
  <c r="I87" i="15"/>
  <c r="F13" i="15"/>
  <c r="F93" i="15"/>
  <c r="W100" i="15"/>
  <c r="W102" i="15" s="1"/>
  <c r="E15" i="15"/>
  <c r="G100" i="15"/>
  <c r="G102" i="15" s="1"/>
  <c r="V101" i="15"/>
  <c r="V102" i="15" s="1"/>
  <c r="F10" i="15"/>
  <c r="F14" i="15" s="1"/>
  <c r="H100" i="15"/>
  <c r="H102" i="15" s="1"/>
  <c r="ER56" i="6"/>
  <c r="ER54" i="6"/>
  <c r="ER52" i="6"/>
  <c r="ER47" i="6"/>
  <c r="ER42" i="6"/>
  <c r="ER33" i="6"/>
  <c r="ER31" i="6"/>
  <c r="ER28" i="6"/>
  <c r="ER26" i="6"/>
  <c r="ER24" i="6"/>
  <c r="ER21" i="6"/>
  <c r="ER19" i="6"/>
  <c r="ER17" i="6"/>
  <c r="ER14" i="6"/>
  <c r="ER11" i="6"/>
  <c r="BC24" i="6"/>
  <c r="AM59" i="6"/>
  <c r="AS49" i="6"/>
  <c r="AS14" i="6"/>
  <c r="F101" i="15" l="1"/>
  <c r="F102" i="15" s="1"/>
  <c r="F15" i="15"/>
  <c r="ET19" i="5"/>
  <c r="ET18" i="5"/>
  <c r="ET14" i="5"/>
  <c r="BB56" i="6" l="1"/>
  <c r="BB54" i="6"/>
  <c r="BB53" i="6"/>
  <c r="BE48" i="6"/>
  <c r="BE45" i="6"/>
  <c r="ET45" i="6" s="1"/>
  <c r="BD45" i="6"/>
  <c r="BC48" i="6"/>
  <c r="BC45" i="6"/>
  <c r="BB49" i="6"/>
  <c r="BB48" i="6"/>
  <c r="BB47" i="6"/>
  <c r="BB46" i="6"/>
  <c r="BB45" i="6"/>
  <c r="BB39" i="6"/>
  <c r="ER40" i="6"/>
  <c r="ER38" i="6"/>
  <c r="BB42" i="6"/>
  <c r="BB40" i="6"/>
  <c r="BE34" i="6"/>
  <c r="BE31" i="6"/>
  <c r="BD32" i="6"/>
  <c r="BD31" i="6"/>
  <c r="BC34" i="6"/>
  <c r="BC31" i="6"/>
  <c r="BB32" i="6"/>
  <c r="BB35" i="6"/>
  <c r="BB34" i="6"/>
  <c r="BB33" i="6"/>
  <c r="BB31" i="6"/>
  <c r="AY30" i="6"/>
  <c r="AY29" i="6"/>
  <c r="AW30" i="6"/>
  <c r="AW29" i="6"/>
  <c r="AU30" i="6"/>
  <c r="AU29" i="6"/>
  <c r="AS30" i="6"/>
  <c r="AS29" i="6"/>
  <c r="AQ30" i="6"/>
  <c r="AQ29" i="6"/>
  <c r="AO30" i="6"/>
  <c r="AO29" i="6"/>
  <c r="AN30" i="6"/>
  <c r="AN29" i="6"/>
  <c r="ER29" i="6" s="1"/>
  <c r="AM30" i="6"/>
  <c r="AM29" i="6"/>
  <c r="AL29" i="6"/>
  <c r="BB25" i="6"/>
  <c r="BE27" i="6"/>
  <c r="BE24" i="6"/>
  <c r="BC27" i="6"/>
  <c r="BB27" i="6"/>
  <c r="BD21" i="6"/>
  <c r="BB21" i="6"/>
  <c r="BE20" i="6"/>
  <c r="BD20" i="6"/>
  <c r="BC20" i="6"/>
  <c r="BB20" i="6"/>
  <c r="BB19" i="6"/>
  <c r="BD19" i="6"/>
  <c r="BA19" i="6"/>
  <c r="BD18" i="6"/>
  <c r="BB18" i="6"/>
  <c r="BA18" i="6"/>
  <c r="BB17" i="6"/>
  <c r="BC17" i="6"/>
  <c r="BD14" i="6"/>
  <c r="BB14" i="6"/>
  <c r="BD11" i="6"/>
  <c r="BB11" i="6"/>
  <c r="BA11" i="6"/>
  <c r="EU34" i="6" l="1"/>
  <c r="ES45" i="6"/>
  <c r="EU45" i="6"/>
  <c r="ES20" i="6"/>
  <c r="EU20" i="6"/>
  <c r="ET31" i="6"/>
  <c r="EU17" i="6"/>
  <c r="ES17" i="6"/>
  <c r="ET20" i="6"/>
  <c r="ES48" i="6"/>
  <c r="EU48" i="6"/>
  <c r="EU27" i="6"/>
  <c r="ES27" i="6"/>
  <c r="EU31" i="6"/>
  <c r="ES31" i="6"/>
  <c r="BE52" i="6"/>
  <c r="BD52" i="6"/>
  <c r="BC52" i="6"/>
  <c r="BB52" i="6"/>
  <c r="BA52" i="6"/>
  <c r="ER45" i="6"/>
  <c r="BE38" i="6"/>
  <c r="ET38" i="6" s="1"/>
  <c r="BD38" i="6"/>
  <c r="BC38" i="6"/>
  <c r="BB38" i="6"/>
  <c r="BA38" i="6"/>
  <c r="ES38" i="6" l="1"/>
  <c r="EU38" i="6"/>
  <c r="ET52" i="6"/>
  <c r="ES52" i="6"/>
  <c r="EU52" i="6"/>
  <c r="G31" i="6"/>
  <c r="EV31" i="6" s="1"/>
  <c r="BD24" i="6"/>
  <c r="ET24" i="6" s="1"/>
  <c r="BB24" i="6"/>
  <c r="ES24" i="6" l="1"/>
  <c r="EU24" i="6"/>
  <c r="BE17" i="6"/>
  <c r="ET17" i="6" s="1"/>
  <c r="EU10" i="6"/>
  <c r="ES10" i="6"/>
  <c r="ER10" i="6"/>
  <c r="BE10" i="6"/>
  <c r="ET10" i="6" s="1"/>
  <c r="BD10" i="6"/>
  <c r="BB10" i="6"/>
  <c r="BA10" i="6"/>
  <c r="AN60" i="6" l="1"/>
  <c r="AN59" i="6"/>
  <c r="AN58" i="6"/>
  <c r="AN57" i="6"/>
  <c r="AN51" i="6"/>
  <c r="AN50" i="6"/>
  <c r="AN44" i="6"/>
  <c r="AN43" i="6"/>
  <c r="AN37" i="6"/>
  <c r="AN36" i="6"/>
  <c r="AN23" i="6"/>
  <c r="AN22" i="6"/>
  <c r="AN16" i="6"/>
  <c r="AN15" i="6"/>
  <c r="BE19" i="5"/>
  <c r="BE18" i="5"/>
  <c r="BC18" i="5"/>
  <c r="BD19" i="5"/>
  <c r="BD18" i="5"/>
  <c r="EX19" i="5" l="1"/>
  <c r="EW18" i="5"/>
  <c r="EX18" i="5"/>
  <c r="AN61" i="6"/>
  <c r="ET13" i="5"/>
  <c r="ET12" i="5"/>
  <c r="BG13" i="5"/>
  <c r="BG12" i="5"/>
  <c r="BE13" i="5"/>
  <c r="BD13" i="5"/>
  <c r="EU13" i="5" l="1"/>
  <c r="BE12" i="5"/>
  <c r="BD12" i="5"/>
  <c r="EU12" i="5" l="1"/>
  <c r="G24" i="6"/>
  <c r="EV24" i="6" s="1"/>
  <c r="G17" i="6"/>
  <c r="EV17" i="6" s="1"/>
  <c r="BA24" i="6" l="1"/>
  <c r="BA31" i="6" l="1"/>
  <c r="ET17" i="5" l="1"/>
  <c r="ET16" i="5"/>
  <c r="BG17" i="5"/>
  <c r="BG16" i="5"/>
  <c r="BF17" i="5"/>
  <c r="BF16" i="5"/>
  <c r="BE17" i="5"/>
  <c r="EX17" i="5" s="1"/>
  <c r="BE16" i="5"/>
  <c r="EX16" i="5" s="1"/>
  <c r="BD17" i="5"/>
  <c r="BD16" i="5"/>
  <c r="BC17" i="5"/>
  <c r="I17" i="5" s="1"/>
  <c r="BC16" i="5"/>
  <c r="I16" i="5" s="1"/>
  <c r="EU16" i="5" l="1"/>
  <c r="EV16" i="5"/>
  <c r="EU17" i="5"/>
  <c r="EW16" i="5"/>
  <c r="EV17" i="5"/>
  <c r="EW17" i="5"/>
  <c r="BD40" i="6"/>
  <c r="BA40" i="6"/>
  <c r="BD54" i="6"/>
  <c r="BA54" i="6"/>
  <c r="AQ49" i="6"/>
  <c r="BA21" i="6"/>
  <c r="BA14" i="6"/>
  <c r="AP12" i="6" l="1"/>
  <c r="AR12" i="6" s="1"/>
  <c r="AT12" i="6" s="1"/>
  <c r="AV12" i="6" s="1"/>
  <c r="AX12" i="6" s="1"/>
  <c r="AZ12" i="6" s="1"/>
  <c r="AJ54" i="6" l="1"/>
  <c r="AF56" i="6"/>
  <c r="AF53" i="6"/>
  <c r="AF49" i="6"/>
  <c r="AH49" i="6" s="1"/>
  <c r="AL47" i="6"/>
  <c r="AJ47" i="6"/>
  <c r="AF46" i="6"/>
  <c r="AH42" i="6"/>
  <c r="AF42" i="6"/>
  <c r="AF39" i="6"/>
  <c r="AJ33" i="6"/>
  <c r="AL33" i="6"/>
  <c r="AF32" i="6"/>
  <c r="AL36" i="6"/>
  <c r="AF35" i="6"/>
  <c r="AH35" i="6" s="1"/>
  <c r="AF28" i="6"/>
  <c r="AJ26" i="6"/>
  <c r="AL19" i="6"/>
  <c r="AL12" i="6"/>
  <c r="AF14" i="6"/>
  <c r="AF11" i="6"/>
  <c r="AJ40" i="6"/>
  <c r="AI26" i="6"/>
  <c r="BB26" i="6" s="1"/>
  <c r="AJ19" i="6"/>
  <c r="AE28" i="6"/>
  <c r="AF25" i="6"/>
  <c r="AF21" i="6"/>
  <c r="AH21" i="6" s="1"/>
  <c r="AJ21" i="6" s="1"/>
  <c r="AL21" i="6" s="1"/>
  <c r="AF18" i="6"/>
  <c r="AB60" i="6"/>
  <c r="AJ35" i="6" l="1"/>
  <c r="AJ49" i="6"/>
  <c r="AH56" i="6"/>
  <c r="BE12" i="6"/>
  <c r="BC12" i="6"/>
  <c r="AM12" i="6"/>
  <c r="BC54" i="6"/>
  <c r="BB28" i="6"/>
  <c r="AH46" i="6"/>
  <c r="BE19" i="6"/>
  <c r="ET19" i="6" s="1"/>
  <c r="BC19" i="6"/>
  <c r="AH18" i="6"/>
  <c r="AJ18" i="6" s="1"/>
  <c r="AL18" i="6" s="1"/>
  <c r="AL23" i="6" s="1"/>
  <c r="AH39" i="6"/>
  <c r="AH11" i="6"/>
  <c r="AH14" i="6"/>
  <c r="AH25" i="6"/>
  <c r="AJ25" i="6" s="1"/>
  <c r="AL25" i="6" s="1"/>
  <c r="BC26" i="6"/>
  <c r="AL26" i="6"/>
  <c r="BE26" i="6" s="1"/>
  <c r="AL54" i="6"/>
  <c r="BE54" i="6" s="1"/>
  <c r="ET54" i="6" s="1"/>
  <c r="AJ42" i="6"/>
  <c r="BC21" i="6"/>
  <c r="BE21" i="6"/>
  <c r="ET21" i="6" s="1"/>
  <c r="BE33" i="6"/>
  <c r="BC33" i="6"/>
  <c r="BE40" i="6"/>
  <c r="ET40" i="6" s="1"/>
  <c r="BC40" i="6"/>
  <c r="AL40" i="6"/>
  <c r="AH28" i="6"/>
  <c r="AH32" i="6"/>
  <c r="BC47" i="6"/>
  <c r="BE47" i="6"/>
  <c r="AH53" i="6"/>
  <c r="AB59" i="6"/>
  <c r="BC13" i="5"/>
  <c r="I13" i="5" s="1"/>
  <c r="EX13" i="5" s="1"/>
  <c r="ES40" i="6" l="1"/>
  <c r="EV40" i="6"/>
  <c r="EU40" i="6"/>
  <c r="EU26" i="6"/>
  <c r="ES26" i="6"/>
  <c r="EV26" i="6"/>
  <c r="AJ39" i="6"/>
  <c r="BE18" i="6"/>
  <c r="ET18" i="6" s="1"/>
  <c r="AJ32" i="6"/>
  <c r="EU33" i="6"/>
  <c r="EV33" i="6"/>
  <c r="BE25" i="6"/>
  <c r="EU19" i="6"/>
  <c r="ES19" i="6"/>
  <c r="EV19" i="6"/>
  <c r="EV54" i="6"/>
  <c r="ES54" i="6"/>
  <c r="EU54" i="6"/>
  <c r="AJ28" i="6"/>
  <c r="BC25" i="6"/>
  <c r="AO12" i="6"/>
  <c r="AQ12" i="6" s="1"/>
  <c r="AS12" i="6" s="1"/>
  <c r="AU12" i="6" s="1"/>
  <c r="AW12" i="6" s="1"/>
  <c r="AY12" i="6" s="1"/>
  <c r="BA12" i="6" s="1"/>
  <c r="ER12" i="6"/>
  <c r="BB12" i="6"/>
  <c r="EU12" i="6" s="1"/>
  <c r="AJ14" i="6"/>
  <c r="AJ11" i="6"/>
  <c r="AJ46" i="6"/>
  <c r="EV12" i="6"/>
  <c r="AL49" i="6"/>
  <c r="ES21" i="6"/>
  <c r="EU21" i="6"/>
  <c r="AJ56" i="6"/>
  <c r="AL35" i="6"/>
  <c r="AJ53" i="6"/>
  <c r="ES47" i="6"/>
  <c r="EV47" i="6"/>
  <c r="EU47" i="6"/>
  <c r="AL42" i="6"/>
  <c r="BC18" i="6"/>
  <c r="AL32" i="6" l="1"/>
  <c r="EU18" i="6"/>
  <c r="ES18" i="6"/>
  <c r="AL14" i="6"/>
  <c r="BC14" i="6" s="1"/>
  <c r="EU25" i="6"/>
  <c r="ES25" i="6"/>
  <c r="AL11" i="6"/>
  <c r="BE11" i="6"/>
  <c r="ET11" i="6" s="1"/>
  <c r="BC42" i="6"/>
  <c r="BE42" i="6"/>
  <c r="ES12" i="6"/>
  <c r="AL39" i="6"/>
  <c r="AL53" i="6"/>
  <c r="AL56" i="6"/>
  <c r="BC32" i="6"/>
  <c r="AL28" i="6"/>
  <c r="BE28" i="6" s="1"/>
  <c r="BC49" i="6"/>
  <c r="BE49" i="6"/>
  <c r="ET49" i="6" s="1"/>
  <c r="BC35" i="6"/>
  <c r="BE35" i="6"/>
  <c r="AL46" i="6"/>
  <c r="BE46" i="6"/>
  <c r="BC46" i="6"/>
  <c r="EU14" i="6" l="1"/>
  <c r="ES14" i="6"/>
  <c r="BC11" i="6"/>
  <c r="EU35" i="6"/>
  <c r="EU32" i="6"/>
  <c r="BE56" i="6"/>
  <c r="BC39" i="6"/>
  <c r="BE39" i="6"/>
  <c r="ES46" i="6"/>
  <c r="EU46" i="6"/>
  <c r="BC56" i="6"/>
  <c r="ES49" i="6"/>
  <c r="EU49" i="6"/>
  <c r="EU42" i="6"/>
  <c r="ES42" i="6"/>
  <c r="AL37" i="6"/>
  <c r="BE32" i="6"/>
  <c r="ET32" i="6" s="1"/>
  <c r="AL51" i="6"/>
  <c r="BC53" i="6"/>
  <c r="AL30" i="6"/>
  <c r="BC28" i="6"/>
  <c r="BE14" i="6"/>
  <c r="ET14" i="6" s="1"/>
  <c r="BE53" i="6"/>
  <c r="EU11" i="6" l="1"/>
  <c r="ES11" i="6"/>
  <c r="BC59" i="6"/>
  <c r="EU28" i="6"/>
  <c r="ES28" i="6"/>
  <c r="BC60" i="6"/>
  <c r="ES53" i="6"/>
  <c r="EU53" i="6"/>
  <c r="ES56" i="6"/>
  <c r="EU56" i="6"/>
  <c r="ES39" i="6"/>
  <c r="EU39" i="6"/>
  <c r="U69" i="7" l="1"/>
  <c r="T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BF13" i="5"/>
  <c r="BC12" i="5"/>
  <c r="I12" i="5" s="1"/>
  <c r="EX12" i="5" s="1"/>
  <c r="BF12" i="5"/>
  <c r="EV13" i="5" l="1"/>
  <c r="EW13" i="5"/>
  <c r="EW12" i="5"/>
  <c r="EV12" i="5"/>
  <c r="DN30" i="6" l="1"/>
  <c r="DN29" i="6"/>
  <c r="CJ30" i="6"/>
  <c r="CJ29" i="6"/>
  <c r="BF30" i="6"/>
  <c r="BF29" i="6"/>
  <c r="DN16" i="6"/>
  <c r="DN15" i="6"/>
  <c r="CJ16" i="6"/>
  <c r="CJ15" i="6"/>
  <c r="BF16" i="6"/>
  <c r="BF15" i="6"/>
  <c r="AK30" i="6"/>
  <c r="AK29" i="6"/>
  <c r="AJ30" i="6"/>
  <c r="AJ29" i="6"/>
  <c r="AI30" i="6"/>
  <c r="AI29" i="6"/>
  <c r="AH30" i="6"/>
  <c r="AH29" i="6"/>
  <c r="AG30" i="6"/>
  <c r="AG29" i="6"/>
  <c r="AF30" i="6"/>
  <c r="AF29" i="6"/>
  <c r="AE30" i="6"/>
  <c r="AE29" i="6"/>
  <c r="AD30" i="6"/>
  <c r="AD29" i="6"/>
  <c r="AC30" i="6"/>
  <c r="AC29" i="6"/>
  <c r="AB30" i="6"/>
  <c r="AB29" i="6"/>
  <c r="AA30" i="6"/>
  <c r="AA29" i="6"/>
  <c r="Z30" i="6"/>
  <c r="Z29" i="6"/>
  <c r="H60" i="6"/>
  <c r="DN60" i="6"/>
  <c r="DH60" i="6"/>
  <c r="DG60" i="6"/>
  <c r="DF60" i="6"/>
  <c r="DE60" i="6"/>
  <c r="DD60" i="6"/>
  <c r="DC60" i="6"/>
  <c r="DB60" i="6"/>
  <c r="DA60" i="6"/>
  <c r="CZ60" i="6"/>
  <c r="CY60" i="6"/>
  <c r="CX60" i="6"/>
  <c r="CW60" i="6"/>
  <c r="CV60" i="6"/>
  <c r="CU60" i="6"/>
  <c r="CT60" i="6"/>
  <c r="CS60" i="6"/>
  <c r="CR60" i="6"/>
  <c r="CQ60" i="6"/>
  <c r="CP60" i="6"/>
  <c r="CO60" i="6"/>
  <c r="CN60" i="6"/>
  <c r="CM60" i="6"/>
  <c r="CL60" i="6"/>
  <c r="CK60" i="6"/>
  <c r="CJ60" i="6"/>
  <c r="CD60" i="6"/>
  <c r="CC60" i="6"/>
  <c r="CB60" i="6"/>
  <c r="CA60" i="6"/>
  <c r="BZ60" i="6"/>
  <c r="BY60" i="6"/>
  <c r="BX60" i="6"/>
  <c r="BW60" i="6"/>
  <c r="BV60" i="6"/>
  <c r="BU60" i="6"/>
  <c r="BT60" i="6"/>
  <c r="BS60" i="6"/>
  <c r="BR60" i="6"/>
  <c r="BQ60" i="6"/>
  <c r="BP60" i="6"/>
  <c r="BO60" i="6"/>
  <c r="BN60" i="6"/>
  <c r="BM60" i="6"/>
  <c r="BL60" i="6"/>
  <c r="BK60" i="6"/>
  <c r="BJ60" i="6"/>
  <c r="BI60" i="6"/>
  <c r="BH60" i="6"/>
  <c r="BG60" i="6"/>
  <c r="BF60" i="6"/>
  <c r="AZ60" i="6"/>
  <c r="AX60" i="6"/>
  <c r="AW60" i="6"/>
  <c r="AV60" i="6"/>
  <c r="AU60" i="6"/>
  <c r="AT60" i="6"/>
  <c r="AS60" i="6"/>
  <c r="AR60" i="6"/>
  <c r="AQ60" i="6"/>
  <c r="AP60" i="6"/>
  <c r="AO60" i="6"/>
  <c r="AM60" i="6"/>
  <c r="AL60" i="6"/>
  <c r="AK60" i="6"/>
  <c r="AJ60" i="6"/>
  <c r="AI60" i="6"/>
  <c r="AH60" i="6"/>
  <c r="AG60" i="6"/>
  <c r="AF60" i="6"/>
  <c r="AE60" i="6"/>
  <c r="AD60" i="6"/>
  <c r="AC60" i="6"/>
  <c r="AA60" i="6"/>
  <c r="Z60" i="6"/>
  <c r="Y60" i="6"/>
  <c r="X60" i="6"/>
  <c r="W60" i="6"/>
  <c r="V60" i="6"/>
  <c r="U60" i="6"/>
  <c r="T60" i="6"/>
  <c r="S60" i="6"/>
  <c r="R60" i="6"/>
  <c r="Q60" i="6"/>
  <c r="P60" i="6"/>
  <c r="O60" i="6"/>
  <c r="N60" i="6"/>
  <c r="M60" i="6"/>
  <c r="L60" i="6"/>
  <c r="K60" i="6"/>
  <c r="J60" i="6"/>
  <c r="I60" i="6"/>
  <c r="DN59" i="6"/>
  <c r="DN61" i="6" s="1"/>
  <c r="DH59" i="6"/>
  <c r="DH61" i="6" s="1"/>
  <c r="DG59" i="6"/>
  <c r="DG61" i="6" s="1"/>
  <c r="DF59" i="6"/>
  <c r="DF61" i="6" s="1"/>
  <c r="DE59" i="6"/>
  <c r="DE61" i="6" s="1"/>
  <c r="DD59" i="6"/>
  <c r="DD61" i="6" s="1"/>
  <c r="DC59" i="6"/>
  <c r="DC61" i="6" s="1"/>
  <c r="DB59" i="6"/>
  <c r="DB61" i="6" s="1"/>
  <c r="DA59" i="6"/>
  <c r="DA61" i="6" s="1"/>
  <c r="CZ59" i="6"/>
  <c r="CZ61" i="6" s="1"/>
  <c r="CY59" i="6"/>
  <c r="CY61" i="6" s="1"/>
  <c r="CX59" i="6"/>
  <c r="CX61" i="6" s="1"/>
  <c r="CW59" i="6"/>
  <c r="CW61" i="6" s="1"/>
  <c r="CV59" i="6"/>
  <c r="CV61" i="6" s="1"/>
  <c r="CU59" i="6"/>
  <c r="CU61" i="6" s="1"/>
  <c r="CT59" i="6"/>
  <c r="CT61" i="6" s="1"/>
  <c r="CS59" i="6"/>
  <c r="CS61" i="6" s="1"/>
  <c r="CR59" i="6"/>
  <c r="CR61" i="6" s="1"/>
  <c r="CQ59" i="6"/>
  <c r="CQ61" i="6" s="1"/>
  <c r="CP59" i="6"/>
  <c r="CP61" i="6" s="1"/>
  <c r="CO59" i="6"/>
  <c r="CO61" i="6" s="1"/>
  <c r="CN59" i="6"/>
  <c r="CN61" i="6" s="1"/>
  <c r="CM59" i="6"/>
  <c r="CM61" i="6" s="1"/>
  <c r="CL59" i="6"/>
  <c r="CL61" i="6" s="1"/>
  <c r="CK59" i="6"/>
  <c r="CK61" i="6" s="1"/>
  <c r="CJ59" i="6"/>
  <c r="CJ61" i="6" s="1"/>
  <c r="CD59" i="6"/>
  <c r="CD61" i="6" s="1"/>
  <c r="CC59" i="6"/>
  <c r="CC61" i="6" s="1"/>
  <c r="CB59" i="6"/>
  <c r="CB61" i="6" s="1"/>
  <c r="CA59" i="6"/>
  <c r="CA61" i="6" s="1"/>
  <c r="BZ59" i="6"/>
  <c r="BZ61" i="6" s="1"/>
  <c r="BY59" i="6"/>
  <c r="BY61" i="6" s="1"/>
  <c r="BX59" i="6"/>
  <c r="BX61" i="6" s="1"/>
  <c r="BW59" i="6"/>
  <c r="BW61" i="6" s="1"/>
  <c r="BV59" i="6"/>
  <c r="BV61" i="6" s="1"/>
  <c r="BU59" i="6"/>
  <c r="BU61" i="6" s="1"/>
  <c r="BT59" i="6"/>
  <c r="BT61" i="6" s="1"/>
  <c r="BS59" i="6"/>
  <c r="BS61" i="6" s="1"/>
  <c r="BR59" i="6"/>
  <c r="BR61" i="6" s="1"/>
  <c r="BQ59" i="6"/>
  <c r="BQ61" i="6" s="1"/>
  <c r="BP59" i="6"/>
  <c r="BP61" i="6" s="1"/>
  <c r="BO59" i="6"/>
  <c r="BO61" i="6" s="1"/>
  <c r="BN59" i="6"/>
  <c r="BN61" i="6" s="1"/>
  <c r="BM59" i="6"/>
  <c r="BM61" i="6" s="1"/>
  <c r="BL59" i="6"/>
  <c r="BL61" i="6" s="1"/>
  <c r="BK59" i="6"/>
  <c r="BK61" i="6" s="1"/>
  <c r="BJ59" i="6"/>
  <c r="BJ61" i="6" s="1"/>
  <c r="BI59" i="6"/>
  <c r="BI61" i="6" s="1"/>
  <c r="BH59" i="6"/>
  <c r="BH61" i="6" s="1"/>
  <c r="BG59" i="6"/>
  <c r="BG61" i="6" s="1"/>
  <c r="BF59" i="6"/>
  <c r="BF61" i="6" s="1"/>
  <c r="AZ59" i="6"/>
  <c r="AZ61" i="6" s="1"/>
  <c r="AY59" i="6"/>
  <c r="AX59" i="6"/>
  <c r="AX61" i="6" s="1"/>
  <c r="AW59" i="6"/>
  <c r="AV59" i="6"/>
  <c r="AV61" i="6" s="1"/>
  <c r="AU59" i="6"/>
  <c r="AT59" i="6"/>
  <c r="AT61" i="6" s="1"/>
  <c r="AS59" i="6"/>
  <c r="AR59" i="6"/>
  <c r="AR61" i="6" s="1"/>
  <c r="AQ59" i="6"/>
  <c r="AP59" i="6"/>
  <c r="AP61" i="6" s="1"/>
  <c r="AO59" i="6"/>
  <c r="AL59" i="6"/>
  <c r="AK59" i="6"/>
  <c r="AJ59" i="6"/>
  <c r="AI59" i="6"/>
  <c r="AH59" i="6"/>
  <c r="AG59" i="6"/>
  <c r="AF59" i="6"/>
  <c r="AE59" i="6"/>
  <c r="AD59" i="6"/>
  <c r="AC59" i="6"/>
  <c r="AA59" i="6"/>
  <c r="Z59" i="6"/>
  <c r="Z61" i="6" s="1"/>
  <c r="Y59" i="6"/>
  <c r="Y61" i="6" s="1"/>
  <c r="X59" i="6"/>
  <c r="W59" i="6"/>
  <c r="V59" i="6"/>
  <c r="V61" i="6" s="1"/>
  <c r="U59" i="6"/>
  <c r="U61" i="6" s="1"/>
  <c r="T59" i="6"/>
  <c r="T61" i="6" s="1"/>
  <c r="S59" i="6"/>
  <c r="S61" i="6" s="1"/>
  <c r="R59" i="6"/>
  <c r="R61" i="6" s="1"/>
  <c r="Q59" i="6"/>
  <c r="Q61" i="6" s="1"/>
  <c r="P59" i="6"/>
  <c r="P61" i="6" s="1"/>
  <c r="O59" i="6"/>
  <c r="O61" i="6" s="1"/>
  <c r="N59" i="6"/>
  <c r="N61" i="6" s="1"/>
  <c r="M59" i="6"/>
  <c r="M61" i="6" s="1"/>
  <c r="L59" i="6"/>
  <c r="L61" i="6" s="1"/>
  <c r="K59" i="6"/>
  <c r="K61" i="6" s="1"/>
  <c r="J59" i="6"/>
  <c r="J61" i="6" s="1"/>
  <c r="I59" i="6"/>
  <c r="I61" i="6" s="1"/>
  <c r="H59" i="6"/>
  <c r="AM61" i="6" l="1"/>
  <c r="AW61" i="6"/>
  <c r="AU61" i="6"/>
  <c r="AS61" i="6"/>
  <c r="AQ61" i="6"/>
  <c r="AO61" i="6"/>
  <c r="AL61" i="6"/>
  <c r="AJ61" i="6"/>
  <c r="AH61" i="6"/>
  <c r="G11" i="6"/>
  <c r="EV11" i="6" s="1"/>
  <c r="AF61" i="6"/>
  <c r="AD61" i="6"/>
  <c r="AK61" i="6"/>
  <c r="AI61" i="6"/>
  <c r="AG61" i="6"/>
  <c r="AE61" i="6"/>
  <c r="AC61" i="6"/>
  <c r="AA61" i="6"/>
  <c r="W61" i="6"/>
  <c r="X61" i="6"/>
  <c r="H61" i="6"/>
  <c r="AB58" i="6" l="1"/>
  <c r="AB57" i="6"/>
  <c r="DN58" i="6"/>
  <c r="DH58" i="6"/>
  <c r="DG58" i="6"/>
  <c r="DF58" i="6"/>
  <c r="DE58" i="6"/>
  <c r="DD58" i="6"/>
  <c r="DC58" i="6"/>
  <c r="DB58" i="6"/>
  <c r="DA58" i="6"/>
  <c r="CZ58" i="6"/>
  <c r="CY58" i="6"/>
  <c r="CX58" i="6"/>
  <c r="CW58" i="6"/>
  <c r="CV58" i="6"/>
  <c r="CU58" i="6"/>
  <c r="CT58" i="6"/>
  <c r="CS58" i="6"/>
  <c r="CR58" i="6"/>
  <c r="CQ58" i="6"/>
  <c r="CP58" i="6"/>
  <c r="CO58" i="6"/>
  <c r="CN58" i="6"/>
  <c r="CM58" i="6"/>
  <c r="CL58" i="6"/>
  <c r="CK58" i="6"/>
  <c r="CJ58" i="6"/>
  <c r="CD58" i="6"/>
  <c r="CC58" i="6"/>
  <c r="CB58" i="6"/>
  <c r="CA58" i="6"/>
  <c r="BZ58" i="6"/>
  <c r="BY58" i="6"/>
  <c r="BX58" i="6"/>
  <c r="BW58" i="6"/>
  <c r="BV58" i="6"/>
  <c r="BU58" i="6"/>
  <c r="BT58" i="6"/>
  <c r="BS58" i="6"/>
  <c r="BR58" i="6"/>
  <c r="BQ58" i="6"/>
  <c r="BP58" i="6"/>
  <c r="BO58" i="6"/>
  <c r="BN58" i="6"/>
  <c r="BM58" i="6"/>
  <c r="BL58" i="6"/>
  <c r="BK58" i="6"/>
  <c r="BJ58" i="6"/>
  <c r="BI58" i="6"/>
  <c r="BH58" i="6"/>
  <c r="BG58" i="6"/>
  <c r="BF58" i="6"/>
  <c r="AY58" i="6"/>
  <c r="AW58" i="6"/>
  <c r="AU58" i="6"/>
  <c r="AS58" i="6"/>
  <c r="AQ58" i="6"/>
  <c r="AO58" i="6"/>
  <c r="AM58" i="6"/>
  <c r="AL58" i="6"/>
  <c r="AK58" i="6"/>
  <c r="AJ58" i="6"/>
  <c r="AI58" i="6"/>
  <c r="AH58" i="6"/>
  <c r="AG58" i="6"/>
  <c r="AF58" i="6"/>
  <c r="AE58" i="6"/>
  <c r="AD58" i="6"/>
  <c r="AC58" i="6"/>
  <c r="AA58" i="6"/>
  <c r="Z58" i="6"/>
  <c r="Y58" i="6"/>
  <c r="X58" i="6"/>
  <c r="W58" i="6"/>
  <c r="H58" i="6"/>
  <c r="DN57" i="6"/>
  <c r="DH57" i="6"/>
  <c r="DG57" i="6"/>
  <c r="DF57" i="6"/>
  <c r="DE57" i="6"/>
  <c r="DD57" i="6"/>
  <c r="DC57" i="6"/>
  <c r="DB57" i="6"/>
  <c r="DA57" i="6"/>
  <c r="CZ57" i="6"/>
  <c r="CY57" i="6"/>
  <c r="CX57" i="6"/>
  <c r="CW57" i="6"/>
  <c r="CV57" i="6"/>
  <c r="CU57" i="6"/>
  <c r="CT57" i="6"/>
  <c r="CS57" i="6"/>
  <c r="CR57" i="6"/>
  <c r="CQ57" i="6"/>
  <c r="CP57" i="6"/>
  <c r="CO57" i="6"/>
  <c r="CN57" i="6"/>
  <c r="CM57" i="6"/>
  <c r="CL57" i="6"/>
  <c r="CK57" i="6"/>
  <c r="CJ57" i="6"/>
  <c r="CD57" i="6"/>
  <c r="CC57" i="6"/>
  <c r="CB57" i="6"/>
  <c r="CA57" i="6"/>
  <c r="BZ57" i="6"/>
  <c r="BY57" i="6"/>
  <c r="BX57" i="6"/>
  <c r="BW57" i="6"/>
  <c r="BV57" i="6"/>
  <c r="BU57" i="6"/>
  <c r="BT57" i="6"/>
  <c r="BS57" i="6"/>
  <c r="BR57" i="6"/>
  <c r="BQ57" i="6"/>
  <c r="BP57" i="6"/>
  <c r="BO57" i="6"/>
  <c r="BN57" i="6"/>
  <c r="BM57" i="6"/>
  <c r="BL57" i="6"/>
  <c r="BK57" i="6"/>
  <c r="BJ57" i="6"/>
  <c r="BI57" i="6"/>
  <c r="BH57" i="6"/>
  <c r="BG57" i="6"/>
  <c r="BF57" i="6"/>
  <c r="AY57" i="6"/>
  <c r="AW57" i="6"/>
  <c r="AU57" i="6"/>
  <c r="AS57" i="6"/>
  <c r="AQ57" i="6"/>
  <c r="AO57" i="6"/>
  <c r="AM57" i="6"/>
  <c r="ER57" i="6" s="1"/>
  <c r="AL57" i="6"/>
  <c r="AK57" i="6"/>
  <c r="AJ57" i="6"/>
  <c r="AI57" i="6"/>
  <c r="AH57" i="6"/>
  <c r="AG57" i="6"/>
  <c r="AF57" i="6"/>
  <c r="AE57" i="6"/>
  <c r="AD57" i="6"/>
  <c r="AC57" i="6"/>
  <c r="AA57" i="6"/>
  <c r="Z57" i="6"/>
  <c r="Y57" i="6"/>
  <c r="X57" i="6"/>
  <c r="W57" i="6"/>
  <c r="H57" i="6"/>
  <c r="G57" i="6"/>
  <c r="CI56" i="6"/>
  <c r="CH56" i="6"/>
  <c r="CG56" i="6"/>
  <c r="CF56" i="6"/>
  <c r="CF58" i="6" s="1"/>
  <c r="CE56" i="6"/>
  <c r="BD56" i="6"/>
  <c r="ET56" i="6" s="1"/>
  <c r="BC58" i="6"/>
  <c r="BA56" i="6"/>
  <c r="CI55" i="6"/>
  <c r="CH55" i="6"/>
  <c r="CG55" i="6"/>
  <c r="CF55" i="6"/>
  <c r="CE55" i="6"/>
  <c r="BE55" i="6"/>
  <c r="BD55" i="6"/>
  <c r="BD57" i="6" s="1"/>
  <c r="BC55" i="6"/>
  <c r="BB55" i="6"/>
  <c r="BB57" i="6" s="1"/>
  <c r="BA55" i="6"/>
  <c r="DM58" i="6"/>
  <c r="DL58" i="6"/>
  <c r="DK58" i="6"/>
  <c r="DJ58" i="6"/>
  <c r="DI58" i="6"/>
  <c r="CI58" i="6"/>
  <c r="CH58" i="6"/>
  <c r="CG58" i="6"/>
  <c r="CE58" i="6"/>
  <c r="BD53" i="6"/>
  <c r="ET53" i="6" s="1"/>
  <c r="BA53" i="6"/>
  <c r="DM52" i="6"/>
  <c r="DM57" i="6" s="1"/>
  <c r="DL52" i="6"/>
  <c r="DL57" i="6" s="1"/>
  <c r="DK52" i="6"/>
  <c r="DK57" i="6" s="1"/>
  <c r="DJ52" i="6"/>
  <c r="DJ57" i="6" s="1"/>
  <c r="DI52" i="6"/>
  <c r="DI57" i="6" s="1"/>
  <c r="CI52" i="6"/>
  <c r="CI57" i="6" s="1"/>
  <c r="CH52" i="6"/>
  <c r="CH57" i="6" s="1"/>
  <c r="CG52" i="6"/>
  <c r="CG57" i="6" s="1"/>
  <c r="CF52" i="6"/>
  <c r="CE52" i="6"/>
  <c r="CE57" i="6" s="1"/>
  <c r="BE57" i="6"/>
  <c r="BA57" i="6"/>
  <c r="BA45" i="6"/>
  <c r="ET57" i="6" l="1"/>
  <c r="EV55" i="6"/>
  <c r="ES55" i="6"/>
  <c r="EU55" i="6"/>
  <c r="CF57" i="6"/>
  <c r="ES58" i="6"/>
  <c r="ET55" i="6"/>
  <c r="BE58" i="6"/>
  <c r="G53" i="6"/>
  <c r="EV53" i="6" s="1"/>
  <c r="G56" i="6"/>
  <c r="EV56" i="6" s="1"/>
  <c r="BC57" i="6"/>
  <c r="ES57" i="6" s="1"/>
  <c r="BD58" i="6"/>
  <c r="BA58" i="6"/>
  <c r="BB58" i="6"/>
  <c r="EU58" i="6" s="1"/>
  <c r="AC50" i="6"/>
  <c r="AB51" i="6"/>
  <c r="AB50" i="6"/>
  <c r="Z51" i="6"/>
  <c r="Z50" i="6"/>
  <c r="X51" i="6"/>
  <c r="X50" i="6"/>
  <c r="W51" i="6"/>
  <c r="W50" i="6"/>
  <c r="H51" i="6"/>
  <c r="H50" i="6"/>
  <c r="DN51" i="6"/>
  <c r="CJ51" i="6"/>
  <c r="BF51" i="6"/>
  <c r="AY51" i="6"/>
  <c r="AX51" i="6"/>
  <c r="AW51" i="6"/>
  <c r="AV51" i="6"/>
  <c r="AU51" i="6"/>
  <c r="AT51" i="6"/>
  <c r="AS51" i="6"/>
  <c r="AR51" i="6"/>
  <c r="AQ51" i="6"/>
  <c r="AP51" i="6"/>
  <c r="AO51" i="6"/>
  <c r="AM51" i="6"/>
  <c r="ER51" i="6" s="1"/>
  <c r="AK51" i="6"/>
  <c r="AJ51" i="6"/>
  <c r="AI51" i="6"/>
  <c r="AH51" i="6"/>
  <c r="AG51" i="6"/>
  <c r="AF51" i="6"/>
  <c r="AE51" i="6"/>
  <c r="AD51" i="6"/>
  <c r="AC51" i="6"/>
  <c r="AA51" i="6"/>
  <c r="Y51" i="6"/>
  <c r="V51" i="6"/>
  <c r="U51" i="6"/>
  <c r="T51" i="6"/>
  <c r="S51" i="6"/>
  <c r="R51" i="6"/>
  <c r="Q51" i="6"/>
  <c r="P51" i="6"/>
  <c r="O51" i="6"/>
  <c r="N51" i="6"/>
  <c r="M51" i="6"/>
  <c r="L51" i="6"/>
  <c r="K51" i="6"/>
  <c r="J51" i="6"/>
  <c r="I51" i="6"/>
  <c r="DN50" i="6"/>
  <c r="CJ50" i="6"/>
  <c r="BF50" i="6"/>
  <c r="AY50" i="6"/>
  <c r="AX50" i="6"/>
  <c r="AW50" i="6"/>
  <c r="AV50" i="6"/>
  <c r="AU50" i="6"/>
  <c r="AT50" i="6"/>
  <c r="AS50" i="6"/>
  <c r="AR50" i="6"/>
  <c r="AQ50" i="6"/>
  <c r="AP50" i="6"/>
  <c r="AO50" i="6"/>
  <c r="AM50" i="6"/>
  <c r="AL50" i="6"/>
  <c r="AK50" i="6"/>
  <c r="AJ50" i="6"/>
  <c r="AI50" i="6"/>
  <c r="AH50" i="6"/>
  <c r="AG50" i="6"/>
  <c r="AF50" i="6"/>
  <c r="AE50" i="6"/>
  <c r="AD50" i="6"/>
  <c r="AA50" i="6"/>
  <c r="Y50" i="6"/>
  <c r="V50" i="6"/>
  <c r="U50" i="6"/>
  <c r="T50" i="6"/>
  <c r="S50" i="6"/>
  <c r="R50" i="6"/>
  <c r="Q50" i="6"/>
  <c r="P50" i="6"/>
  <c r="O50" i="6"/>
  <c r="N50" i="6"/>
  <c r="M50" i="6"/>
  <c r="L50" i="6"/>
  <c r="K50" i="6"/>
  <c r="J50" i="6"/>
  <c r="I50" i="6"/>
  <c r="BC51" i="6"/>
  <c r="BA49" i="6"/>
  <c r="BD48" i="6"/>
  <c r="ET48" i="6" s="1"/>
  <c r="BA48" i="6"/>
  <c r="BA50" i="6" s="1"/>
  <c r="BD47" i="6"/>
  <c r="ET47" i="6" s="1"/>
  <c r="BA47" i="6"/>
  <c r="BD46" i="6"/>
  <c r="ET46" i="6" s="1"/>
  <c r="BA46" i="6"/>
  <c r="BA42" i="6"/>
  <c r="BD42" i="6"/>
  <c r="ET42" i="6" s="1"/>
  <c r="BC44" i="6"/>
  <c r="DN44" i="6"/>
  <c r="DK44" i="6"/>
  <c r="DH44" i="6"/>
  <c r="DG44" i="6"/>
  <c r="DF44" i="6"/>
  <c r="DE44" i="6"/>
  <c r="DD44" i="6"/>
  <c r="DC44" i="6"/>
  <c r="DB44" i="6"/>
  <c r="DA44" i="6"/>
  <c r="CZ44" i="6"/>
  <c r="CY44" i="6"/>
  <c r="CX44" i="6"/>
  <c r="CW44" i="6"/>
  <c r="CV44" i="6"/>
  <c r="CU44" i="6"/>
  <c r="CT44" i="6"/>
  <c r="CS44" i="6"/>
  <c r="CR44" i="6"/>
  <c r="CQ44" i="6"/>
  <c r="CP44" i="6"/>
  <c r="CO44" i="6"/>
  <c r="CN44" i="6"/>
  <c r="CM44" i="6"/>
  <c r="CL44" i="6"/>
  <c r="CK44" i="6"/>
  <c r="CJ44" i="6"/>
  <c r="CD44" i="6"/>
  <c r="CC44" i="6"/>
  <c r="CB44" i="6"/>
  <c r="CA44" i="6"/>
  <c r="BZ44" i="6"/>
  <c r="BY44" i="6"/>
  <c r="BX44" i="6"/>
  <c r="BW44" i="6"/>
  <c r="BV44" i="6"/>
  <c r="BU44" i="6"/>
  <c r="BT44" i="6"/>
  <c r="BS44" i="6"/>
  <c r="BR44" i="6"/>
  <c r="BQ44" i="6"/>
  <c r="BP44" i="6"/>
  <c r="BO44" i="6"/>
  <c r="BN44" i="6"/>
  <c r="BM44" i="6"/>
  <c r="BL44" i="6"/>
  <c r="BK44" i="6"/>
  <c r="BJ44" i="6"/>
  <c r="BI44" i="6"/>
  <c r="BH44" i="6"/>
  <c r="BG44" i="6"/>
  <c r="BF44" i="6"/>
  <c r="DN43" i="6"/>
  <c r="DH43" i="6"/>
  <c r="DG43" i="6"/>
  <c r="DF43" i="6"/>
  <c r="DE43" i="6"/>
  <c r="DD43" i="6"/>
  <c r="DC43" i="6"/>
  <c r="DB43" i="6"/>
  <c r="DA43" i="6"/>
  <c r="CZ43" i="6"/>
  <c r="CY43" i="6"/>
  <c r="CX43" i="6"/>
  <c r="CW43" i="6"/>
  <c r="CV43" i="6"/>
  <c r="CU43" i="6"/>
  <c r="CT43" i="6"/>
  <c r="CS43" i="6"/>
  <c r="CR43" i="6"/>
  <c r="CQ43" i="6"/>
  <c r="CP43" i="6"/>
  <c r="CO43" i="6"/>
  <c r="CN43" i="6"/>
  <c r="CM43" i="6"/>
  <c r="CL43" i="6"/>
  <c r="CK43" i="6"/>
  <c r="CJ43" i="6"/>
  <c r="CD43" i="6"/>
  <c r="CC43" i="6"/>
  <c r="CB43" i="6"/>
  <c r="CA43" i="6"/>
  <c r="BZ43" i="6"/>
  <c r="BY43" i="6"/>
  <c r="BX43" i="6"/>
  <c r="BW43" i="6"/>
  <c r="BV43" i="6"/>
  <c r="BU43" i="6"/>
  <c r="BT43" i="6"/>
  <c r="BS43" i="6"/>
  <c r="BR43" i="6"/>
  <c r="BQ43" i="6"/>
  <c r="BP43" i="6"/>
  <c r="BO43" i="6"/>
  <c r="BN43" i="6"/>
  <c r="BM43" i="6"/>
  <c r="BL43" i="6"/>
  <c r="BK43" i="6"/>
  <c r="BJ43" i="6"/>
  <c r="BI43" i="6"/>
  <c r="BH43" i="6"/>
  <c r="BG43" i="6"/>
  <c r="BF43" i="6"/>
  <c r="BB43" i="6"/>
  <c r="AY44" i="6"/>
  <c r="AY43" i="6"/>
  <c r="BA39" i="6"/>
  <c r="AK44" i="6"/>
  <c r="AJ44" i="6"/>
  <c r="AI44" i="6"/>
  <c r="AH44" i="6"/>
  <c r="AG44" i="6"/>
  <c r="AF44" i="6"/>
  <c r="AE44" i="6"/>
  <c r="AD44" i="6"/>
  <c r="AC44" i="6"/>
  <c r="AK43" i="6"/>
  <c r="AJ43" i="6"/>
  <c r="AI43" i="6"/>
  <c r="AH43" i="6"/>
  <c r="AG43" i="6"/>
  <c r="AF43" i="6"/>
  <c r="AE43" i="6"/>
  <c r="AD43" i="6"/>
  <c r="AC43" i="6"/>
  <c r="AW44" i="6"/>
  <c r="AU44" i="6"/>
  <c r="AS44" i="6"/>
  <c r="AQ44" i="6"/>
  <c r="AO44" i="6"/>
  <c r="AM44" i="6"/>
  <c r="AL44" i="6"/>
  <c r="AB44" i="6"/>
  <c r="AA44" i="6"/>
  <c r="Z44" i="6"/>
  <c r="Y44" i="6"/>
  <c r="X44" i="6"/>
  <c r="W44" i="6"/>
  <c r="H44" i="6"/>
  <c r="AW43" i="6"/>
  <c r="AU43" i="6"/>
  <c r="AS43" i="6"/>
  <c r="AQ43" i="6"/>
  <c r="AO43" i="6"/>
  <c r="AM43" i="6"/>
  <c r="ER43" i="6" s="1"/>
  <c r="AL43" i="6"/>
  <c r="AB43" i="6"/>
  <c r="AA43" i="6"/>
  <c r="Z43" i="6"/>
  <c r="Y43" i="6"/>
  <c r="X43" i="6"/>
  <c r="W43" i="6"/>
  <c r="H43" i="6"/>
  <c r="G43" i="6"/>
  <c r="CI42" i="6"/>
  <c r="CH42" i="6"/>
  <c r="CG42" i="6"/>
  <c r="CF42" i="6"/>
  <c r="CE42" i="6"/>
  <c r="CI41" i="6"/>
  <c r="CH41" i="6"/>
  <c r="CG41" i="6"/>
  <c r="CF41" i="6"/>
  <c r="CF43" i="6" s="1"/>
  <c r="CE41" i="6"/>
  <c r="BE41" i="6"/>
  <c r="BD41" i="6"/>
  <c r="BD43" i="6" s="1"/>
  <c r="BC41" i="6"/>
  <c r="BB41" i="6"/>
  <c r="BA41" i="6"/>
  <c r="BA43" i="6" s="1"/>
  <c r="DM39" i="6"/>
  <c r="DM44" i="6" s="1"/>
  <c r="DL39" i="6"/>
  <c r="DL44" i="6" s="1"/>
  <c r="DK39" i="6"/>
  <c r="DJ39" i="6"/>
  <c r="DJ44" i="6" s="1"/>
  <c r="DI39" i="6"/>
  <c r="DI44" i="6" s="1"/>
  <c r="CI39" i="6"/>
  <c r="CI44" i="6" s="1"/>
  <c r="CH39" i="6"/>
  <c r="CH44" i="6" s="1"/>
  <c r="CG39" i="6"/>
  <c r="CG44" i="6" s="1"/>
  <c r="CF39" i="6"/>
  <c r="CF44" i="6" s="1"/>
  <c r="CE39" i="6"/>
  <c r="CE44" i="6" s="1"/>
  <c r="BE44" i="6"/>
  <c r="BD39" i="6"/>
  <c r="ET39" i="6" s="1"/>
  <c r="DM38" i="6"/>
  <c r="DM43" i="6" s="1"/>
  <c r="DL38" i="6"/>
  <c r="DL43" i="6" s="1"/>
  <c r="DK38" i="6"/>
  <c r="DK43" i="6" s="1"/>
  <c r="DJ38" i="6"/>
  <c r="DJ43" i="6" s="1"/>
  <c r="DI38" i="6"/>
  <c r="DI43" i="6" s="1"/>
  <c r="CI38" i="6"/>
  <c r="CI43" i="6" s="1"/>
  <c r="CH38" i="6"/>
  <c r="CH43" i="6" s="1"/>
  <c r="CG38" i="6"/>
  <c r="CG43" i="6" s="1"/>
  <c r="CF38" i="6"/>
  <c r="CE38" i="6"/>
  <c r="CE43" i="6" s="1"/>
  <c r="AY37" i="6"/>
  <c r="AX37" i="6"/>
  <c r="AW37" i="6"/>
  <c r="AV37" i="6"/>
  <c r="AU37" i="6"/>
  <c r="AT37" i="6"/>
  <c r="AS37" i="6"/>
  <c r="AR37" i="6"/>
  <c r="AQ37" i="6"/>
  <c r="AP37" i="6"/>
  <c r="AO37" i="6"/>
  <c r="AM37" i="6"/>
  <c r="AK37" i="6"/>
  <c r="AJ37" i="6"/>
  <c r="AI37" i="6"/>
  <c r="AH37" i="6"/>
  <c r="AG37" i="6"/>
  <c r="AF37" i="6"/>
  <c r="AE37" i="6"/>
  <c r="AD37" i="6"/>
  <c r="AC37" i="6"/>
  <c r="AB37" i="6"/>
  <c r="AY36" i="6"/>
  <c r="AX36" i="6"/>
  <c r="AW36" i="6"/>
  <c r="AV36" i="6"/>
  <c r="AU36" i="6"/>
  <c r="AT36" i="6"/>
  <c r="AS36" i="6"/>
  <c r="AR36" i="6"/>
  <c r="AQ36" i="6"/>
  <c r="AP36" i="6"/>
  <c r="AO36" i="6"/>
  <c r="AM36" i="6"/>
  <c r="AK36" i="6"/>
  <c r="AJ36" i="6"/>
  <c r="AI36" i="6"/>
  <c r="AH36" i="6"/>
  <c r="AG36" i="6"/>
  <c r="AF36" i="6"/>
  <c r="AE36" i="6"/>
  <c r="AD36" i="6"/>
  <c r="AC36" i="6"/>
  <c r="AB36" i="6"/>
  <c r="DN36" i="6"/>
  <c r="CJ37" i="6"/>
  <c r="CJ36" i="6"/>
  <c r="BF37" i="6"/>
  <c r="BF36" i="6"/>
  <c r="EU51" i="6" l="1"/>
  <c r="ES41" i="6"/>
  <c r="EV41" i="6"/>
  <c r="EU41" i="6"/>
  <c r="ET41" i="6"/>
  <c r="EU57" i="6"/>
  <c r="G45" i="6"/>
  <c r="EV45" i="6" s="1"/>
  <c r="G46" i="6"/>
  <c r="EV46" i="6" s="1"/>
  <c r="G39" i="6"/>
  <c r="G58" i="6"/>
  <c r="G49" i="6"/>
  <c r="EV49" i="6" s="1"/>
  <c r="BA44" i="6"/>
  <c r="G42" i="6"/>
  <c r="EV42" i="6" s="1"/>
  <c r="BE43" i="6"/>
  <c r="ET43" i="6" s="1"/>
  <c r="BC43" i="6"/>
  <c r="ES43" i="6" s="1"/>
  <c r="BE50" i="6"/>
  <c r="ET50" i="6" s="1"/>
  <c r="ER50" i="6"/>
  <c r="BC50" i="6"/>
  <c r="G48" i="6"/>
  <c r="EV48" i="6" s="1"/>
  <c r="BD50" i="6"/>
  <c r="BB51" i="6"/>
  <c r="ES51" i="6" s="1"/>
  <c r="BD51" i="6"/>
  <c r="ET51" i="6" s="1"/>
  <c r="BD44" i="6"/>
  <c r="ET44" i="6" s="1"/>
  <c r="BB44" i="6"/>
  <c r="ES44" i="6" s="1"/>
  <c r="BA51" i="6"/>
  <c r="BB50" i="6"/>
  <c r="EU50" i="6" s="1"/>
  <c r="BE51" i="6"/>
  <c r="EU44" i="6" l="1"/>
  <c r="ES50" i="6"/>
  <c r="EU43" i="6"/>
  <c r="G51" i="6"/>
  <c r="EV51" i="6" s="1"/>
  <c r="G44" i="6"/>
  <c r="EV44" i="6" s="1"/>
  <c r="G50" i="6"/>
  <c r="EV50" i="6" s="1"/>
  <c r="AA37" i="6"/>
  <c r="Z37" i="6"/>
  <c r="Y37" i="6"/>
  <c r="X37" i="6"/>
  <c r="W37" i="6"/>
  <c r="V37" i="6"/>
  <c r="U37" i="6"/>
  <c r="T37" i="6"/>
  <c r="S37" i="6"/>
  <c r="R37" i="6"/>
  <c r="Q37" i="6"/>
  <c r="P37" i="6"/>
  <c r="O37" i="6"/>
  <c r="N37" i="6"/>
  <c r="M37" i="6"/>
  <c r="L37" i="6"/>
  <c r="K37" i="6"/>
  <c r="J37" i="6"/>
  <c r="I37" i="6"/>
  <c r="H37" i="6"/>
  <c r="AA36" i="6"/>
  <c r="Z36" i="6"/>
  <c r="Y36" i="6"/>
  <c r="X36" i="6"/>
  <c r="W36" i="6"/>
  <c r="V36" i="6"/>
  <c r="U36" i="6"/>
  <c r="T36" i="6"/>
  <c r="S36" i="6"/>
  <c r="R36" i="6"/>
  <c r="Q36" i="6"/>
  <c r="P36" i="6"/>
  <c r="O36" i="6"/>
  <c r="N36" i="6"/>
  <c r="M36" i="6"/>
  <c r="L36" i="6"/>
  <c r="K36" i="6"/>
  <c r="J36" i="6"/>
  <c r="I36" i="6"/>
  <c r="H36" i="6"/>
  <c r="BD35" i="6"/>
  <c r="ET35" i="6" s="1"/>
  <c r="BC37" i="6"/>
  <c r="BA35" i="6"/>
  <c r="BD34" i="6"/>
  <c r="ET34" i="6" s="1"/>
  <c r="BA34" i="6"/>
  <c r="BD33" i="6"/>
  <c r="ET33" i="6" s="1"/>
  <c r="BA33" i="6"/>
  <c r="BA32" i="6"/>
  <c r="BE36" i="6"/>
  <c r="BC36" i="6"/>
  <c r="ES36" i="6" s="1"/>
  <c r="BB36" i="6"/>
  <c r="Y30" i="6"/>
  <c r="Y29" i="6"/>
  <c r="X30" i="6"/>
  <c r="X29" i="6"/>
  <c r="W30" i="6"/>
  <c r="W29" i="6"/>
  <c r="H30" i="6"/>
  <c r="H29" i="6"/>
  <c r="EU36" i="6" l="1"/>
  <c r="EU37" i="6"/>
  <c r="BA36" i="6"/>
  <c r="BE37" i="6"/>
  <c r="ET37" i="6" s="1"/>
  <c r="ES33" i="6"/>
  <c r="ES32" i="6"/>
  <c r="G32" i="6"/>
  <c r="EV32" i="6" s="1"/>
  <c r="BA37" i="6"/>
  <c r="ES35" i="6"/>
  <c r="G35" i="6"/>
  <c r="EV35" i="6" s="1"/>
  <c r="G34" i="6"/>
  <c r="EV34" i="6" s="1"/>
  <c r="ES34" i="6"/>
  <c r="BD37" i="6"/>
  <c r="BB37" i="6"/>
  <c r="ES37" i="6" s="1"/>
  <c r="BD36" i="6"/>
  <c r="ET36" i="6" s="1"/>
  <c r="G36" i="6" l="1"/>
  <c r="EV36" i="6" s="1"/>
  <c r="G37" i="6"/>
  <c r="EV37" i="6" s="1"/>
  <c r="BD27" i="6"/>
  <c r="BA27" i="6"/>
  <c r="BD26" i="6"/>
  <c r="ET26" i="6" s="1"/>
  <c r="BA26" i="6"/>
  <c r="BD25" i="6"/>
  <c r="ET25" i="6" s="1"/>
  <c r="BA25" i="6"/>
  <c r="BE29" i="6"/>
  <c r="G27" i="6" l="1"/>
  <c r="EV27" i="6" s="1"/>
  <c r="ET27" i="6"/>
  <c r="ET29" i="6"/>
  <c r="BA59" i="6"/>
  <c r="G25" i="6"/>
  <c r="EV25" i="6" s="1"/>
  <c r="BA29" i="6"/>
  <c r="BC29" i="6"/>
  <c r="BD29" i="6"/>
  <c r="G29" i="6"/>
  <c r="BB29" i="6"/>
  <c r="BC30" i="6"/>
  <c r="BE30" i="6"/>
  <c r="BB30" i="6"/>
  <c r="BE59" i="6"/>
  <c r="G20" i="6"/>
  <c r="EV20" i="6" s="1"/>
  <c r="ES29" i="6" l="1"/>
  <c r="EV29" i="6"/>
  <c r="EU29" i="6"/>
  <c r="ES30" i="6"/>
  <c r="EU30" i="6"/>
  <c r="G18" i="6"/>
  <c r="EV18" i="6" s="1"/>
  <c r="G21" i="6"/>
  <c r="EV21" i="6" s="1"/>
  <c r="BA20" i="6"/>
  <c r="BA17" i="6"/>
  <c r="G22" i="6"/>
  <c r="BE16" i="6"/>
  <c r="BC16" i="6"/>
  <c r="BE13" i="6"/>
  <c r="BD13" i="6"/>
  <c r="BD15" i="6" s="1"/>
  <c r="BC13" i="6"/>
  <c r="BB13" i="6"/>
  <c r="BB15" i="6" s="1"/>
  <c r="BD59" i="6"/>
  <c r="BA13" i="6"/>
  <c r="BA15" i="6" s="1"/>
  <c r="ET13" i="6" l="1"/>
  <c r="ES13" i="6"/>
  <c r="EU13" i="6"/>
  <c r="EV13" i="6"/>
  <c r="BE15" i="6"/>
  <c r="ET15" i="6" s="1"/>
  <c r="G59" i="6"/>
  <c r="BB59" i="6"/>
  <c r="G14" i="6"/>
  <c r="EV14" i="6" s="1"/>
  <c r="BD16" i="6"/>
  <c r="ET16" i="6" s="1"/>
  <c r="BB16" i="6"/>
  <c r="ES16" i="6" s="1"/>
  <c r="BC15" i="6"/>
  <c r="ES15" i="6" s="1"/>
  <c r="BC61" i="6"/>
  <c r="BE60" i="6"/>
  <c r="BE61" i="6" s="1"/>
  <c r="BB60" i="6"/>
  <c r="BA16" i="6"/>
  <c r="AL16" i="6"/>
  <c r="AL15" i="6"/>
  <c r="AY23" i="6"/>
  <c r="AY22" i="6"/>
  <c r="AW23" i="6"/>
  <c r="AW22" i="6"/>
  <c r="AU23" i="6"/>
  <c r="AU22" i="6"/>
  <c r="AS23" i="6"/>
  <c r="AS22" i="6"/>
  <c r="AQ23" i="6"/>
  <c r="AQ22" i="6"/>
  <c r="AO23" i="6"/>
  <c r="AO22" i="6"/>
  <c r="AM23" i="6"/>
  <c r="AM22" i="6"/>
  <c r="ER22" i="6" s="1"/>
  <c r="AL22" i="6"/>
  <c r="AK23" i="6"/>
  <c r="AK22" i="6"/>
  <c r="AJ23" i="6"/>
  <c r="AJ22" i="6"/>
  <c r="AI23" i="6"/>
  <c r="AI22" i="6"/>
  <c r="AH23" i="6"/>
  <c r="AH22" i="6"/>
  <c r="AG23" i="6"/>
  <c r="AG22" i="6"/>
  <c r="AF23" i="6"/>
  <c r="AF22" i="6"/>
  <c r="AE23" i="6"/>
  <c r="AE22" i="6"/>
  <c r="AD23" i="6"/>
  <c r="AD22" i="6"/>
  <c r="AC23" i="6"/>
  <c r="AC22" i="6"/>
  <c r="AB23" i="6"/>
  <c r="AB22" i="6"/>
  <c r="AA23" i="6"/>
  <c r="AA22" i="6"/>
  <c r="Z23" i="6"/>
  <c r="Z22" i="6"/>
  <c r="Y23" i="6"/>
  <c r="Y22" i="6"/>
  <c r="BB61" i="6" l="1"/>
  <c r="BA23" i="6"/>
  <c r="BA22" i="6"/>
  <c r="AY16" i="6" l="1"/>
  <c r="AY15" i="6"/>
  <c r="AW16" i="6"/>
  <c r="AW15" i="6"/>
  <c r="AU16" i="6"/>
  <c r="AU15" i="6"/>
  <c r="AS16" i="6"/>
  <c r="AS15" i="6"/>
  <c r="AQ16" i="6"/>
  <c r="AQ15" i="6"/>
  <c r="AO16" i="6"/>
  <c r="AO15" i="6"/>
  <c r="AM16" i="6"/>
  <c r="AM15" i="6"/>
  <c r="ER15" i="6" s="1"/>
  <c r="G15" i="6"/>
  <c r="G16" i="6" l="1"/>
  <c r="BF14" i="5"/>
  <c r="BE14" i="5"/>
  <c r="BD14" i="5"/>
  <c r="BC14" i="5"/>
  <c r="X23" i="6"/>
  <c r="X22" i="6"/>
  <c r="W23" i="6"/>
  <c r="W22" i="6"/>
  <c r="ET15" i="5"/>
  <c r="BG15" i="5"/>
  <c r="BG14" i="5"/>
  <c r="BF19" i="5"/>
  <c r="BF18" i="5"/>
  <c r="BF15" i="5"/>
  <c r="BE15" i="5"/>
  <c r="EU14" i="5" l="1"/>
  <c r="EV15" i="5"/>
  <c r="EV14" i="5"/>
  <c r="EV19" i="5"/>
  <c r="EV18" i="5"/>
  <c r="H22" i="6"/>
  <c r="AK16" i="6"/>
  <c r="AK15" i="6"/>
  <c r="AJ16" i="6"/>
  <c r="AJ15" i="6"/>
  <c r="AI16" i="6"/>
  <c r="AI15" i="6"/>
  <c r="AH16" i="6"/>
  <c r="AH15" i="6"/>
  <c r="AG16" i="6"/>
  <c r="AG15" i="6"/>
  <c r="AF16" i="6"/>
  <c r="AF15" i="6"/>
  <c r="AE16" i="6"/>
  <c r="AE15" i="6"/>
  <c r="AD16" i="6"/>
  <c r="AD15" i="6"/>
  <c r="AC16" i="6"/>
  <c r="AC15" i="6"/>
  <c r="AB15" i="6"/>
  <c r="AB16" i="6" l="1"/>
  <c r="AB61" i="6"/>
  <c r="H23" i="6"/>
  <c r="AA16" i="6" l="1"/>
  <c r="AA15" i="6"/>
  <c r="Z16" i="6"/>
  <c r="Z15" i="6"/>
  <c r="Y16" i="6"/>
  <c r="Y15" i="6"/>
  <c r="X16" i="6"/>
  <c r="X15" i="6"/>
  <c r="W16" i="6"/>
  <c r="W15" i="6"/>
  <c r="H15" i="6"/>
  <c r="H16" i="6"/>
  <c r="CI23" i="6"/>
  <c r="CH23" i="6"/>
  <c r="CG23" i="6"/>
  <c r="CF23" i="6"/>
  <c r="CE23" i="6"/>
  <c r="CI22" i="6"/>
  <c r="CH22" i="6"/>
  <c r="CG22" i="6"/>
  <c r="CF22" i="6"/>
  <c r="CE22" i="6"/>
  <c r="CI21" i="6"/>
  <c r="CH21" i="6"/>
  <c r="CG21" i="6"/>
  <c r="CF21" i="6"/>
  <c r="CE21" i="6"/>
  <c r="CI20" i="6"/>
  <c r="CH20" i="6"/>
  <c r="CG20" i="6"/>
  <c r="CF20" i="6"/>
  <c r="CE20" i="6"/>
  <c r="CI18" i="6"/>
  <c r="CH18" i="6"/>
  <c r="CG18" i="6"/>
  <c r="CF18" i="6"/>
  <c r="CE18" i="6"/>
  <c r="CI17" i="6"/>
  <c r="CH17" i="6"/>
  <c r="CG17" i="6"/>
  <c r="CF17" i="6"/>
  <c r="CE17" i="6"/>
  <c r="CE16" i="6"/>
  <c r="CI15" i="6"/>
  <c r="CH15" i="6"/>
  <c r="CG15" i="6"/>
  <c r="CF15" i="6"/>
  <c r="CE15" i="6"/>
  <c r="CI14" i="6"/>
  <c r="CH14" i="6"/>
  <c r="CG14" i="6"/>
  <c r="CG60" i="6" s="1"/>
  <c r="CF14" i="6"/>
  <c r="CF60" i="6" s="1"/>
  <c r="CE14" i="6"/>
  <c r="CE60" i="6" s="1"/>
  <c r="CI13" i="6"/>
  <c r="CH13" i="6"/>
  <c r="CG13" i="6"/>
  <c r="CF13" i="6"/>
  <c r="CE13" i="6"/>
  <c r="CI12" i="6"/>
  <c r="CH12" i="6"/>
  <c r="CG12" i="6"/>
  <c r="CF12" i="6"/>
  <c r="CE12" i="6"/>
  <c r="CI11" i="6"/>
  <c r="CH11" i="6"/>
  <c r="CH59" i="6" s="1"/>
  <c r="CG11" i="6"/>
  <c r="CF11" i="6"/>
  <c r="CE11" i="6"/>
  <c r="CI10" i="6"/>
  <c r="CH10" i="6"/>
  <c r="CG10" i="6"/>
  <c r="CF10" i="6"/>
  <c r="CE10" i="6"/>
  <c r="EM37" i="6"/>
  <c r="EQ36" i="6"/>
  <c r="EP36" i="6"/>
  <c r="EO36" i="6"/>
  <c r="EN36" i="6"/>
  <c r="EM36" i="6"/>
  <c r="EQ35" i="6"/>
  <c r="EP35" i="6"/>
  <c r="EO35" i="6"/>
  <c r="EN35" i="6"/>
  <c r="EM35" i="6"/>
  <c r="EQ34" i="6"/>
  <c r="EP34" i="6"/>
  <c r="EO34" i="6"/>
  <c r="EN34" i="6"/>
  <c r="EM34" i="6"/>
  <c r="EQ33" i="6"/>
  <c r="EP33" i="6"/>
  <c r="EO33" i="6"/>
  <c r="EN33" i="6"/>
  <c r="EM33" i="6"/>
  <c r="EQ32" i="6"/>
  <c r="EQ37" i="6" s="1"/>
  <c r="EP32" i="6"/>
  <c r="EO32" i="6"/>
  <c r="EO37" i="6" s="1"/>
  <c r="EN32" i="6"/>
  <c r="EN37" i="6" s="1"/>
  <c r="EM32" i="6"/>
  <c r="EQ31" i="6"/>
  <c r="EP31" i="6"/>
  <c r="EO31" i="6"/>
  <c r="EN31" i="6"/>
  <c r="EM31" i="6"/>
  <c r="EM30" i="6"/>
  <c r="EQ29" i="6"/>
  <c r="EP29" i="6"/>
  <c r="EO29" i="6"/>
  <c r="EN29" i="6"/>
  <c r="EM29" i="6"/>
  <c r="EQ28" i="6"/>
  <c r="EP28" i="6"/>
  <c r="EO28" i="6"/>
  <c r="EN28" i="6"/>
  <c r="EM28" i="6"/>
  <c r="EQ27" i="6"/>
  <c r="EP27" i="6"/>
  <c r="EO27" i="6"/>
  <c r="EN27" i="6"/>
  <c r="EM27" i="6"/>
  <c r="EQ26" i="6"/>
  <c r="EP26" i="6"/>
  <c r="EO26" i="6"/>
  <c r="EN26" i="6"/>
  <c r="EM26" i="6"/>
  <c r="EQ25" i="6"/>
  <c r="EP25" i="6"/>
  <c r="EP30" i="6" s="1"/>
  <c r="EO25" i="6"/>
  <c r="EO30" i="6" s="1"/>
  <c r="EN25" i="6"/>
  <c r="EN30" i="6" s="1"/>
  <c r="EM25" i="6"/>
  <c r="EQ24" i="6"/>
  <c r="EP24" i="6"/>
  <c r="EO24" i="6"/>
  <c r="EN24" i="6"/>
  <c r="EM24" i="6"/>
  <c r="EM23" i="6"/>
  <c r="EQ22" i="6"/>
  <c r="EP22" i="6"/>
  <c r="EO22" i="6"/>
  <c r="EN22" i="6"/>
  <c r="EM22" i="6"/>
  <c r="DM23" i="6"/>
  <c r="DL23" i="6"/>
  <c r="DK23" i="6"/>
  <c r="DJ23" i="6"/>
  <c r="DI23" i="6"/>
  <c r="EQ21" i="6"/>
  <c r="EP21" i="6"/>
  <c r="EO21" i="6"/>
  <c r="EN21" i="6"/>
  <c r="EM21" i="6"/>
  <c r="DM22" i="6"/>
  <c r="DL22" i="6"/>
  <c r="DK22" i="6"/>
  <c r="DJ22" i="6"/>
  <c r="DI22" i="6"/>
  <c r="BD23" i="6"/>
  <c r="BC23" i="6"/>
  <c r="BB23" i="6"/>
  <c r="EQ20" i="6"/>
  <c r="EP20" i="6"/>
  <c r="EO20" i="6"/>
  <c r="EN20" i="6"/>
  <c r="EM20" i="6"/>
  <c r="DM21" i="6"/>
  <c r="DM60" i="6" s="1"/>
  <c r="DL21" i="6"/>
  <c r="DL60" i="6" s="1"/>
  <c r="DK21" i="6"/>
  <c r="DK60" i="6" s="1"/>
  <c r="DJ21" i="6"/>
  <c r="DJ60" i="6" s="1"/>
  <c r="DI21" i="6"/>
  <c r="DI60" i="6" s="1"/>
  <c r="BD22" i="6"/>
  <c r="BC22" i="6"/>
  <c r="BB22" i="6"/>
  <c r="EQ19" i="6"/>
  <c r="EP19" i="6"/>
  <c r="EO19" i="6"/>
  <c r="EN19" i="6"/>
  <c r="EM19" i="6"/>
  <c r="DM20" i="6"/>
  <c r="DL20" i="6"/>
  <c r="DK20" i="6"/>
  <c r="DJ20" i="6"/>
  <c r="DI20" i="6"/>
  <c r="EQ18" i="6"/>
  <c r="EQ23" i="6" s="1"/>
  <c r="EP18" i="6"/>
  <c r="EP23" i="6" s="1"/>
  <c r="EO18" i="6"/>
  <c r="EN18" i="6"/>
  <c r="EM18" i="6"/>
  <c r="DM18" i="6"/>
  <c r="DL18" i="6"/>
  <c r="DK18" i="6"/>
  <c r="DJ18" i="6"/>
  <c r="DI18" i="6"/>
  <c r="EQ17" i="6"/>
  <c r="EP17" i="6"/>
  <c r="EO17" i="6"/>
  <c r="EN17" i="6"/>
  <c r="EM17" i="6"/>
  <c r="DM17" i="6"/>
  <c r="DL17" i="6"/>
  <c r="DK17" i="6"/>
  <c r="DJ17" i="6"/>
  <c r="DI17" i="6"/>
  <c r="EM16" i="6"/>
  <c r="DI16" i="6"/>
  <c r="EQ15" i="6"/>
  <c r="EP15" i="6"/>
  <c r="EO15" i="6"/>
  <c r="EN15" i="6"/>
  <c r="EM15" i="6"/>
  <c r="DM15" i="6"/>
  <c r="DL15" i="6"/>
  <c r="DK15" i="6"/>
  <c r="DJ15" i="6"/>
  <c r="DI15" i="6"/>
  <c r="EQ14" i="6"/>
  <c r="EP14" i="6"/>
  <c r="EO14" i="6"/>
  <c r="EN14" i="6"/>
  <c r="EM14" i="6"/>
  <c r="EQ13" i="6"/>
  <c r="EP13" i="6"/>
  <c r="EO13" i="6"/>
  <c r="EN13" i="6"/>
  <c r="EM13" i="6"/>
  <c r="EQ12" i="6"/>
  <c r="EP12" i="6"/>
  <c r="EO12" i="6"/>
  <c r="EN12" i="6"/>
  <c r="EM12" i="6"/>
  <c r="BD12" i="6"/>
  <c r="ET12" i="6" s="1"/>
  <c r="EQ11" i="6"/>
  <c r="EQ16" i="6" s="1"/>
  <c r="EP11" i="6"/>
  <c r="EO11" i="6"/>
  <c r="EN11" i="6"/>
  <c r="EM11" i="6"/>
  <c r="DM11" i="6"/>
  <c r="DL11" i="6"/>
  <c r="DK11" i="6"/>
  <c r="DJ11" i="6"/>
  <c r="DI11" i="6"/>
  <c r="DI59" i="6" s="1"/>
  <c r="DI61" i="6" s="1"/>
  <c r="EQ10" i="6"/>
  <c r="EP10" i="6"/>
  <c r="EO10" i="6"/>
  <c r="EN10" i="6"/>
  <c r="EM10" i="6"/>
  <c r="DM10" i="6"/>
  <c r="DL10" i="6"/>
  <c r="DK10" i="6"/>
  <c r="DJ10" i="6"/>
  <c r="DI10" i="6"/>
  <c r="BC19" i="5"/>
  <c r="EW19" i="5" s="1"/>
  <c r="CI16" i="6" l="1"/>
  <c r="CI59" i="6"/>
  <c r="ES23" i="6"/>
  <c r="EU23" i="6"/>
  <c r="DJ16" i="6"/>
  <c r="DJ59" i="6"/>
  <c r="DJ61" i="6" s="1"/>
  <c r="DL16" i="6"/>
  <c r="DL59" i="6"/>
  <c r="DL61" i="6" s="1"/>
  <c r="DM16" i="6"/>
  <c r="DM59" i="6"/>
  <c r="DM61" i="6" s="1"/>
  <c r="CE59" i="6"/>
  <c r="CE61" i="6" s="1"/>
  <c r="DK16" i="6"/>
  <c r="DK59" i="6"/>
  <c r="DK61" i="6" s="1"/>
  <c r="ES22" i="6"/>
  <c r="EV22" i="6"/>
  <c r="EU22" i="6"/>
  <c r="CF16" i="6"/>
  <c r="CF59" i="6"/>
  <c r="CF61" i="6" s="1"/>
  <c r="EP16" i="6"/>
  <c r="CG16" i="6"/>
  <c r="CG59" i="6"/>
  <c r="CG61" i="6" s="1"/>
  <c r="CH16" i="6"/>
  <c r="CH60" i="6"/>
  <c r="EU15" i="6"/>
  <c r="EO23" i="6"/>
  <c r="CH61" i="6"/>
  <c r="CI60" i="6"/>
  <c r="EU16" i="6"/>
  <c r="EV16" i="6"/>
  <c r="EU19" i="5"/>
  <c r="EU18" i="5"/>
  <c r="BE23" i="6"/>
  <c r="ET23" i="6" s="1"/>
  <c r="G23" i="6"/>
  <c r="EV23" i="6" s="1"/>
  <c r="BE22" i="6"/>
  <c r="ET22" i="6" s="1"/>
  <c r="EN16" i="6"/>
  <c r="EO16" i="6"/>
  <c r="EN23" i="6"/>
  <c r="EQ30" i="6"/>
  <c r="EP37" i="6"/>
  <c r="BD15" i="5"/>
  <c r="BC15" i="5"/>
  <c r="I15" i="5" s="1"/>
  <c r="EX15" i="5" s="1"/>
  <c r="CI61" i="6" l="1"/>
  <c r="EU15" i="5"/>
  <c r="EW15" i="5"/>
  <c r="W13" i="5"/>
  <c r="W12" i="5"/>
  <c r="I14" i="5"/>
  <c r="EM58" i="6" l="1"/>
  <c r="EQ57" i="6"/>
  <c r="EP57" i="6"/>
  <c r="EO57" i="6"/>
  <c r="EM57" i="6"/>
  <c r="EQ56" i="6"/>
  <c r="EP56" i="6"/>
  <c r="EO56" i="6"/>
  <c r="EN56" i="6"/>
  <c r="EM56" i="6"/>
  <c r="EP55" i="6"/>
  <c r="EO55" i="6"/>
  <c r="EN55" i="6"/>
  <c r="EM55" i="6"/>
  <c r="EQ54" i="6"/>
  <c r="EP54" i="6"/>
  <c r="EO54" i="6"/>
  <c r="EN54" i="6"/>
  <c r="EM54" i="6"/>
  <c r="EQ53" i="6"/>
  <c r="EP53" i="6"/>
  <c r="EO53" i="6"/>
  <c r="EN53" i="6"/>
  <c r="EM53" i="6"/>
  <c r="EQ52" i="6"/>
  <c r="EP52" i="6"/>
  <c r="EO52" i="6"/>
  <c r="EN52" i="6"/>
  <c r="EM52" i="6"/>
  <c r="EM51" i="6"/>
  <c r="EQ50" i="6"/>
  <c r="EP50" i="6"/>
  <c r="EO50" i="6"/>
  <c r="EN50" i="6"/>
  <c r="EM50" i="6"/>
  <c r="EQ49" i="6"/>
  <c r="EP49" i="6"/>
  <c r="EO49" i="6"/>
  <c r="EN49" i="6"/>
  <c r="EM49" i="6"/>
  <c r="EQ48" i="6"/>
  <c r="EP48" i="6"/>
  <c r="EO48" i="6"/>
  <c r="EN48" i="6"/>
  <c r="EM48" i="6"/>
  <c r="EQ47" i="6"/>
  <c r="EP47" i="6"/>
  <c r="EO47" i="6"/>
  <c r="EN47" i="6"/>
  <c r="EM47" i="6"/>
  <c r="EQ46" i="6"/>
  <c r="EP46" i="6"/>
  <c r="EO46" i="6"/>
  <c r="EN46" i="6"/>
  <c r="EM46" i="6"/>
  <c r="EQ45" i="6"/>
  <c r="EP45" i="6"/>
  <c r="EO45" i="6"/>
  <c r="EN45" i="6"/>
  <c r="EM45" i="6"/>
  <c r="EM44" i="6"/>
  <c r="EQ42" i="6"/>
  <c r="EP42" i="6"/>
  <c r="EO42" i="6"/>
  <c r="EN42" i="6"/>
  <c r="EM42" i="6"/>
  <c r="EP41" i="6"/>
  <c r="EO41" i="6"/>
  <c r="EN41" i="6"/>
  <c r="EQ40" i="6"/>
  <c r="EP40" i="6"/>
  <c r="EO40" i="6"/>
  <c r="EN40" i="6"/>
  <c r="EM40" i="6"/>
  <c r="EQ39" i="6"/>
  <c r="EP39" i="6"/>
  <c r="EO39" i="6"/>
  <c r="EN39" i="6"/>
  <c r="EM39" i="6"/>
  <c r="EO38" i="6"/>
  <c r="EQ38" i="6" s="1"/>
  <c r="EQ43" i="6" s="1"/>
  <c r="EN38" i="6"/>
  <c r="EM38" i="6"/>
  <c r="EM43" i="6" s="1"/>
  <c r="EN43" i="6" l="1"/>
  <c r="EP58" i="6"/>
  <c r="EN51" i="6"/>
  <c r="EQ58" i="6"/>
  <c r="EP44" i="6"/>
  <c r="EN44" i="6"/>
  <c r="EO44" i="6"/>
  <c r="EO51" i="6"/>
  <c r="EQ44" i="6"/>
  <c r="EQ51" i="6"/>
  <c r="EP51" i="6"/>
  <c r="EN58" i="6"/>
  <c r="EO58" i="6"/>
  <c r="EO43" i="6"/>
  <c r="EP38" i="6"/>
  <c r="EP43" i="6" s="1"/>
  <c r="F476" i="14" l="1"/>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G440" i="14"/>
  <c r="I439" i="14"/>
  <c r="G439" i="14"/>
  <c r="I438" i="14"/>
  <c r="G438" i="14"/>
  <c r="I437" i="14"/>
  <c r="G437" i="14"/>
  <c r="I436" i="14"/>
  <c r="G436" i="14"/>
  <c r="I432" i="14"/>
  <c r="G432" i="14"/>
  <c r="I431" i="14"/>
  <c r="G431" i="14"/>
  <c r="I430" i="14"/>
  <c r="G430" i="14"/>
  <c r="I429" i="14"/>
  <c r="G429" i="14"/>
  <c r="I428" i="14"/>
  <c r="G428" i="14"/>
  <c r="I427" i="14"/>
  <c r="G427" i="14"/>
  <c r="I423" i="14"/>
  <c r="G423" i="14"/>
  <c r="I422" i="14"/>
  <c r="G422" i="14"/>
  <c r="I421" i="14"/>
  <c r="G421" i="14"/>
  <c r="I420" i="14"/>
  <c r="G420" i="14"/>
  <c r="I419" i="14"/>
  <c r="G419" i="14"/>
  <c r="I418" i="14"/>
  <c r="G418" i="14"/>
  <c r="I414" i="14"/>
  <c r="G414" i="14"/>
  <c r="I413" i="14"/>
  <c r="G413" i="14"/>
  <c r="I412" i="14"/>
  <c r="G412" i="14"/>
  <c r="I411" i="14"/>
  <c r="G411" i="14"/>
  <c r="I410" i="14"/>
  <c r="G410" i="14"/>
  <c r="I409" i="14"/>
  <c r="G409" i="14"/>
  <c r="H303" i="14"/>
  <c r="H302" i="14"/>
  <c r="H301" i="14"/>
  <c r="H300" i="14"/>
  <c r="H299" i="14"/>
  <c r="H298" i="14"/>
  <c r="H294" i="14"/>
  <c r="H293" i="14"/>
  <c r="H292" i="14"/>
  <c r="H291" i="14"/>
  <c r="H290" i="14"/>
  <c r="H289" i="14"/>
  <c r="H285" i="14"/>
  <c r="H284" i="14"/>
  <c r="H283" i="14"/>
  <c r="H282" i="14"/>
  <c r="H281" i="14"/>
  <c r="H280" i="14"/>
  <c r="H276" i="14"/>
  <c r="H275" i="14"/>
  <c r="H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19" i="14"/>
  <c r="F14" i="14"/>
  <c r="F9" i="14"/>
  <c r="Q145" i="14" l="1"/>
  <c r="F446" i="14"/>
  <c r="G446" i="14" s="1"/>
  <c r="E34" i="14"/>
  <c r="BD28" i="6"/>
  <c r="AY60" i="6"/>
  <c r="AY61" i="6" s="1"/>
  <c r="BA28" i="6"/>
  <c r="BA60" i="6" s="1"/>
  <c r="BA61" i="6" s="1"/>
  <c r="BD30" i="6" l="1"/>
  <c r="ET30" i="6" s="1"/>
  <c r="ET28" i="6"/>
  <c r="G28" i="6"/>
  <c r="EV28" i="6" s="1"/>
  <c r="BD60" i="6"/>
  <c r="BA30" i="6"/>
  <c r="BD61" i="6" l="1"/>
  <c r="G30" i="6"/>
  <c r="EV30" i="6" s="1"/>
  <c r="G60" i="6"/>
  <c r="G6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ANGELICA ORTIZ</author>
  </authors>
  <commentList>
    <comment ref="BC35" authorId="0" shapeId="0" xr:uid="{D979E2C8-BCFF-4CAA-B817-F37951A2FD8D}">
      <text>
        <r>
          <rPr>
            <b/>
            <sz val="9"/>
            <color indexed="81"/>
            <rFont val="Tahoma"/>
            <family val="2"/>
          </rPr>
          <t>ANGELICA ORTIZ:</t>
        </r>
        <r>
          <rPr>
            <sz val="9"/>
            <color indexed="81"/>
            <rFont val="Tahoma"/>
            <family val="2"/>
          </rPr>
          <t xml:space="preserve">
La reserva está bien de acuerdo con los compromisos de esta meta.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ANGELICA ORTIZ</author>
    <author>YULIED.PENARANDA</author>
  </authors>
  <commentList>
    <comment ref="B28" authorId="0" shapeId="0" xr:uid="{B4333899-2B3D-4762-98FB-5409831C9F71}">
      <text>
        <r>
          <rPr>
            <b/>
            <sz val="9"/>
            <color indexed="81"/>
            <rFont val="Tahoma"/>
            <family val="2"/>
          </rPr>
          <t>ANGELICA ORTIZ:</t>
        </r>
        <r>
          <rPr>
            <sz val="9"/>
            <color indexed="81"/>
            <rFont val="Tahoma"/>
            <family val="2"/>
          </rPr>
          <t xml:space="preserve">
Revisar la desagregación de los recursos en ejecución, de la meta, por que la ejecución del mes de junio fue de 150, y acá me está dando 184</t>
        </r>
      </text>
    </comment>
    <comment ref="B34" authorId="0" shapeId="0" xr:uid="{3D6AD286-840D-4BF2-969D-71734DE15034}">
      <text>
        <r>
          <rPr>
            <b/>
            <sz val="9"/>
            <color indexed="81"/>
            <rFont val="Tahoma"/>
            <family val="2"/>
          </rPr>
          <t>ANGELICA ORTIZ:</t>
        </r>
        <r>
          <rPr>
            <sz val="9"/>
            <color indexed="81"/>
            <rFont val="Tahoma"/>
            <family val="2"/>
          </rPr>
          <t xml:space="preserve">
Revisar la desagregación de los recursos en ejecución, de la meta, por que la ejecución del mes de junio fue de 150, y acá me está dando 184</t>
        </r>
      </text>
    </comment>
    <comment ref="D100" authorId="1" shapeId="0" xr:uid="{75574B18-FFE1-4365-8FE3-41CAD7486D6E}">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01" authorId="1" shapeId="0" xr:uid="{90238387-9723-49ED-B01D-F7ACB43A2294}">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02" authorId="1" shapeId="0" xr:uid="{88FFF436-5425-47C3-A911-909BC7435EB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6AC8F4A5-5096-4FD7-801C-A5C20AE7A8C5}">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F78F0425-C6BA-441D-95F6-665173CEA0DA}">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A144" authorId="0" shapeId="0" xr:uid="{4E9D51F4-FCFB-471A-8B32-8AA700BBD56F}">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145" authorId="0" shapeId="0" xr:uid="{9B54A9EC-2101-414E-BCAF-CA88FB50C508}">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C145" authorId="0" shapeId="0" xr:uid="{615D0C8E-A6C4-4730-8ADF-FE6C38916E7E}">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145" authorId="0" shapeId="0" xr:uid="{F3DF2FB9-7E18-48B3-AE03-94C60437EB44}">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45" authorId="0" shapeId="0" xr:uid="{99296290-12A9-451D-AA66-02585D17854B}">
      <text>
        <r>
          <rPr>
            <b/>
            <sz val="9"/>
            <color indexed="81"/>
            <rFont val="Tahoma"/>
            <family val="2"/>
          </rPr>
          <t>YULIED.PENARANDA:</t>
        </r>
        <r>
          <rPr>
            <sz val="9"/>
            <color indexed="81"/>
            <rFont val="Tahoma"/>
            <family val="2"/>
          </rPr>
          <t xml:space="preserve">
Valores contenidos en los Registros Presupuestales de Compromisos</t>
        </r>
      </text>
    </comment>
    <comment ref="F145" authorId="0" shapeId="0" xr:uid="{E5BB51C9-338C-4A45-9520-2B0C96D6784A}">
      <text>
        <r>
          <rPr>
            <b/>
            <sz val="9"/>
            <color indexed="81"/>
            <rFont val="Tahoma"/>
            <family val="2"/>
          </rPr>
          <t>YULIED.PENARANDA:</t>
        </r>
        <r>
          <rPr>
            <sz val="9"/>
            <color indexed="81"/>
            <rFont val="Tahoma"/>
            <family val="2"/>
          </rPr>
          <t xml:space="preserve">
Corresponde al pago </t>
        </r>
      </text>
    </comment>
    <comment ref="G145" authorId="0" shapeId="0" xr:uid="{15C671AB-8619-41D0-B4CC-8D2897B75554}">
      <text>
        <r>
          <rPr>
            <b/>
            <sz val="9"/>
            <color indexed="81"/>
            <rFont val="Tahoma"/>
            <family val="2"/>
          </rPr>
          <t>YULIED.PENARANDA:</t>
        </r>
        <r>
          <rPr>
            <sz val="9"/>
            <color indexed="81"/>
            <rFont val="Tahoma"/>
            <family val="2"/>
          </rPr>
          <t xml:space="preserve">
Extinción de la obligación a cargo de la SDA.</t>
        </r>
      </text>
    </comment>
    <comment ref="A159" authorId="0" shapeId="0" xr:uid="{AB81DE60-77F3-4B80-A534-B20994360DA4}">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160" authorId="0" shapeId="0" xr:uid="{F4ABFB4A-19AD-4671-B612-39C21679DE41}">
      <text>
        <r>
          <rPr>
            <b/>
            <sz val="9"/>
            <color indexed="81"/>
            <rFont val="Tahoma"/>
            <family val="2"/>
          </rPr>
          <t>YULIED.PENARANDA:</t>
        </r>
        <r>
          <rPr>
            <sz val="9"/>
            <color indexed="81"/>
            <rFont val="Tahoma"/>
            <family val="2"/>
          </rPr>
          <t xml:space="preserve">
Vigencia a reportar</t>
        </r>
      </text>
    </comment>
    <comment ref="C160" authorId="0" shapeId="0" xr:uid="{7985913C-C7F0-45C2-8A00-0AD650B2F560}">
      <text>
        <r>
          <rPr>
            <b/>
            <sz val="9"/>
            <color indexed="81"/>
            <rFont val="Tahoma"/>
            <family val="2"/>
          </rPr>
          <t>YULIED.PENARANDA:</t>
        </r>
        <r>
          <rPr>
            <sz val="9"/>
            <color indexed="81"/>
            <rFont val="Tahoma"/>
            <family val="2"/>
          </rPr>
          <t xml:space="preserve">
Apropiación inicial acorde con la herramienta oficial de la SDH</t>
        </r>
      </text>
    </comment>
    <comment ref="D160" authorId="0" shapeId="0" xr:uid="{2D5A07B3-ACDC-4A46-BF74-C678104AF49F}">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60" authorId="0" shapeId="0" xr:uid="{616057AE-7071-4560-82C1-8879749EE6EC}">
      <text>
        <r>
          <rPr>
            <b/>
            <sz val="9"/>
            <color indexed="81"/>
            <rFont val="Tahoma"/>
            <family val="2"/>
          </rPr>
          <t>YULIED.PENARANDA:</t>
        </r>
        <r>
          <rPr>
            <sz val="9"/>
            <color indexed="81"/>
            <rFont val="Tahoma"/>
            <family val="2"/>
          </rPr>
          <t xml:space="preserve">
Valores contenidos en los Registros Presupuestales de Compromisos</t>
        </r>
      </text>
    </comment>
    <comment ref="F160" authorId="0" shapeId="0" xr:uid="{827BBEB0-8A46-49D7-A84E-9C4E4D823E78}">
      <text>
        <r>
          <rPr>
            <b/>
            <sz val="9"/>
            <color indexed="81"/>
            <rFont val="Tahoma"/>
            <family val="2"/>
          </rPr>
          <t>YULIED.PENARANDA:</t>
        </r>
        <r>
          <rPr>
            <sz val="9"/>
            <color indexed="81"/>
            <rFont val="Tahoma"/>
            <family val="2"/>
          </rPr>
          <t xml:space="preserve">
Corresponde al pago </t>
        </r>
      </text>
    </comment>
    <comment ref="G160" authorId="0" shapeId="0" xr:uid="{846E6197-B34C-400E-AD3F-C6F48A85E498}">
      <text>
        <r>
          <rPr>
            <b/>
            <sz val="9"/>
            <color indexed="81"/>
            <rFont val="Tahoma"/>
            <family val="2"/>
          </rPr>
          <t>YULIED.PENARANDA:</t>
        </r>
        <r>
          <rPr>
            <sz val="9"/>
            <color indexed="81"/>
            <rFont val="Tahoma"/>
            <family val="2"/>
          </rPr>
          <t xml:space="preserve">
Extinción de la obligación a cargo de la SDA.</t>
        </r>
      </text>
    </comment>
    <comment ref="A174" authorId="0" shapeId="0" xr:uid="{1D068CBD-843B-410D-B383-E7ED7EA60792}">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175" authorId="0" shapeId="0" xr:uid="{346D56AE-3E13-42BC-892B-CD415BA80B95}">
      <text>
        <r>
          <rPr>
            <b/>
            <sz val="9"/>
            <color indexed="81"/>
            <rFont val="Tahoma"/>
            <family val="2"/>
          </rPr>
          <t>YULIED.PENARANDA:</t>
        </r>
        <r>
          <rPr>
            <sz val="9"/>
            <color indexed="81"/>
            <rFont val="Tahoma"/>
            <family val="2"/>
          </rPr>
          <t xml:space="preserve">
Vigencia a reportar</t>
        </r>
      </text>
    </comment>
    <comment ref="C175" authorId="0" shapeId="0" xr:uid="{2FB09E97-42AF-4898-9C86-A295D78A05E5}">
      <text>
        <r>
          <rPr>
            <b/>
            <sz val="9"/>
            <color indexed="81"/>
            <rFont val="Tahoma"/>
            <family val="2"/>
          </rPr>
          <t>YULIED.PENARANDA:</t>
        </r>
        <r>
          <rPr>
            <sz val="9"/>
            <color indexed="81"/>
            <rFont val="Tahoma"/>
            <family val="2"/>
          </rPr>
          <t xml:space="preserve">
Apropiación inicial acorde con la herramienta oficial de la SDH</t>
        </r>
      </text>
    </comment>
    <comment ref="D175" authorId="0" shapeId="0" xr:uid="{DFA8FF11-E26F-4BA0-8505-92670A1BC2D2}">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5" authorId="0" shapeId="0" xr:uid="{AC4B45F3-3A7B-4A32-9BC5-A859E630969A}">
      <text>
        <r>
          <rPr>
            <b/>
            <sz val="9"/>
            <color indexed="81"/>
            <rFont val="Tahoma"/>
            <family val="2"/>
          </rPr>
          <t>YULIED.PENARANDA:</t>
        </r>
        <r>
          <rPr>
            <sz val="9"/>
            <color indexed="81"/>
            <rFont val="Tahoma"/>
            <family val="2"/>
          </rPr>
          <t xml:space="preserve">
Valores contenidos en los Registros Presupuestales de Compromisos</t>
        </r>
      </text>
    </comment>
    <comment ref="F175" authorId="0" shapeId="0" xr:uid="{FEA24BD1-C2A7-4684-92D7-4E5C085BC239}">
      <text>
        <r>
          <rPr>
            <b/>
            <sz val="9"/>
            <color indexed="81"/>
            <rFont val="Tahoma"/>
            <family val="2"/>
          </rPr>
          <t>YULIED.PENARANDA:</t>
        </r>
        <r>
          <rPr>
            <sz val="9"/>
            <color indexed="81"/>
            <rFont val="Tahoma"/>
            <family val="2"/>
          </rPr>
          <t xml:space="preserve">
Corresponde al pago </t>
        </r>
      </text>
    </comment>
    <comment ref="G175" authorId="0" shapeId="0" xr:uid="{F88D4074-836F-4099-BA81-4F281006A4CD}">
      <text>
        <r>
          <rPr>
            <b/>
            <sz val="9"/>
            <color indexed="81"/>
            <rFont val="Tahoma"/>
            <family val="2"/>
          </rPr>
          <t>YULIED.PENARANDA:</t>
        </r>
        <r>
          <rPr>
            <sz val="9"/>
            <color indexed="81"/>
            <rFont val="Tahoma"/>
            <family val="2"/>
          </rPr>
          <t xml:space="preserve">
Extinción de la obligación a cargo de la SDA.</t>
        </r>
      </text>
    </comment>
    <comment ref="A189" authorId="0" shapeId="0" xr:uid="{3000BDBD-1B1D-4826-8F59-DFA13AA95993}">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90" authorId="0" shapeId="0" xr:uid="{A7470F18-BE35-4630-B1A8-307879096676}">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190" authorId="0" shapeId="0" xr:uid="{CEC9499E-0EB6-473A-8D76-2FCEF60E3E72}">
      <text>
        <r>
          <rPr>
            <b/>
            <sz val="9"/>
            <color rgb="FF000000"/>
            <rFont val="Tahoma"/>
            <family val="2"/>
          </rPr>
          <t>YULIED.PENARANDA:</t>
        </r>
        <r>
          <rPr>
            <sz val="9"/>
            <color rgb="FF000000"/>
            <rFont val="Tahoma"/>
            <family val="2"/>
          </rPr>
          <t xml:space="preserve">
</t>
        </r>
        <r>
          <rPr>
            <sz val="9"/>
            <color rgb="FF000000"/>
            <rFont val="Tahoma"/>
            <family val="2"/>
          </rPr>
          <t>Describir los objetivo específico del proyecto, como se definió en la formulación del proyecto</t>
        </r>
      </text>
    </comment>
    <comment ref="C190" authorId="0" shapeId="0" xr:uid="{9031AEDF-5E9C-4A50-9C87-70DBF3060103}">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90" authorId="0" shapeId="0" xr:uid="{4E624D9A-0464-48AC-AFF4-EF9D2B57E697}">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E190" authorId="0" shapeId="0" xr:uid="{3B86CBAD-E4EA-4C71-A14E-ED20BB16F7E8}">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190" authorId="0" shapeId="0" xr:uid="{6371166B-62B7-4884-B9A7-CD4B9C2F71B1}">
      <text>
        <r>
          <rPr>
            <b/>
            <sz val="9"/>
            <color rgb="FF000000"/>
            <rFont val="Tahoma"/>
            <family val="2"/>
          </rPr>
          <t>YULIED.PENARANDA:</t>
        </r>
        <r>
          <rPr>
            <sz val="9"/>
            <color rgb="FF000000"/>
            <rFont val="Tahoma"/>
            <family val="2"/>
          </rPr>
          <t xml:space="preserve">
</t>
        </r>
        <r>
          <rPr>
            <sz val="9"/>
            <color rgb="FF000000"/>
            <rFont val="Tahoma"/>
            <family val="2"/>
          </rPr>
          <t>Ponderación del indicador se realiza de acuerdo al peso que cada producto tiene en el caso total del proyecto.</t>
        </r>
      </text>
    </comment>
    <comment ref="G190" authorId="0" shapeId="0" xr:uid="{8C70BD61-893A-41C5-86B3-FDA01A0B4218}">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como se relaciona en el de gestión</t>
        </r>
      </text>
    </comment>
    <comment ref="N190" authorId="0" shapeId="0" xr:uid="{BF1A3FEB-DA84-4544-BABC-3CDFFAD866B9}">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234" authorId="0" shapeId="0" xr:uid="{88CAB375-6077-457A-A483-E2868C0B8C12}">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235" authorId="0" shapeId="0" xr:uid="{9F3479D9-F1B8-4CA1-AEF4-CE0B8BC68E2E}">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235" authorId="0" shapeId="0" xr:uid="{5F429084-DB74-4DA9-8619-C06C278B1341}">
      <text>
        <r>
          <rPr>
            <b/>
            <sz val="9"/>
            <color rgb="FF000000"/>
            <rFont val="Tahoma"/>
            <family val="2"/>
          </rPr>
          <t>YULIED.PENARANDA:</t>
        </r>
        <r>
          <rPr>
            <sz val="9"/>
            <color rgb="FF000000"/>
            <rFont val="Tahoma"/>
            <family val="2"/>
          </rPr>
          <t xml:space="preserve">
</t>
        </r>
        <r>
          <rPr>
            <sz val="9"/>
            <color rgb="FF000000"/>
            <rFont val="Tahoma"/>
            <family val="2"/>
          </rPr>
          <t>Describir los objetivo específico del proyecto, como se definió en la formulación del proyecto</t>
        </r>
      </text>
    </comment>
    <comment ref="C235" authorId="0" shapeId="0" xr:uid="{26F719D4-3653-4554-AC0B-5DF23B241514}">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235" authorId="0" shapeId="0" xr:uid="{E01F7105-A172-4782-84E2-53A919E6DD28}">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E235" authorId="0" shapeId="0" xr:uid="{FE7CE0D5-8740-4733-B135-C2D528274D7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5" authorId="0" shapeId="0" xr:uid="{2BDE10BC-010D-415C-A6B7-7A69B93CB71E}">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5" authorId="0" shapeId="0" xr:uid="{003AE940-7E29-4B6B-87E1-489DFDEB9D7C}">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como se relaciona en el de gestión</t>
        </r>
      </text>
    </comment>
    <comment ref="N235" authorId="0" shapeId="0" xr:uid="{2DE5ABFF-38DE-42D2-A458-2FB823CBD005}">
      <text>
        <r>
          <rPr>
            <b/>
            <sz val="9"/>
            <color indexed="81"/>
            <rFont val="Tahoma"/>
            <family val="2"/>
          </rPr>
          <t>YULIED.PENARANDA:</t>
        </r>
        <r>
          <rPr>
            <sz val="9"/>
            <color indexed="81"/>
            <rFont val="Tahoma"/>
            <family val="2"/>
          </rPr>
          <t xml:space="preserve">
Descripción concreta del avance, máximo de caracteres 200</t>
        </r>
      </text>
    </comment>
    <comment ref="A285" authorId="0" shapeId="0" xr:uid="{F9748CBF-8B1F-42F1-B45B-9B30B10BB661}">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286" authorId="0" shapeId="0" xr:uid="{6FC2B304-AEC9-444A-AC6E-3AF6FC6A5318}">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286" authorId="0" shapeId="0" xr:uid="{D2A6E06F-FF43-41DE-9FEE-43D726FDFF35}">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6" authorId="0" shapeId="0" xr:uid="{7DA53C8D-0806-45D7-905B-9FF7B40745DD}">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86" authorId="0" shapeId="0" xr:uid="{CCA5E745-B029-41AE-8467-08C2D1695AB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86" authorId="0" shapeId="0" xr:uid="{69038389-24D9-4F05-ABF1-33D5A8994C0A}">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286" authorId="0" shapeId="0" xr:uid="{6603A6A8-B859-4990-8F54-41B29D96B328}">
      <text>
        <r>
          <rPr>
            <b/>
            <sz val="9"/>
            <color rgb="FF000000"/>
            <rFont val="Tahoma"/>
            <family val="2"/>
          </rPr>
          <t>YULIED.PENARANDA:</t>
        </r>
        <r>
          <rPr>
            <sz val="9"/>
            <color rgb="FF000000"/>
            <rFont val="Tahoma"/>
            <family val="2"/>
          </rPr>
          <t xml:space="preserve">
</t>
        </r>
        <r>
          <rPr>
            <sz val="9"/>
            <color rgb="FF000000"/>
            <rFont val="Tahoma"/>
            <family val="2"/>
          </rPr>
          <t>Ponderación del indicador se realiza de acuerdo al peso que cada producto tiene en el caso total del proyecto.</t>
        </r>
      </text>
    </comment>
    <comment ref="G286" authorId="0" shapeId="0" xr:uid="{184D1DE5-4C6B-49A7-8ED4-56C878C14730}">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como se relaciona en el de gestión</t>
        </r>
      </text>
    </comment>
    <comment ref="N286" authorId="0" shapeId="0" xr:uid="{4CD77573-C008-4B09-B0BE-CFD710E44E64}">
      <text>
        <r>
          <rPr>
            <b/>
            <sz val="9"/>
            <color indexed="81"/>
            <rFont val="Tahoma"/>
            <family val="2"/>
          </rPr>
          <t>YULIED.PENARANDA:</t>
        </r>
        <r>
          <rPr>
            <sz val="9"/>
            <color indexed="81"/>
            <rFont val="Tahoma"/>
            <family val="2"/>
          </rPr>
          <t xml:space="preserve">
Descripción concreta del avance, máximo de caracteres 200</t>
        </r>
      </text>
    </comment>
    <comment ref="A300" authorId="0" shapeId="0" xr:uid="{1B9AAB7C-8712-453B-8E85-34FD3C20289D}">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301" authorId="0" shapeId="0" xr:uid="{B79249A1-B230-48F5-AC35-740BC5525060}">
      <text>
        <r>
          <rPr>
            <b/>
            <sz val="9"/>
            <color indexed="81"/>
            <rFont val="Tahoma"/>
            <family val="2"/>
          </rPr>
          <t>YULIED.PENARANDA:</t>
        </r>
        <r>
          <rPr>
            <sz val="9"/>
            <color indexed="81"/>
            <rFont val="Tahoma"/>
            <family val="2"/>
          </rPr>
          <t xml:space="preserve">
Vigencia a reportar</t>
        </r>
      </text>
    </comment>
    <comment ref="B301" authorId="0" shapeId="0" xr:uid="{7DA1DFA9-CABC-4D76-BC85-B2B85912807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1" authorId="0" shapeId="0" xr:uid="{9D806795-7B4E-433B-8739-F059DC2EB2D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301" authorId="0" shapeId="0" xr:uid="{D52D0CB2-A947-48F5-96C8-0CA7FDC10D7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301" authorId="0" shapeId="0" xr:uid="{4C2705CC-4110-492E-8F27-AC028A610BF1}">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301" authorId="0" shapeId="0" xr:uid="{4E883739-6290-47F2-B238-E1222456FF5F}">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301" authorId="0" shapeId="0" xr:uid="{7057E80F-DF06-47F9-B96B-D6C90FAFE9D1}">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como se relaciona en el de gestión</t>
        </r>
      </text>
    </comment>
    <comment ref="N301" authorId="0" shapeId="0" xr:uid="{79483529-D3DA-4A43-9C14-5D5E59F8B237}">
      <text>
        <r>
          <rPr>
            <b/>
            <sz val="9"/>
            <color indexed="81"/>
            <rFont val="Tahoma"/>
            <family val="2"/>
          </rPr>
          <t>YULIED.PENARANDA:</t>
        </r>
        <r>
          <rPr>
            <sz val="9"/>
            <color indexed="81"/>
            <rFont val="Tahoma"/>
            <family val="2"/>
          </rPr>
          <t xml:space="preserve">
Descripción concreta del avance, máximo de caracteres 200</t>
        </r>
      </text>
    </comment>
    <comment ref="A315" authorId="0" shapeId="0" xr:uid="{FFF44CAE-787F-495D-8129-EBF9053D00EA}">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 xml:space="preserve">
</t>
        </r>
        <r>
          <rPr>
            <sz val="9"/>
            <color rgb="FF000000"/>
            <rFont val="Tahoma"/>
            <family val="2"/>
          </rPr>
          <t>NOTA: Desagregar cuadro cuantas veces tenga productos y/o indicadores asociados</t>
        </r>
      </text>
    </comment>
    <comment ref="A316" authorId="0" shapeId="0" xr:uid="{65D5C761-4D7B-4064-B441-FA5A65B76024}">
      <text>
        <r>
          <rPr>
            <b/>
            <sz val="9"/>
            <color indexed="81"/>
            <rFont val="Tahoma"/>
            <family val="2"/>
          </rPr>
          <t>YULIED.PENARANDA:</t>
        </r>
        <r>
          <rPr>
            <sz val="9"/>
            <color indexed="81"/>
            <rFont val="Tahoma"/>
            <family val="2"/>
          </rPr>
          <t xml:space="preserve">
Vigencia a reportar</t>
        </r>
      </text>
    </comment>
    <comment ref="B316" authorId="0" shapeId="0" xr:uid="{09E5F8E1-CB3B-4723-8C07-7DB2E30B1A3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6" authorId="0" shapeId="0" xr:uid="{341D653E-A1DD-4321-A1F1-0EFB5D0FC73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316" authorId="0" shapeId="0" xr:uid="{E3B6A3FA-7723-4DBC-8FAE-17249C20527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316" authorId="0" shapeId="0" xr:uid="{46D048AC-3170-4214-9712-EC40BE3BEE6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316" authorId="0" shapeId="0" xr:uid="{929BE07F-43DE-4717-A2B9-A7F1426A33F3}">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316" authorId="0" shapeId="0" xr:uid="{793E95A9-A854-4BCD-90A8-45D9E343E481}">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316" authorId="0" shapeId="0" xr:uid="{6906BC23-996B-475D-9284-73AB4BEA67F4}">
      <text>
        <r>
          <rPr>
            <b/>
            <sz val="9"/>
            <color indexed="81"/>
            <rFont val="Tahoma"/>
            <family val="2"/>
          </rPr>
          <t>YULIED.PENARANDA:</t>
        </r>
        <r>
          <rPr>
            <sz val="9"/>
            <color indexed="81"/>
            <rFont val="Tahoma"/>
            <family val="2"/>
          </rPr>
          <t xml:space="preserve">
Descripción concreta del avance, máximo de caracteres 200</t>
        </r>
      </text>
    </comment>
    <comment ref="A330" authorId="0" shapeId="0" xr:uid="{3E1DE831-5E3C-47D1-A881-A099F510A3E8}">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331" authorId="0" shapeId="0" xr:uid="{D342F392-227D-4289-B499-A62639417485}">
      <text>
        <r>
          <rPr>
            <b/>
            <sz val="9"/>
            <color indexed="81"/>
            <rFont val="Tahoma"/>
            <family val="2"/>
          </rPr>
          <t>YULIED.PENARANDA:</t>
        </r>
        <r>
          <rPr>
            <sz val="9"/>
            <color indexed="81"/>
            <rFont val="Tahoma"/>
            <family val="2"/>
          </rPr>
          <t xml:space="preserve">
Vigencia a reportar</t>
        </r>
      </text>
    </comment>
    <comment ref="B331" authorId="0" shapeId="0" xr:uid="{E12A0B2F-C2CD-4D1F-875B-0FF1F77EED9C}">
      <text>
        <r>
          <rPr>
            <b/>
            <sz val="9"/>
            <color rgb="FF000000"/>
            <rFont val="Tahoma"/>
            <family val="2"/>
          </rPr>
          <t>YULIED.PENARANDA:</t>
        </r>
        <r>
          <rPr>
            <sz val="9"/>
            <color rgb="FF000000"/>
            <rFont val="Tahoma"/>
            <family val="2"/>
          </rPr>
          <t xml:space="preserve">
</t>
        </r>
        <r>
          <rPr>
            <sz val="9"/>
            <color rgb="FF000000"/>
            <rFont val="Tahoma"/>
            <family val="2"/>
          </rPr>
          <t>Describir los objetivo específico del proyecto, como se definió en la formulación del proyecto</t>
        </r>
      </text>
    </comment>
    <comment ref="C331" authorId="0" shapeId="0" xr:uid="{69D62D9C-B186-464E-8164-A97770764F84}">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del DNP.</t>
        </r>
      </text>
    </comment>
    <comment ref="D331" authorId="0" shapeId="0" xr:uid="{C53A652A-7B89-4E5B-8103-C5535D667FD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G331" authorId="0" shapeId="0" xr:uid="{869F8752-6401-4AE6-BF5A-353EA884E2C3}">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375" authorId="0" shapeId="0" xr:uid="{F4E8000B-A832-4729-A236-654E499F4521}">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376" authorId="0" shapeId="0" xr:uid="{79F0B09A-0945-4FA7-B2A4-DFA4D671C4EB}">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376" authorId="0" shapeId="0" xr:uid="{89208CBE-5287-42F6-93A6-E8C8A6B19680}">
      <text>
        <r>
          <rPr>
            <b/>
            <sz val="9"/>
            <color rgb="FF000000"/>
            <rFont val="Tahoma"/>
            <family val="2"/>
          </rPr>
          <t>YULIED.PENARANDA:</t>
        </r>
        <r>
          <rPr>
            <sz val="9"/>
            <color rgb="FF000000"/>
            <rFont val="Tahoma"/>
            <family val="2"/>
          </rPr>
          <t xml:space="preserve">
</t>
        </r>
        <r>
          <rPr>
            <sz val="9"/>
            <color rgb="FF000000"/>
            <rFont val="Tahoma"/>
            <family val="2"/>
          </rPr>
          <t>Describir los objetivo específico del proyecto, como se definió en la formulación del proyecto</t>
        </r>
      </text>
    </comment>
    <comment ref="C376" authorId="0" shapeId="0" xr:uid="{5F345056-3F67-4E0F-9E92-95C55F3E410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6" authorId="0" shapeId="0" xr:uid="{F81164EF-3B94-4FA0-AB92-0178261BA7D3}">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G376" authorId="0" shapeId="0" xr:uid="{538E287C-9B60-4A21-B4AE-ECB3488A0B74}">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426" authorId="0" shapeId="0" xr:uid="{48CFDF65-3572-4829-9C87-0D50AF3B80ED}">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427" authorId="0" shapeId="0" xr:uid="{727293E8-A06D-46ED-BDEC-FC5E2B1F4427}">
      <text>
        <r>
          <rPr>
            <b/>
            <sz val="9"/>
            <color indexed="81"/>
            <rFont val="Tahoma"/>
            <family val="2"/>
          </rPr>
          <t>YULIED.PENARANDA:</t>
        </r>
        <r>
          <rPr>
            <sz val="9"/>
            <color indexed="81"/>
            <rFont val="Tahoma"/>
            <family val="2"/>
          </rPr>
          <t xml:space="preserve">
Vigencia a reportar</t>
        </r>
      </text>
    </comment>
    <comment ref="B427" authorId="0" shapeId="0" xr:uid="{2DDAD03A-970D-4CE4-8F8B-C265DCDB066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27" authorId="0" shapeId="0" xr:uid="{C3D4F578-6342-4A35-8059-463DDAA35BC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27" authorId="0" shapeId="0" xr:uid="{4D43E6CD-DF3C-4DF1-B1F5-B95A3983B01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27" authorId="0" shapeId="0" xr:uid="{53409240-2C78-42E2-A8B3-6A976C28000D}">
      <text>
        <r>
          <rPr>
            <b/>
            <sz val="9"/>
            <color indexed="81"/>
            <rFont val="Tahoma"/>
            <family val="2"/>
          </rPr>
          <t>YULIED.PENARANDA:</t>
        </r>
        <r>
          <rPr>
            <sz val="9"/>
            <color indexed="81"/>
            <rFont val="Tahoma"/>
            <family val="2"/>
          </rPr>
          <t xml:space="preserve">
Descripción concreta del avance, máximo de caracteres 200</t>
        </r>
      </text>
    </comment>
    <comment ref="A441" authorId="0" shapeId="0" xr:uid="{A8215A77-EDBA-4404-A8E5-E6C1B46FD60B}">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442" authorId="0" shapeId="0" xr:uid="{FBF0D684-1693-4536-9AC3-4D0882DCD291}">
      <text>
        <r>
          <rPr>
            <b/>
            <sz val="9"/>
            <color indexed="81"/>
            <rFont val="Tahoma"/>
            <family val="2"/>
          </rPr>
          <t>YULIED.PENARANDA:</t>
        </r>
        <r>
          <rPr>
            <sz val="9"/>
            <color indexed="81"/>
            <rFont val="Tahoma"/>
            <family val="2"/>
          </rPr>
          <t xml:space="preserve">
Vigencia a reportar</t>
        </r>
      </text>
    </comment>
    <comment ref="B442" authorId="0" shapeId="0" xr:uid="{99206185-BFF6-411C-869A-A6AB47A370D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42" authorId="0" shapeId="0" xr:uid="{3ED2D269-B3A5-43F7-91AD-EE20FC189B6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42" authorId="0" shapeId="0" xr:uid="{EE426383-C7B9-4BB4-BA31-897BE44EEEA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42" authorId="0" shapeId="0" xr:uid="{ED0B56DC-8051-453C-9C37-1B1D74BF34C6}">
      <text>
        <r>
          <rPr>
            <b/>
            <sz val="9"/>
            <color indexed="81"/>
            <rFont val="Tahoma"/>
            <family val="2"/>
          </rPr>
          <t>YULIED.PENARANDA:</t>
        </r>
        <r>
          <rPr>
            <sz val="9"/>
            <color indexed="81"/>
            <rFont val="Tahoma"/>
            <family val="2"/>
          </rPr>
          <t xml:space="preserve">
Descripción concreta del avance, máximo de caracteres 200</t>
        </r>
      </text>
    </comment>
    <comment ref="A456" authorId="0" shapeId="0" xr:uid="{12F4D8A2-D233-4E09-8D59-CB002DAB0A55}">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457" authorId="0" shapeId="0" xr:uid="{1985749F-700C-4DB0-8440-56D5DF3DF3D2}">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457" authorId="0" shapeId="0" xr:uid="{2070362E-4C3D-457C-80AE-AA56750F45B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57" authorId="0" shapeId="0" xr:uid="{EFC4490F-162D-4C2C-81B2-E80CBA57EB8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57" authorId="0" shapeId="0" xr:uid="{00D677B8-C15D-4235-968A-B05CF6E7485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57" authorId="0" shapeId="0" xr:uid="{DAAF5FD1-41E2-48EF-93D5-C7939C8121E9}">
      <text>
        <r>
          <rPr>
            <b/>
            <sz val="9"/>
            <color indexed="81"/>
            <rFont val="Tahoma"/>
            <family val="2"/>
          </rPr>
          <t>YULIED.PENARANDA:</t>
        </r>
        <r>
          <rPr>
            <sz val="9"/>
            <color indexed="81"/>
            <rFont val="Tahoma"/>
            <family val="2"/>
          </rPr>
          <t xml:space="preserve">
Descripción concreta del avance, máximo de caracteres 200</t>
        </r>
      </text>
    </comment>
    <comment ref="A471" authorId="0" shapeId="0" xr:uid="{3C2C6D69-1DDD-4443-AB74-3D885A230CDB}">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472" authorId="0" shapeId="0" xr:uid="{242D19A9-C2DD-4112-94FF-BF1454D60D62}">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472" authorId="0" shapeId="0" xr:uid="{A405E5AB-ECBD-48C6-BB2B-501564EF169B}">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C472" authorId="0" shapeId="0" xr:uid="{3AB854D7-E7E7-4AD1-9D28-599A8D442849}">
      <text>
        <r>
          <rPr>
            <b/>
            <sz val="9"/>
            <color rgb="FF000000"/>
            <rFont val="Tahoma"/>
            <family val="2"/>
          </rPr>
          <t>YULIED.PENARANDA:</t>
        </r>
        <r>
          <rPr>
            <sz val="9"/>
            <color rgb="FF000000"/>
            <rFont val="Tahoma"/>
            <family val="2"/>
          </rPr>
          <t xml:space="preserve">
</t>
        </r>
        <r>
          <rPr>
            <sz val="9"/>
            <color rgb="FF000000"/>
            <rFont val="Tahoma"/>
            <family val="2"/>
          </rPr>
          <t xml:space="preserve">Unidad del indicador, define las características de la magnitud a realizar seguimiento. Eje: Hectáreas, estrategias, modelos, número etc. </t>
        </r>
      </text>
    </comment>
    <comment ref="D472" authorId="0" shapeId="0" xr:uid="{3EAEAADF-9709-44D5-8345-D756C954ABB2}">
      <text>
        <r>
          <rPr>
            <b/>
            <sz val="9"/>
            <color rgb="FF000000"/>
            <rFont val="Tahoma"/>
            <family val="2"/>
          </rPr>
          <t>YULIED.PENARANDA:</t>
        </r>
        <r>
          <rPr>
            <sz val="9"/>
            <color rgb="FF000000"/>
            <rFont val="Tahoma"/>
            <family val="2"/>
          </rPr>
          <t xml:space="preserve">
</t>
        </r>
        <r>
          <rPr>
            <sz val="9"/>
            <color rgb="FF000000"/>
            <rFont val="Tahoma"/>
            <family val="2"/>
          </rPr>
          <t>Peso porcentual de acuerdo con la distribución de los indicadores de gestión.</t>
        </r>
      </text>
    </comment>
    <comment ref="H472" authorId="0" shapeId="0" xr:uid="{13D9E1E6-0AA7-4A4F-9AD3-623E9A984F9D}">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516" authorId="0" shapeId="0" xr:uid="{7553FC0B-068A-44AE-8A61-773574395591}">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517" authorId="0" shapeId="0" xr:uid="{50EA9000-B8D8-4E5A-839B-30F7A9A58A7A}">
      <text>
        <r>
          <rPr>
            <b/>
            <sz val="9"/>
            <color indexed="81"/>
            <rFont val="Tahoma"/>
            <family val="2"/>
          </rPr>
          <t>YULIED.PENARANDA:</t>
        </r>
        <r>
          <rPr>
            <sz val="9"/>
            <color indexed="81"/>
            <rFont val="Tahoma"/>
            <family val="2"/>
          </rPr>
          <t xml:space="preserve">
Vigencia a reportar</t>
        </r>
      </text>
    </comment>
    <comment ref="B517" authorId="0" shapeId="0" xr:uid="{7D9EE5FC-367B-42F0-BE4B-8D6419822299}">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C517" authorId="0" shapeId="0" xr:uid="{F191F224-7CCB-4242-A6D7-9C334C41A0C9}">
      <text>
        <r>
          <rPr>
            <b/>
            <sz val="9"/>
            <color rgb="FF000000"/>
            <rFont val="Tahoma"/>
            <family val="2"/>
          </rPr>
          <t>YULIED.PENARANDA:</t>
        </r>
        <r>
          <rPr>
            <sz val="9"/>
            <color rgb="FF000000"/>
            <rFont val="Tahoma"/>
            <family val="2"/>
          </rPr>
          <t xml:space="preserve">
</t>
        </r>
        <r>
          <rPr>
            <sz val="9"/>
            <color rgb="FF000000"/>
            <rFont val="Tahoma"/>
            <family val="2"/>
          </rPr>
          <t xml:space="preserve">Unidad del indicador, define las características de la magnitud a realizar seguimiento. Eje: Hectáreas, estrategias, modelos, número etc. </t>
        </r>
      </text>
    </comment>
    <comment ref="D517" authorId="0" shapeId="0" xr:uid="{B66AB63D-D628-495E-A4B8-F32CF3292B31}">
      <text>
        <r>
          <rPr>
            <b/>
            <sz val="9"/>
            <color indexed="81"/>
            <rFont val="Tahoma"/>
            <family val="2"/>
          </rPr>
          <t>YULIED.PENARANDA:</t>
        </r>
        <r>
          <rPr>
            <sz val="9"/>
            <color indexed="81"/>
            <rFont val="Tahoma"/>
            <family val="2"/>
          </rPr>
          <t xml:space="preserve">
Peso porcentual de acuerdo con la distribución de los indicadores de gestión.</t>
        </r>
      </text>
    </comment>
    <comment ref="H517" authorId="0" shapeId="0" xr:uid="{108B0ACB-420D-4DE3-B0DF-BADCFE6FA386}">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567" authorId="0" shapeId="0" xr:uid="{61C0C720-8BA8-475B-8DD3-7C9F9D55B392}">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568" authorId="0" shapeId="0" xr:uid="{4095DB31-9F18-4C9B-B6C8-5B97152727A9}">
      <text>
        <r>
          <rPr>
            <b/>
            <sz val="9"/>
            <color indexed="81"/>
            <rFont val="Tahoma"/>
            <family val="2"/>
          </rPr>
          <t>YULIED.PENARANDA:</t>
        </r>
        <r>
          <rPr>
            <sz val="9"/>
            <color indexed="81"/>
            <rFont val="Tahoma"/>
            <family val="2"/>
          </rPr>
          <t xml:space="preserve">
Vigencia a reportar</t>
        </r>
      </text>
    </comment>
    <comment ref="B568" authorId="0" shapeId="0" xr:uid="{46E3B0A6-BCD5-4642-9F50-E2FC00E4280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68" authorId="0" shapeId="0" xr:uid="{D2B7599D-D74D-44D0-BE90-509C72B19FC8}">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68" authorId="0" shapeId="0" xr:uid="{AC9737AB-EA75-4F45-9107-6D2CA3727D42}">
      <text>
        <r>
          <rPr>
            <b/>
            <sz val="9"/>
            <color rgb="FF000000"/>
            <rFont val="Tahoma"/>
            <family val="2"/>
          </rPr>
          <t>YULIED.PENARANDA:</t>
        </r>
        <r>
          <rPr>
            <sz val="9"/>
            <color rgb="FF000000"/>
            <rFont val="Tahoma"/>
            <family val="2"/>
          </rPr>
          <t xml:space="preserve">
</t>
        </r>
        <r>
          <rPr>
            <sz val="9"/>
            <color rgb="FF000000"/>
            <rFont val="Tahoma"/>
            <family val="2"/>
          </rPr>
          <t>Peso porcentual de acuerdo con la distribución de los indicadores de gestión.</t>
        </r>
      </text>
    </comment>
    <comment ref="H568" authorId="0" shapeId="0" xr:uid="{7423DAA4-A5A5-4EC6-A597-E88736BB1DA8}">
      <text>
        <r>
          <rPr>
            <b/>
            <sz val="9"/>
            <color indexed="81"/>
            <rFont val="Tahoma"/>
            <family val="2"/>
          </rPr>
          <t>YULIED.PENARANDA:</t>
        </r>
        <r>
          <rPr>
            <sz val="9"/>
            <color indexed="81"/>
            <rFont val="Tahoma"/>
            <family val="2"/>
          </rPr>
          <t xml:space="preserve">
Descripción concreta del avance, máximo de caracteres 200</t>
        </r>
      </text>
    </comment>
    <comment ref="A582" authorId="0" shapeId="0" xr:uid="{549250CB-48F2-46F5-8A39-2D60A926F366}">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583" authorId="0" shapeId="0" xr:uid="{CD69A202-81D3-4FC7-856F-0A19B78A0FBA}">
      <text>
        <r>
          <rPr>
            <b/>
            <sz val="9"/>
            <color indexed="81"/>
            <rFont val="Tahoma"/>
            <family val="2"/>
          </rPr>
          <t>YULIED.PENARANDA:</t>
        </r>
        <r>
          <rPr>
            <sz val="9"/>
            <color indexed="81"/>
            <rFont val="Tahoma"/>
            <family val="2"/>
          </rPr>
          <t xml:space="preserve">
Vigencia a reportar</t>
        </r>
      </text>
    </comment>
    <comment ref="B583" authorId="0" shapeId="0" xr:uid="{A8278D37-3A0F-43E6-BCFD-5265C3E66B2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83" authorId="0" shapeId="0" xr:uid="{C06661C5-DEA2-4484-83CD-EF0BE800ED99}">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83" authorId="0" shapeId="0" xr:uid="{D6EA04A9-2F52-408A-B267-D5B4AD15A7A3}">
      <text>
        <r>
          <rPr>
            <b/>
            <sz val="9"/>
            <color rgb="FF000000"/>
            <rFont val="Tahoma"/>
            <family val="2"/>
          </rPr>
          <t>YULIED.PENARANDA:</t>
        </r>
        <r>
          <rPr>
            <sz val="9"/>
            <color rgb="FF000000"/>
            <rFont val="Tahoma"/>
            <family val="2"/>
          </rPr>
          <t xml:space="preserve">
</t>
        </r>
        <r>
          <rPr>
            <sz val="9"/>
            <color rgb="FF000000"/>
            <rFont val="Tahoma"/>
            <family val="2"/>
          </rPr>
          <t>Peso porcentual de acuerdo con la distribución de los indicadores de gestión.</t>
        </r>
      </text>
    </comment>
    <comment ref="H583" authorId="0" shapeId="0" xr:uid="{F1AF544D-F966-4D61-9204-7DB26DE1F662}">
      <text>
        <r>
          <rPr>
            <b/>
            <sz val="9"/>
            <color indexed="81"/>
            <rFont val="Tahoma"/>
            <family val="2"/>
          </rPr>
          <t>YULIED.PENARANDA:</t>
        </r>
        <r>
          <rPr>
            <sz val="9"/>
            <color indexed="81"/>
            <rFont val="Tahoma"/>
            <family val="2"/>
          </rPr>
          <t xml:space="preserve">
Descripción concreta del avance, máximo de caracteres 200</t>
        </r>
      </text>
    </comment>
    <comment ref="A597" authorId="0" shapeId="0" xr:uid="{8C62E3DF-B364-4FD6-968B-EAD65341F8DE}">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98" authorId="0" shapeId="0" xr:uid="{F15EB257-61AC-4D5C-A08C-6F27774F0F62}">
      <text>
        <r>
          <rPr>
            <b/>
            <sz val="9"/>
            <color indexed="81"/>
            <rFont val="Tahoma"/>
            <family val="2"/>
          </rPr>
          <t>YULIED.PENARANDA:</t>
        </r>
        <r>
          <rPr>
            <sz val="9"/>
            <color indexed="81"/>
            <rFont val="Tahoma"/>
            <family val="2"/>
          </rPr>
          <t xml:space="preserve">
Vigencia a reportar</t>
        </r>
      </text>
    </comment>
    <comment ref="B598" authorId="0" shapeId="0" xr:uid="{58DE842A-764F-49FA-9359-D8393B7F649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98" authorId="0" shapeId="0" xr:uid="{1BB8C222-03E2-4391-8E6A-09F1CDFB3A99}">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98" authorId="0" shapeId="0" xr:uid="{8F719740-C6E8-4243-991B-1D7881CEFD7A}">
      <text>
        <r>
          <rPr>
            <b/>
            <sz val="9"/>
            <color indexed="81"/>
            <rFont val="Tahoma"/>
            <family val="2"/>
          </rPr>
          <t>YULIED.PENARANDA:</t>
        </r>
        <r>
          <rPr>
            <sz val="9"/>
            <color indexed="81"/>
            <rFont val="Tahoma"/>
            <family val="2"/>
          </rPr>
          <t xml:space="preserve">
Peso porcentual de acuerdo con la distribución de los indicadores de gestión.</t>
        </r>
      </text>
    </comment>
    <comment ref="H598" authorId="0" shapeId="0" xr:uid="{C98DE1E0-E397-44D5-8448-96251219966D}">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400-00000B000000}">
      <text>
        <r>
          <rPr>
            <b/>
            <sz val="9"/>
            <color indexed="81"/>
            <rFont val="Tahoma"/>
            <family val="2"/>
          </rPr>
          <t>YULIED.PENARANDA:</t>
        </r>
        <r>
          <rPr>
            <sz val="9"/>
            <color indexed="81"/>
            <rFont val="Tahoma"/>
            <family val="2"/>
          </rPr>
          <t xml:space="preserve">
Vigencia a reportar</t>
        </r>
      </text>
    </comment>
    <comment ref="C41"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400-00000F000000}">
      <text>
        <r>
          <rPr>
            <b/>
            <sz val="9"/>
            <color indexed="81"/>
            <rFont val="Tahoma"/>
            <family val="2"/>
          </rPr>
          <t>YULIED.PENARANDA:</t>
        </r>
        <r>
          <rPr>
            <sz val="9"/>
            <color indexed="81"/>
            <rFont val="Tahoma"/>
            <family val="2"/>
          </rPr>
          <t xml:space="preserve">
Corresponde al pago </t>
        </r>
      </text>
    </comment>
    <comment ref="G41"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400-000012000000}">
      <text>
        <r>
          <rPr>
            <b/>
            <sz val="9"/>
            <color indexed="81"/>
            <rFont val="Tahoma"/>
            <family val="2"/>
          </rPr>
          <t>YULIED.PENARANDA:</t>
        </r>
        <r>
          <rPr>
            <sz val="9"/>
            <color indexed="81"/>
            <rFont val="Tahoma"/>
            <family val="2"/>
          </rPr>
          <t xml:space="preserve">
Vigencia a reportar</t>
        </r>
      </text>
    </comment>
    <comment ref="C63"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400-000016000000}">
      <text>
        <r>
          <rPr>
            <b/>
            <sz val="9"/>
            <color indexed="81"/>
            <rFont val="Tahoma"/>
            <family val="2"/>
          </rPr>
          <t>YULIED.PENARANDA:</t>
        </r>
        <r>
          <rPr>
            <sz val="9"/>
            <color indexed="81"/>
            <rFont val="Tahoma"/>
            <family val="2"/>
          </rPr>
          <t xml:space="preserve">
Corresponde al pago </t>
        </r>
      </text>
    </comment>
    <comment ref="G63"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400-000019000000}">
      <text>
        <r>
          <rPr>
            <b/>
            <sz val="9"/>
            <color indexed="81"/>
            <rFont val="Tahoma"/>
            <family val="2"/>
          </rPr>
          <t>YULIED.PENARANDA:</t>
        </r>
        <r>
          <rPr>
            <sz val="9"/>
            <color indexed="81"/>
            <rFont val="Tahoma"/>
            <family val="2"/>
          </rPr>
          <t xml:space="preserve">
Vigencia a reportar</t>
        </r>
      </text>
    </comment>
    <comment ref="C78"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400-00001D000000}">
      <text>
        <r>
          <rPr>
            <b/>
            <sz val="9"/>
            <color indexed="81"/>
            <rFont val="Tahoma"/>
            <family val="2"/>
          </rPr>
          <t>YULIED.PENARANDA:</t>
        </r>
        <r>
          <rPr>
            <sz val="9"/>
            <color indexed="81"/>
            <rFont val="Tahoma"/>
            <family val="2"/>
          </rPr>
          <t xml:space="preserve">
Corresponde al pago </t>
        </r>
      </text>
    </comment>
    <comment ref="G78"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400-000020000000}">
      <text>
        <r>
          <rPr>
            <b/>
            <sz val="9"/>
            <color indexed="81"/>
            <rFont val="Tahoma"/>
            <family val="2"/>
          </rPr>
          <t>YULIED.PENARANDA:</t>
        </r>
        <r>
          <rPr>
            <sz val="9"/>
            <color indexed="81"/>
            <rFont val="Tahoma"/>
            <family val="2"/>
          </rPr>
          <t xml:space="preserve">
Vigencia a reportar</t>
        </r>
      </text>
    </comment>
    <comment ref="C93"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400-000024000000}">
      <text>
        <r>
          <rPr>
            <b/>
            <sz val="9"/>
            <color indexed="81"/>
            <rFont val="Tahoma"/>
            <family val="2"/>
          </rPr>
          <t>YULIED.PENARANDA:</t>
        </r>
        <r>
          <rPr>
            <sz val="9"/>
            <color indexed="81"/>
            <rFont val="Tahoma"/>
            <family val="2"/>
          </rPr>
          <t xml:space="preserve">
Corresponde al pago </t>
        </r>
      </text>
    </comment>
    <comment ref="G93"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400-000027000000}">
      <text>
        <r>
          <rPr>
            <b/>
            <sz val="9"/>
            <color indexed="81"/>
            <rFont val="Tahoma"/>
            <family val="2"/>
          </rPr>
          <t>YULIED.PENARANDA:</t>
        </r>
        <r>
          <rPr>
            <sz val="9"/>
            <color indexed="81"/>
            <rFont val="Tahoma"/>
            <family val="2"/>
          </rPr>
          <t xml:space="preserve">
Vigencia a reportar</t>
        </r>
      </text>
    </comment>
    <comment ref="B108"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400-00002F000000}">
      <text>
        <r>
          <rPr>
            <b/>
            <sz val="9"/>
            <color indexed="81"/>
            <rFont val="Tahoma"/>
            <family val="2"/>
          </rPr>
          <t>YULIED.PENARANDA:</t>
        </r>
        <r>
          <rPr>
            <sz val="9"/>
            <color indexed="81"/>
            <rFont val="Tahoma"/>
            <family val="2"/>
          </rPr>
          <t xml:space="preserve">
Vigencia a reportar</t>
        </r>
      </text>
    </comment>
    <comment ref="B117" authorId="0" shapeId="0" xr:uid="{00000000-0006-0000-04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4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4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4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4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4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4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400-000037000000}">
      <text>
        <r>
          <rPr>
            <b/>
            <sz val="9"/>
            <color indexed="81"/>
            <rFont val="Tahoma"/>
            <family val="2"/>
          </rPr>
          <t>YULIED.PENARANDA:</t>
        </r>
        <r>
          <rPr>
            <sz val="9"/>
            <color indexed="81"/>
            <rFont val="Tahoma"/>
            <family val="2"/>
          </rPr>
          <t xml:space="preserve">
Vigencia a reportar</t>
        </r>
      </text>
    </comment>
    <comment ref="B126" authorId="0" shapeId="0" xr:uid="{00000000-0006-0000-04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4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4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4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4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4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4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400-00003F000000}">
      <text>
        <r>
          <rPr>
            <b/>
            <sz val="9"/>
            <color indexed="81"/>
            <rFont val="Tahoma"/>
            <family val="2"/>
          </rPr>
          <t>YULIED.PENARANDA:</t>
        </r>
        <r>
          <rPr>
            <sz val="9"/>
            <color indexed="81"/>
            <rFont val="Tahoma"/>
            <family val="2"/>
          </rPr>
          <t xml:space="preserve">
Vigencia a reportar</t>
        </r>
      </text>
    </comment>
    <comment ref="B135" authorId="0" shapeId="0" xr:uid="{00000000-0006-0000-04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4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4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4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4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4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4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4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400-000048000000}">
      <text>
        <r>
          <rPr>
            <b/>
            <sz val="9"/>
            <color indexed="81"/>
            <rFont val="Tahoma"/>
            <family val="2"/>
          </rPr>
          <t>YULIED.PENARANDA:</t>
        </r>
        <r>
          <rPr>
            <sz val="9"/>
            <color indexed="81"/>
            <rFont val="Tahoma"/>
            <family val="2"/>
          </rPr>
          <t xml:space="preserve">
Vigencia a reportar</t>
        </r>
      </text>
    </comment>
    <comment ref="B145" authorId="0" shapeId="0" xr:uid="{00000000-0006-0000-04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4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4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4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4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4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4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400-000050000000}">
      <text>
        <r>
          <rPr>
            <b/>
            <sz val="9"/>
            <color indexed="81"/>
            <rFont val="Tahoma"/>
            <family val="2"/>
          </rPr>
          <t>YULIED.PENARANDA:</t>
        </r>
        <r>
          <rPr>
            <sz val="9"/>
            <color indexed="81"/>
            <rFont val="Tahoma"/>
            <family val="2"/>
          </rPr>
          <t xml:space="preserve">
Vigencia a reportar</t>
        </r>
      </text>
    </comment>
    <comment ref="B160" authorId="0" shapeId="0" xr:uid="{00000000-0006-0000-04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4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4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4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4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4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4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400-000058000000}">
      <text>
        <r>
          <rPr>
            <b/>
            <sz val="9"/>
            <color indexed="81"/>
            <rFont val="Tahoma"/>
            <family val="2"/>
          </rPr>
          <t>YULIED.PENARANDA:</t>
        </r>
        <r>
          <rPr>
            <sz val="9"/>
            <color indexed="81"/>
            <rFont val="Tahoma"/>
            <family val="2"/>
          </rPr>
          <t xml:space="preserve">
Vigencia a reportar</t>
        </r>
      </text>
    </comment>
    <comment ref="B175" authorId="0" shapeId="0" xr:uid="{00000000-0006-0000-04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4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4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4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4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4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4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400-000060000000}">
      <text>
        <r>
          <rPr>
            <b/>
            <sz val="9"/>
            <color indexed="81"/>
            <rFont val="Tahoma"/>
            <family val="2"/>
          </rPr>
          <t>YULIED.PENARANDA:</t>
        </r>
        <r>
          <rPr>
            <sz val="9"/>
            <color indexed="81"/>
            <rFont val="Tahoma"/>
            <family val="2"/>
          </rPr>
          <t xml:space="preserve">
Vigencia a reportar</t>
        </r>
      </text>
    </comment>
    <comment ref="B190"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4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4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4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4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4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400-000069000000}">
      <text>
        <r>
          <rPr>
            <b/>
            <sz val="9"/>
            <color indexed="81"/>
            <rFont val="Tahoma"/>
            <family val="2"/>
          </rPr>
          <t>YULIED.PENARANDA:</t>
        </r>
        <r>
          <rPr>
            <sz val="9"/>
            <color indexed="81"/>
            <rFont val="Tahoma"/>
            <family val="2"/>
          </rPr>
          <t xml:space="preserve">
Vigencia a reportar</t>
        </r>
      </text>
    </comment>
    <comment ref="B209" authorId="0" shapeId="0" xr:uid="{00000000-0006-0000-04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4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4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4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4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4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4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400-000072000000}">
      <text>
        <r>
          <rPr>
            <b/>
            <sz val="9"/>
            <color indexed="81"/>
            <rFont val="Tahoma"/>
            <family val="2"/>
          </rPr>
          <t>YULIED.PENARANDA:</t>
        </r>
        <r>
          <rPr>
            <sz val="9"/>
            <color indexed="81"/>
            <rFont val="Tahoma"/>
            <family val="2"/>
          </rPr>
          <t xml:space="preserve">
Vigencia a reportar</t>
        </r>
      </text>
    </comment>
    <comment ref="B224" authorId="0" shapeId="0" xr:uid="{00000000-0006-0000-04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4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4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4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4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4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4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4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400-00007B000000}">
      <text>
        <r>
          <rPr>
            <b/>
            <sz val="9"/>
            <color indexed="81"/>
            <rFont val="Tahoma"/>
            <family val="2"/>
          </rPr>
          <t>YULIED.PENARANDA:</t>
        </r>
        <r>
          <rPr>
            <sz val="9"/>
            <color indexed="81"/>
            <rFont val="Tahoma"/>
            <family val="2"/>
          </rPr>
          <t xml:space="preserve">
Vigencia a reportar</t>
        </r>
      </text>
    </comment>
    <comment ref="B239" authorId="0" shapeId="0" xr:uid="{00000000-0006-0000-04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4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4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4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4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4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4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400-000084000000}">
      <text>
        <r>
          <rPr>
            <b/>
            <sz val="9"/>
            <color indexed="81"/>
            <rFont val="Tahoma"/>
            <family val="2"/>
          </rPr>
          <t>YULIED.PENARANDA:</t>
        </r>
        <r>
          <rPr>
            <sz val="9"/>
            <color indexed="81"/>
            <rFont val="Tahoma"/>
            <family val="2"/>
          </rPr>
          <t xml:space="preserve">
Vigencia a reportar</t>
        </r>
      </text>
    </comment>
    <comment ref="B254" authorId="0" shapeId="0" xr:uid="{00000000-0006-0000-04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4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4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4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4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4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4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4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400-00008D000000}">
      <text>
        <r>
          <rPr>
            <b/>
            <sz val="9"/>
            <color indexed="81"/>
            <rFont val="Tahoma"/>
            <family val="2"/>
          </rPr>
          <t>YULIED.PENARANDA:</t>
        </r>
        <r>
          <rPr>
            <sz val="9"/>
            <color indexed="81"/>
            <rFont val="Tahoma"/>
            <family val="2"/>
          </rPr>
          <t xml:space="preserve">
Vigencia a reportar</t>
        </r>
      </text>
    </comment>
    <comment ref="B270" authorId="0" shapeId="0" xr:uid="{00000000-0006-0000-04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4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4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4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400-000092000000}">
      <text>
        <r>
          <rPr>
            <b/>
            <sz val="9"/>
            <color indexed="81"/>
            <rFont val="Tahoma"/>
            <family val="2"/>
          </rPr>
          <t>YULIED.PENARANDA:</t>
        </r>
        <r>
          <rPr>
            <sz val="9"/>
            <color indexed="81"/>
            <rFont val="Tahoma"/>
            <family val="2"/>
          </rPr>
          <t xml:space="preserve">
Vigencia a reportar</t>
        </r>
      </text>
    </comment>
    <comment ref="B279" authorId="0" shapeId="0" xr:uid="{00000000-0006-0000-04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4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4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4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400-000097000000}">
      <text>
        <r>
          <rPr>
            <b/>
            <sz val="9"/>
            <color indexed="81"/>
            <rFont val="Tahoma"/>
            <family val="2"/>
          </rPr>
          <t>YULIED.PENARANDA:</t>
        </r>
        <r>
          <rPr>
            <sz val="9"/>
            <color indexed="81"/>
            <rFont val="Tahoma"/>
            <family val="2"/>
          </rPr>
          <t xml:space="preserve">
Vigencia a reportar</t>
        </r>
      </text>
    </comment>
    <comment ref="B288" authorId="0" shapeId="0" xr:uid="{00000000-0006-0000-04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4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4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4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400-00009C000000}">
      <text>
        <r>
          <rPr>
            <b/>
            <sz val="9"/>
            <color indexed="81"/>
            <rFont val="Tahoma"/>
            <family val="2"/>
          </rPr>
          <t>YULIED.PENARANDA:</t>
        </r>
        <r>
          <rPr>
            <sz val="9"/>
            <color indexed="81"/>
            <rFont val="Tahoma"/>
            <family val="2"/>
          </rPr>
          <t xml:space="preserve">
Vigencia a reportar</t>
        </r>
      </text>
    </comment>
    <comment ref="B297" authorId="0" shapeId="0" xr:uid="{00000000-0006-0000-04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4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4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4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4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400-0000A2000000}">
      <text>
        <r>
          <rPr>
            <b/>
            <sz val="9"/>
            <color indexed="81"/>
            <rFont val="Tahoma"/>
            <family val="2"/>
          </rPr>
          <t>YULIED.PENARANDA:</t>
        </r>
        <r>
          <rPr>
            <sz val="9"/>
            <color indexed="81"/>
            <rFont val="Tahoma"/>
            <family val="2"/>
          </rPr>
          <t xml:space="preserve">
Vigencia a reportar</t>
        </r>
      </text>
    </comment>
    <comment ref="B308" authorId="0" shapeId="0" xr:uid="{00000000-0006-0000-04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4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4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4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400-0000A7000000}">
      <text>
        <r>
          <rPr>
            <b/>
            <sz val="9"/>
            <color indexed="81"/>
            <rFont val="Tahoma"/>
            <family val="2"/>
          </rPr>
          <t>YULIED.PENARANDA:</t>
        </r>
        <r>
          <rPr>
            <sz val="9"/>
            <color indexed="81"/>
            <rFont val="Tahoma"/>
            <family val="2"/>
          </rPr>
          <t xml:space="preserve">
Vigencia a reportar</t>
        </r>
      </text>
    </comment>
    <comment ref="B323" authorId="0" shapeId="0" xr:uid="{00000000-0006-0000-04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4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4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4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400-0000AC000000}">
      <text>
        <r>
          <rPr>
            <b/>
            <sz val="9"/>
            <color indexed="81"/>
            <rFont val="Tahoma"/>
            <family val="2"/>
          </rPr>
          <t>YULIED.PENARANDA:</t>
        </r>
        <r>
          <rPr>
            <sz val="9"/>
            <color indexed="81"/>
            <rFont val="Tahoma"/>
            <family val="2"/>
          </rPr>
          <t xml:space="preserve">
Vigencia a reportar</t>
        </r>
      </text>
    </comment>
    <comment ref="B338" authorId="0" shapeId="0" xr:uid="{00000000-0006-0000-04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4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4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4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400-0000B1000000}">
      <text>
        <r>
          <rPr>
            <b/>
            <sz val="9"/>
            <color indexed="81"/>
            <rFont val="Tahoma"/>
            <family val="2"/>
          </rPr>
          <t>YULIED.PENARANDA:</t>
        </r>
        <r>
          <rPr>
            <sz val="9"/>
            <color indexed="81"/>
            <rFont val="Tahoma"/>
            <family val="2"/>
          </rPr>
          <t xml:space="preserve">
Vigencia a reportar</t>
        </r>
      </text>
    </comment>
    <comment ref="B353" authorId="0" shapeId="0" xr:uid="{00000000-0006-0000-04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4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4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4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4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400-0000B7000000}">
      <text>
        <r>
          <rPr>
            <b/>
            <sz val="9"/>
            <color indexed="81"/>
            <rFont val="Tahoma"/>
            <family val="2"/>
          </rPr>
          <t>YULIED.PENARANDA:</t>
        </r>
        <r>
          <rPr>
            <sz val="9"/>
            <color indexed="81"/>
            <rFont val="Tahoma"/>
            <family val="2"/>
          </rPr>
          <t xml:space="preserve">
Vigencia a reportar</t>
        </r>
      </text>
    </comment>
    <comment ref="B378" authorId="0" shapeId="0" xr:uid="{00000000-0006-0000-04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4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4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4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4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400-0000BD000000}">
      <text>
        <r>
          <rPr>
            <b/>
            <sz val="9"/>
            <color indexed="81"/>
            <rFont val="Tahoma"/>
            <family val="2"/>
          </rPr>
          <t>YULIED.PENARANDA:</t>
        </r>
        <r>
          <rPr>
            <sz val="9"/>
            <color indexed="81"/>
            <rFont val="Tahoma"/>
            <family val="2"/>
          </rPr>
          <t xml:space="preserve">
Vigencia a reportar</t>
        </r>
      </text>
    </comment>
    <comment ref="B393" authorId="0" shapeId="0" xr:uid="{00000000-0006-0000-04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4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4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4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4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400-0000C3000000}">
      <text>
        <r>
          <rPr>
            <b/>
            <sz val="9"/>
            <color indexed="81"/>
            <rFont val="Tahoma"/>
            <family val="2"/>
          </rPr>
          <t>YULIED.PENARANDA:</t>
        </r>
        <r>
          <rPr>
            <sz val="9"/>
            <color indexed="81"/>
            <rFont val="Tahoma"/>
            <family val="2"/>
          </rPr>
          <t xml:space="preserve">
Vigencia a reportar</t>
        </r>
      </text>
    </comment>
    <comment ref="B408" authorId="0" shapeId="0" xr:uid="{00000000-0006-0000-04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4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4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4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400-0000C8000000}">
      <text>
        <r>
          <rPr>
            <b/>
            <sz val="9"/>
            <color indexed="81"/>
            <rFont val="Tahoma"/>
            <family val="2"/>
          </rPr>
          <t>YULIED.PENARANDA:</t>
        </r>
        <r>
          <rPr>
            <sz val="9"/>
            <color indexed="81"/>
            <rFont val="Tahoma"/>
            <family val="2"/>
          </rPr>
          <t xml:space="preserve">
Vigencia a reportar</t>
        </r>
      </text>
    </comment>
    <comment ref="B417" authorId="0" shapeId="0" xr:uid="{00000000-0006-0000-04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4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4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4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400-0000CD000000}">
      <text>
        <r>
          <rPr>
            <b/>
            <sz val="9"/>
            <color indexed="81"/>
            <rFont val="Tahoma"/>
            <family val="2"/>
          </rPr>
          <t>YULIED.PENARANDA:</t>
        </r>
        <r>
          <rPr>
            <sz val="9"/>
            <color indexed="81"/>
            <rFont val="Tahoma"/>
            <family val="2"/>
          </rPr>
          <t xml:space="preserve">
Vigencia a reportar</t>
        </r>
      </text>
    </comment>
    <comment ref="B426" authorId="0" shapeId="0" xr:uid="{00000000-0006-0000-04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4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4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4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400-0000D2000000}">
      <text>
        <r>
          <rPr>
            <b/>
            <sz val="9"/>
            <color indexed="81"/>
            <rFont val="Tahoma"/>
            <family val="2"/>
          </rPr>
          <t>YULIED.PENARANDA:</t>
        </r>
        <r>
          <rPr>
            <sz val="9"/>
            <color indexed="81"/>
            <rFont val="Tahoma"/>
            <family val="2"/>
          </rPr>
          <t xml:space="preserve">
Vigencia a reportar</t>
        </r>
      </text>
    </comment>
    <comment ref="B435" authorId="0" shapeId="0" xr:uid="{00000000-0006-0000-04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4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4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4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4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400-0000D8000000}">
      <text>
        <r>
          <rPr>
            <b/>
            <sz val="9"/>
            <color indexed="81"/>
            <rFont val="Tahoma"/>
            <family val="2"/>
          </rPr>
          <t>YULIED.PENARANDA:</t>
        </r>
        <r>
          <rPr>
            <sz val="9"/>
            <color indexed="81"/>
            <rFont val="Tahoma"/>
            <family val="2"/>
          </rPr>
          <t xml:space="preserve">
Vigencia a reportar</t>
        </r>
      </text>
    </comment>
    <comment ref="B445" authorId="0" shapeId="0" xr:uid="{00000000-0006-0000-04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4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4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4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400-0000DD000000}">
      <text>
        <r>
          <rPr>
            <b/>
            <sz val="9"/>
            <color indexed="81"/>
            <rFont val="Tahoma"/>
            <family val="2"/>
          </rPr>
          <t>YULIED.PENARANDA:</t>
        </r>
        <r>
          <rPr>
            <sz val="9"/>
            <color indexed="81"/>
            <rFont val="Tahoma"/>
            <family val="2"/>
          </rPr>
          <t xml:space="preserve">
Vigencia a reportar</t>
        </r>
      </text>
    </comment>
    <comment ref="B460" authorId="0" shapeId="0" xr:uid="{00000000-0006-0000-04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4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4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4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400-0000E2000000}">
      <text>
        <r>
          <rPr>
            <b/>
            <sz val="9"/>
            <color indexed="81"/>
            <rFont val="Tahoma"/>
            <family val="2"/>
          </rPr>
          <t>YULIED.PENARANDA:</t>
        </r>
        <r>
          <rPr>
            <sz val="9"/>
            <color indexed="81"/>
            <rFont val="Tahoma"/>
            <family val="2"/>
          </rPr>
          <t xml:space="preserve">
Vigencia a reportar</t>
        </r>
      </text>
    </comment>
    <comment ref="B475" authorId="0" shapeId="0" xr:uid="{00000000-0006-0000-04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4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4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4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400-0000E7000000}">
      <text>
        <r>
          <rPr>
            <b/>
            <sz val="9"/>
            <color indexed="81"/>
            <rFont val="Tahoma"/>
            <family val="2"/>
          </rPr>
          <t>YULIED.PENARANDA:</t>
        </r>
        <r>
          <rPr>
            <sz val="9"/>
            <color indexed="81"/>
            <rFont val="Tahoma"/>
            <family val="2"/>
          </rPr>
          <t xml:space="preserve">
Vigencia a reportar</t>
        </r>
      </text>
    </comment>
    <comment ref="B490" authorId="0" shapeId="0" xr:uid="{00000000-0006-0000-04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4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4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4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4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400-0000ED000000}">
      <text>
        <r>
          <rPr>
            <b/>
            <sz val="9"/>
            <color indexed="81"/>
            <rFont val="Tahoma"/>
            <family val="2"/>
          </rPr>
          <t>YULIED.PENARANDA:</t>
        </r>
        <r>
          <rPr>
            <sz val="9"/>
            <color indexed="81"/>
            <rFont val="Tahoma"/>
            <family val="2"/>
          </rPr>
          <t xml:space="preserve">
Vigencia a reportar</t>
        </r>
      </text>
    </comment>
    <comment ref="B506" authorId="0" shapeId="0" xr:uid="{00000000-0006-0000-04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4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4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4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4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400-0000F3000000}">
      <text>
        <r>
          <rPr>
            <b/>
            <sz val="9"/>
            <color indexed="81"/>
            <rFont val="Tahoma"/>
            <family val="2"/>
          </rPr>
          <t>YULIED.PENARANDA:</t>
        </r>
        <r>
          <rPr>
            <sz val="9"/>
            <color indexed="81"/>
            <rFont val="Tahoma"/>
            <family val="2"/>
          </rPr>
          <t xml:space="preserve">
Vigencia a reportar</t>
        </r>
      </text>
    </comment>
    <comment ref="B521" authorId="0" shapeId="0" xr:uid="{00000000-0006-0000-04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4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4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4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4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400-0000F9000000}">
      <text>
        <r>
          <rPr>
            <b/>
            <sz val="9"/>
            <color indexed="81"/>
            <rFont val="Tahoma"/>
            <family val="2"/>
          </rPr>
          <t>YULIED.PENARANDA:</t>
        </r>
        <r>
          <rPr>
            <sz val="9"/>
            <color indexed="81"/>
            <rFont val="Tahoma"/>
            <family val="2"/>
          </rPr>
          <t xml:space="preserve">
Vigencia a reportar</t>
        </r>
      </text>
    </comment>
    <comment ref="B536" authorId="0" shapeId="0" xr:uid="{00000000-0006-0000-04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4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4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4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4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400-0000FF000000}">
      <text>
        <r>
          <rPr>
            <b/>
            <sz val="9"/>
            <color indexed="81"/>
            <rFont val="Tahoma"/>
            <family val="2"/>
          </rPr>
          <t>YULIED.PENARANDA:</t>
        </r>
        <r>
          <rPr>
            <sz val="9"/>
            <color indexed="81"/>
            <rFont val="Tahoma"/>
            <family val="2"/>
          </rPr>
          <t xml:space="preserve">
Vigencia a reportar</t>
        </r>
      </text>
    </comment>
    <comment ref="B551" authorId="0" shapeId="0" xr:uid="{00000000-0006-0000-04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4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4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4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<sst xmlns="http://schemas.openxmlformats.org/spreadsheetml/2006/main" count="3725" uniqueCount="688">
  <si>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</si>
  <si>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</si>
  <si>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</si>
  <si>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</si>
  <si>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</si>
  <si>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</si>
  <si>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</si>
  <si>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</si>
  <si>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</si>
  <si>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</si>
  <si>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</si>
  <si>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</si>
  <si>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</si>
  <si>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</si>
  <si>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</si>
  <si>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</si>
  <si>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</si>
  <si>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</si>
  <si>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</si>
  <si>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</si>
  <si>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</si>
  <si>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</si>
  <si>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</si>
  <si>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</si>
  <si>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</si>
  <si>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</si>
  <si>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</si>
  <si>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</si>
  <si>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</si>
  <si>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</si>
  <si>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</si>
  <si>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</si>
  <si>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</si>
  <si>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</si>
  <si>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</si>
  <si>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</si>
  <si>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</si>
  <si>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</si>
  <si>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</si>
  <si>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</si>
  <si>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</si>
  <si>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</si>
  <si>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</si>
  <si>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</si>
  <si>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</si>
  <si>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</si>
  <si>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</si>
  <si>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</si>
  <si>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</si>
  <si>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</si>
  <si>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</si>
  <si>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</si>
  <si>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</si>
  <si>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</si>
  <si>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</si>
  <si>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</si>
  <si>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</si>
  <si>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</si>
  <si>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</si>
  <si>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</si>
  <si>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</si>
  <si>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</si>
  <si>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</si>
  <si>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</si>
  <si>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</si>
  <si>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</si>
  <si>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</si>
  <si>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</si>
  <si>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</si>
  <si>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</si>
  <si>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</si>
  <si>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</si>
  <si>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</si>
  <si>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</si>
  <si>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</si>
  <si>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</si>
  <si>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</si>
  <si>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</si>
  <si>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</si>
  <si>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</si>
  <si>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</si>
  <si>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</si>
  <si>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</si>
  <si>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</si>
  <si>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</si>
  <si>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</si>
  <si>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</si>
  <si>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</si>
  <si>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</si>
  <si>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</si>
  <si>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</si>
  <si>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</si>
  <si>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</si>
  <si>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</si>
  <si>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</si>
  <si>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</si>
  <si>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</si>
  <si>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</si>
  <si>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</si>
  <si>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</si>
  <si>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</si>
  <si>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</si>
  <si>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</si>
  <si>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</si>
  <si>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</si>
  <si>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</si>
  <si>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</si>
  <si>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</si>
  <si>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</si>
  <si>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</si>
  <si>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</si>
  <si>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</si>
  <si>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</si>
  <si>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</si>
  <si>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</si>
  <si>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</si>
  <si>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</si>
  <si>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</si>
  <si>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</si>
  <si>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</si>
  <si>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</si>
  <si>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</si>
  <si>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</si>
  <si>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</si>
  <si>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</si>
  <si>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</si>
  <si>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</si>
  <si>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</si>
  <si>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</si>
  <si>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</si>
  <si>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</si>
  <si>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</si>
  <si>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</si>
  <si>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</si>
  <si>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</si>
  <si>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</si>
  <si>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</si>
  <si>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</si>
  <si>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</si>
  <si>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</si>
  <si>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</si>
  <si>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</si>
  <si>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</si>
  <si>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</si>
  <si>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</si>
  <si>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</si>
  <si>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</si>
  <si>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</si>
  <si>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</si>
  <si>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</si>
  <si>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</si>
  <si>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</si>
  <si>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</si>
  <si>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</si>
  <si>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</si>
  <si>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</si>
  <si>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</si>
  <si>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</si>
  <si>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</si>
  <si>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</si>
  <si>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</si>
  <si>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</si>
  <si>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</si>
  <si>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</si>
  <si>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</si>
  <si>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</si>
  <si>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</si>
  <si>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</si>
  <si>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</si>
  <si>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</si>
  <si>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</si>
  <si>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</si>
  <si>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</si>
  <si>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</si>
  <si>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</si>
  <si>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</si>
  <si>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</si>
  <si>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</si>
  <si>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</si>
  <si>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</si>
  <si>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</si>
  <si>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</si>
  <si>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</si>
  <si>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</si>
  <si>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</si>
  <si>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</si>
  <si>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</si>
  <si>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</si>
  <si>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</si>
  <si>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</si>
  <si>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</si>
  <si>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</si>
  <si>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</si>
  <si>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</si>
  <si>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</si>
  <si>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</si>
  <si>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</si>
  <si>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</si>
  <si>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</si>
  <si>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</si>
  <si>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</si>
  <si>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</si>
  <si>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</si>
  <si>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</si>
  <si>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</si>
  <si>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</si>
  <si>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</si>
  <si>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</si>
  <si>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</si>
  <si>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</si>
  <si>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</si>
  <si>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</si>
  <si>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</si>
  <si>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</si>
  <si>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</si>
  <si>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</si>
  <si>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</si>
  <si>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</si>
  <si>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</si>
  <si>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</si>
  <si>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</si>
  <si>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</si>
  <si>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</si>
  <si>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</si>
  <si>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</si>
  <si>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</si>
  <si>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</si>
  <si>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</si>
  <si>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</si>
  <si>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</si>
  <si>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</si>
  <si>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</si>
  <si>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</si>
  <si>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</si>
  <si>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</si>
  <si>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</si>
  <si>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</si>
  <si>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</si>
  <si>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</si>
  <si>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</si>
  <si>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</si>
  <si>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</si>
  <si>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</si>
  <si>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</si>
  <si>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</si>
  <si>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</si>
  <si>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</si>
  <si>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</si>
  <si>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</si>
  <si>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</si>
  <si>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</si>
  <si>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</si>
  <si>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</si>
  <si>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</si>
  <si>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</si>
  <si>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</si>
  <si>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</si>
  <si>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</si>
  <si>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</si>
  <si>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</si>
  <si>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</si>
  <si>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</si>
  <si>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</si>
  <si>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5, PONDERACIÓN HORIZONTAL AÑO: 2021</t>
  </si>
  <si>
    <t>1, 5. PROGRAMACIÓN INICIAL AÑO 2021</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</si>
  <si>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</si>
  <si>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</si>
  <si>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</si>
  <si>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</si>
  <si>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</si>
  <si>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</si>
  <si>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</si>
  <si>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</si>
  <si>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</si>
  <si>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</si>
  <si>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</si>
  <si>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</si>
  <si>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</si>
  <si>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</si>
  <si>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</si>
  <si>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</si>
  <si>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</si>
  <si>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</si>
  <si>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</si>
  <si>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</si>
  <si>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</si>
  <si>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</si>
  <si>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</si>
  <si>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</si>
  <si>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</si>
  <si>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</si>
  <si>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</si>
  <si>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</si>
  <si>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</si>
  <si>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</si>
  <si>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</si>
  <si>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</si>
  <si>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</si>
  <si>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</si>
  <si>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</si>
  <si>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</si>
  <si>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</si>
  <si>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</si>
  <si>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</si>
  <si>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</si>
  <si>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</si>
  <si>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</si>
  <si>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</si>
  <si>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</si>
  <si>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</si>
  <si>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</si>
  <si>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</si>
  <si>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</si>
  <si>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</si>
  <si>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</si>
  <si>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</si>
  <si>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</si>
  <si>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</si>
  <si>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</si>
  <si>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</si>
  <si>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</si>
  <si>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</si>
  <si>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</si>
  <si>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</si>
  <si>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</si>
  <si>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</si>
  <si>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</si>
  <si>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Versión:</t>
    </r>
    <r>
      <rPr>
        <b/>
        <sz val="20"/>
        <color rgb="FFFF0000"/>
        <rFont val="Arial"/>
        <family val="2"/>
      </rPr>
      <t xml:space="preserve"> </t>
    </r>
    <r>
      <rPr>
        <b/>
        <sz val="20"/>
        <rFont val="Arial"/>
        <family val="2"/>
      </rPr>
      <t>14</t>
    </r>
  </si>
  <si>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</si>
  <si>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</si>
  <si>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</si>
  <si>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</si>
  <si>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</si>
  <si>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</si>
  <si>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</si>
  <si>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</si>
  <si>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</si>
  <si>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</si>
  <si>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</si>
  <si>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</si>
  <si>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</si>
  <si>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</si>
  <si>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</si>
  <si>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</si>
  <si>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</si>
  <si>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</si>
  <si>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</si>
  <si>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</si>
  <si>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</si>
  <si>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</si>
  <si>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</si>
  <si>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</si>
  <si>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 xml:space="preserve">Subdirección de Calidad del Aire, Auditiva y Visual																																																																																																																																							</t>
  </si>
  <si>
    <t xml:space="preserve">7778 - Control a los factores de deterioro de calidad del aire, acústica y visual del Distrito Capital. Bogotá																																																																																																																																							</t>
  </si>
  <si>
    <t xml:space="preserve">02 Cambiar nuestros hábitos de vida para reverdecer a Bogotá y adaptarnos y mitigar la crisis																																																																																																																																							</t>
  </si>
  <si>
    <t xml:space="preserve">35 Manejo y prevención de contaminación																																																																																																																																							</t>
  </si>
  <si>
    <t>Realizar 4.000 acciones de seguimiento y control sobre los elementos de publicidad exterior visual instalados en las zonas con mayor densidad.</t>
  </si>
  <si>
    <t>Número de Acciones de Seguimiento realizadas</t>
  </si>
  <si>
    <t>Numero</t>
  </si>
  <si>
    <t>Suma</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</si>
  <si>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</si>
  <si>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</si>
  <si>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</si>
  <si>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t>
  </si>
  <si>
    <t>Constante</t>
  </si>
  <si>
    <t>Reducir en el 10% como promedio ponderado ciudad, la concentración de material particulado PM10 y PM2.5, mediante la implementación del Plan de Gestión Integral de Calidad de Aire</t>
  </si>
  <si>
    <t>Porcentaje de reducción en la concentración promedio ponderado de material particulado PM10 y PM2.5 en la ciudad</t>
  </si>
  <si>
    <t>Concentración promedio ponderado de ciudad de material particulado PM10.</t>
  </si>
  <si>
    <t>ug/m3</t>
  </si>
  <si>
    <t>Decreciente</t>
  </si>
  <si>
    <t xml:space="preserve">
Concentración promedio ponderado de ciudad de material particulado PM 2,5.</t>
  </si>
  <si>
    <t>-</t>
  </si>
  <si>
    <t>( - )</t>
  </si>
  <si>
    <t>6, % CUMPLIMIENTO ACUMULADO (al periodo) cuatrienio</t>
  </si>
  <si>
    <t>REPROGRAMACIÓN VIGENCIA 
(VALOR INICIAL)</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</si>
  <si>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</si>
  <si>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</si>
  <si>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</si>
  <si>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</si>
  <si>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</si>
  <si>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</si>
  <si>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</si>
  <si>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</si>
  <si>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</si>
  <si>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</si>
  <si>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</si>
  <si>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</si>
  <si>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</si>
  <si>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</si>
  <si>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PROGRAMADO ENE.</t>
  </si>
  <si>
    <t>EJECUTADO ENE.</t>
  </si>
  <si>
    <t>PROGRAMADO FEB.</t>
  </si>
  <si>
    <t>EJECUTADO FEB.</t>
  </si>
  <si>
    <t>PROGRAMADO MAR.</t>
  </si>
  <si>
    <t>EJECUTADO MAR.</t>
  </si>
  <si>
    <t>PROGRAMADO ABR.</t>
  </si>
  <si>
    <t>EJECUTADO ABR.</t>
  </si>
  <si>
    <t>PROGRAMADO MAY.</t>
  </si>
  <si>
    <t>EJECUTADO  MAY.</t>
  </si>
  <si>
    <t>Aire</t>
  </si>
  <si>
    <t xml:space="preserve">Ruido
</t>
  </si>
  <si>
    <t xml:space="preserve">Red de Ruido
</t>
  </si>
  <si>
    <t>Visual</t>
  </si>
  <si>
    <t>Realizar el 100% de las acciones para operar, mantener y ampliar la red de monitoreo de calidad del aire.</t>
  </si>
  <si>
    <t xml:space="preserve">Formular 29 documentos técnicos de formulación, seguimiento o evaluación de la gestión integral de la calidad del aire de Bogotá.
</t>
  </si>
  <si>
    <t xml:space="preserve">Realizar 8 informes de acciones de evaluación, control y seguimiento a fuentes fijas y fuentes móviles incluidos centros de diagnóstico automotor que operan en el distrito capital.
</t>
  </si>
  <si>
    <t xml:space="preserve">Realizar 4.700 acciones de evaluación, seguimiento y control de emisión de ruido a los establecimientos de comercio, industria y servicio ubicados en el perímetro urbano del D.C.
</t>
  </si>
  <si>
    <t xml:space="preserve">Realizar el 100% de las acciones para operar, mantener y ampliar la Red de Monitoreo de Ruido Ambiental de Bogotá para la identificación de la población urbana afectada por ruido en el distrito.
</t>
  </si>
  <si>
    <t xml:space="preserve">Realizar 7.948 acciones técnico-jurídicas de evaluación, seguimiento y control sobre los elementos de publicidad exterior visual - PEV, instalados en el perímetro urbano del D.C.
</t>
  </si>
  <si>
    <t xml:space="preserve">Atender el 100% de los conceptos técnicos que recomiendan actuaciones administrativas sancionatorias durante la vigencia para mejorar la eficiencia del proceso sancionatorio ambiental.
</t>
  </si>
  <si>
    <t xml:space="preserve">Constante
</t>
  </si>
  <si>
    <t>100%%</t>
  </si>
  <si>
    <t xml:space="preserve">Subdirección de Calidad del Aire, Auditiva y Visual		</t>
  </si>
  <si>
    <t xml:space="preserve">7778 - Control a los factores de deterioro de calidad del aire, acústica y visual del Distrito Capital. Bogotá		</t>
  </si>
  <si>
    <t>Realizar el 100% de las acciones para operar, mantener y ampliar la red de monitoreo de calidad del aire</t>
  </si>
  <si>
    <t>1. Realizar mantenimientos preventivos y correctivos en los equipos de la RMCAB</t>
  </si>
  <si>
    <t>X</t>
  </si>
  <si>
    <t>2. Realizar la validación y análisis de los datos provenientes de las estaciones de la RMCAB</t>
  </si>
  <si>
    <t>3. Elaborar y publicar en la página de la RMCAB 17 informes periódicos de calidad del aire</t>
  </si>
  <si>
    <t>4. Integrar los datos de las nuevas estaciones y nuevos equipos de la RMCAB</t>
  </si>
  <si>
    <t xml:space="preserve">5. Realizar acciones encaminadas a la integración de las redes de monitoreo de calidad del aire de la CAR y de la RMCAB.
</t>
  </si>
  <si>
    <t xml:space="preserve">6. Apoyar técnicamente la evaluación y selección de sensores de bajo costo, útiles para el establecimiento de una red de monitoreo de exposición a la contaminación. </t>
  </si>
  <si>
    <t>7. Elaborar el documento técnico con las acciones de evaluación y cierre al Plan Decenal de Descontaminación del Aire de Bogotá</t>
  </si>
  <si>
    <t>8. Elaborar el documento técnico con la estimación y espacialización de las emisiones de la ciudad de Bogotá</t>
  </si>
  <si>
    <t>9. Elaborar el documento técnico de lineamientos sobre protocolos de actuación en eventos de contaminación atmosférica y sobre gobernanzas del aire</t>
  </si>
  <si>
    <t>10. Realizar la intervención a las Fuentes Fijas  ubicadas en el Distrito Capital, a través de las acciones de evaluación, control,  seguimiento y monitoreo.</t>
  </si>
  <si>
    <t>11. Atender las solicitudes de quejas, derechos de petición, entes de control y radicados allegadas a la Entidad a través de vistas de inspección, vigilancia y control.</t>
  </si>
  <si>
    <t>12. Realizar las mediciones a los vehículos durante los operativos de evaluación, control y seguimiento a las fuentes móviles.</t>
  </si>
  <si>
    <t>13. Programar  y ejecutar las visitas técnicas del programa de auditoria a los centros de diagnóstico automotor que operan en el distrito capital.</t>
  </si>
  <si>
    <t xml:space="preserve">14. Estructurar y evaluar estrategias alternativas de seguimiento y control a fuentes móviles </t>
  </si>
  <si>
    <t>Ruido</t>
  </si>
  <si>
    <t>15. Realizar documentos técnicos de evaluación y seguimiento de emisión de ruido a establecimientos de comercio, industria y servicio, generados por visitas con medición/sin medición y  no efectivas.</t>
  </si>
  <si>
    <t>16. Realizar documentos técnicos: oficios evaluación de estudios de emisión de ruido conceptos técnicos aclaratorio y demás documentos relacionados que no requieren visita técnica.</t>
  </si>
  <si>
    <t>Red de Ruido</t>
  </si>
  <si>
    <t>Realizar el 100% de las acciones para operar, mantener y ampliar la Red de Monitoreo de Ruido Ambiental de Bogotá para la identificación de la población urbana afectada por ruido en el distrito.</t>
  </si>
  <si>
    <t>17. Asegurar la continua operación y comunicación de las estaciones de monitoreo que conforman la red de monitoreo de ruido ambiental del Distrito</t>
  </si>
  <si>
    <t xml:space="preserve">18.    Instalar, comunicar y restablecer la puesta en servicio de 10 estaciones de la red de monitoreo de ruido ambiental del Distrito. </t>
  </si>
  <si>
    <t>19. Gestionar los procesos relacionados con la acreditación de la metodología de medición de ruido ambiental ISO 1996 llevado a cabo por la SDA ante el IDEAM</t>
  </si>
  <si>
    <t xml:space="preserve">20. Actualizar los mapas estratégicos de ruido de todas las localidades urbanas del Distrito. </t>
  </si>
  <si>
    <t>21. Elaborar un informe técnico semestral de ruido ambiental que sirva como insumo para la identificación del porcentaje Urbano de Afectados por Ruido (%PUAR)</t>
  </si>
  <si>
    <t>Realizar 7.948 acciones técnico-jurídicas de evaluación, seguimiento y control sobre los elementos de publicidad exterior visual - PEV, instalados en el perímetro urbano del D.C.</t>
  </si>
  <si>
    <t>22. OPERATIVOS DE CONTROL Y SENSIBILIZACIÓN
Desarrollar actividades de control y sensibilización de los elementos Publicidad Exteriores Visual - PEV.</t>
  </si>
  <si>
    <t>23. SEGUIMIENTOS VALLAS. Evaluación.
Realizar visitas de control y seguimiento a los elementos mayores o vallas tubulares dentro del distrito.</t>
  </si>
  <si>
    <t>24. DOCUMENTOS DE OPERATIVOS DE CONTROL
Elaborar los documentos técnicos requeridos para el adecuado proceso interno de los elementos Publicidad Exteriores Visual - PEV ilegales en el distrito</t>
  </si>
  <si>
    <t>25. Realizar el seguimiento y actualización mensual de la información contenida en el Sistema Integrado de Información de Publicidad Exterior Visual - SIIPEV para dar cumplimiento al Acuerdo 610/2015</t>
  </si>
  <si>
    <t>26.Evaluación técnica a las solicitudes de registro de los elementos de publicidad exterior visual. - PEV, de acuerdo a las Peticiones y Quejas que alleguen a grupo.</t>
  </si>
  <si>
    <t>Atender el 100% de los conceptos técnicos que recomiendan actuaciones administrativas sancionatorias durante la vigencia para mejorar la eficiencia del proceso sancionatorio ambiental</t>
  </si>
  <si>
    <t>27. Acoger jurídicamente los conceptos técnicos mediante la proyección de los actos administrativos ambientales de carácter sancionatorio.</t>
  </si>
  <si>
    <t>28. Realizar el proceso de organización y administración de los documentos de archivos y expedientes sancionatorios.</t>
  </si>
  <si>
    <t>29. Notificar los actos administrativos en cumplimiento de la normatividad establecida.</t>
  </si>
  <si>
    <t>30. Realizar acciones de seguimiento y control ambiental en el marco del trámite sancionatorio.</t>
  </si>
  <si>
    <t>TOTAL PONDERACIÓN</t>
  </si>
  <si>
    <t>Bogotá D.C. Nota: El Plan de Gestión Integral de Calidad del Aire se encuentra enmarcado en las acciones de monitoreo, control y gestión a la calidad del aire, las cuales serán realizadas conjuntamente como ciudad en el marco del desarrollo de gobernanza, es decir que las estrategias, planes y proyectos estarán orientados al cumplimiento de la meta de reducir el 10% promedio ponderado de Material Partículado PM10 y PM2.5 para la ciudad. Como instrumento de planeación aplica para la ciudad y no cuenta con un diferenciador por localidad, sino como eje articulador de acciones que se desarrollen para mejorar la calidad del aire de la ciudad.</t>
  </si>
  <si>
    <t>Todas las Localidades (19).</t>
  </si>
  <si>
    <t>N.A</t>
  </si>
  <si>
    <t>Guaymaral	GYR	4°47'1.52"N	74°2'39.06"W
Usaquén	USQ	4°42'37.26"N	74°1'49.50"W
Suba	SUB	4°45'40.49"N	74° 5'36.46"W
Bolivia	BOL	4°44'9.12"N	74°7'33.18"W
Las Ferias	LFR	4°41'26.52"N	74°4'56.94"W
Centro de Alto Rendimiento	CDAR	4°39'30.48"N	74°5'2.28"W
Estación Móvil 7ma	MOV	4°38'32.75"N	74°5'2.28"W
MinAmbiente	MAM	4°37'31.75"N	74°4'1.13"W
Fontibón	FTB	4°40'41.67"N	74°8'37.75"W
Puente Aranda	PTE	4°37'54.36"N	74°7'2.94"W
Kennedy	KEN	4°37'30.18"N	74°9'40.80"W
Carvajal - Sevillana	CSE	4°35'44.22"N	74°8'54.90"W
Tunal	TUN	4°34'34.41"N	74°7'51.44"W
San Cristóbal	SCR	4°34'21.19"N	74°5'1.73"W
El Jazmín	JAZ	4°36'30.6"N 	74°06'53.8"W
Usme 	USM	4°31'55.4"N 	74°07'01.7"W
Bosa	BOS	4°36'20.2"N 	74°12'14.6"W
Ciudad Bolívar	CBV	4°34'40.1"N 	74°09'58.6"W
Colina	COL	4°44'14.1"N 	74°04'10.0"W
Móvil Fontibón	MOV2	4°40'03.7"N 	74°08'55.9"W</t>
  </si>
  <si>
    <t>DISTRITO CAPITAL</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</si>
  <si>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</si>
  <si>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</si>
  <si>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Realizar 4.700 acciones de evaluación, seguimiento y control de emisión de ruido a los establecimientos de comercio, industria y servicio ubicados en el perímetro urbano del D.C.</t>
  </si>
  <si>
    <t xml:space="preserve">Bogotá D.C. Nota: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 </t>
  </si>
  <si>
    <t>1	CAI La Aurora	4,520859002	-74,122551	USME	UPZ57	GRAN YOMASA	Carrera 14L No. 71-03 Sur
2	CAI 20 De Julio	4,572536002	-74,092696	SAN CRISTOBAL	UPZ34	20 DE JULIO	calle 20 a sur No. 6A-46
3	CAI Ciudad Berna	4,582926002	-74,090467	ANTONIO NARIÑO	UPZ35	CIUDAD JARDIN	Calle 11 sur No. 10-03
4	CAI Claret	4,583737001	-74,127257	RAFAEL URIBE URIBE	UPZ39	QUIROGA	Calle 44 No. 27-50 Sur
5	Antonio Nariño	4,584800787	-74,10007024	ANTONIO NARIÃ‘O	UPZ38	RESTREPO	Calle 17 sur No. 16-91
6	CAI Venecia	4,589745001	-74,138379	TUNJUELITO	UPZ42	VENECIA	 Transv 44 No. 50G-00 Sur
7	CAI San Victorino	4,601214002	-74,081783	LOS MARTIRES	UPZ102	LA SABANA	Avenida Caracas con Calle 10
8	CAI Tejar	4,609127001	-74,128176	PUENTE ARANDA	UPZ40	CIUDAD MONTES	Avenida Carrera 68 con Avenida 1 de Mayo
9	CAI Caldas	4,632131001	-74,154017	KENNEDY	UPZ46	CASTILLA	Diagonal 38 sur Carrera 80
10	Edificio Marly	4,637504515	-74,06424644	CHAPINERO	UPZ99	CHAPINERO	Carrera 9 No. 50-60
11	Secretaria Distrital de Ambiente	4,641740007	-74,06575488	CHAPINERO	UPZ99	CHAPINERO	Avenida caracas No. 54-38
12	CAI Galerías	4,641821001	-74,07461	TEUSAQUILLO	UPZ100	GALERIAS	Calle 53 No. 25-01
13	CAI Siete De Agosto	4,658550001	-74,077148	BARRIOS UNIDOS	UPZ98	LOS ALCAZARES	Carrera 30 con Calle 64
14	CAI Modelia	4,664866001	-74,118697	FONTIBON	UPZ114	MODELIA	Carrera 74 No. 24-22
15	Estación Policía Fontibón	4,667842705	-74,14854885	FONTIBON	UPZ75	FONTIBON	Carrera 98 No. 16B-50
16	Jardín Botánico	4,668859017	-74,09874723	ENGATIVA	UPZ105	JARDIN BOTANICO	Calle 63 No. 68-95
17	Hotel Morrison	4,669047548	-74,05441343	CHAPINERO	UPZ97	CHICO LAGO	Calle 84 Bis No. 13-54
18	Estación Policía Santa Cecilia	4,669752341	-74,11901859	FONTIBON	UPZ114	MODELIA	Carrera 81 No. 24D-75
19	Cruz Roja Colombiana	4,673240542	-74,08914905	ENGATIVA	UPZ26	LAS FERIAS	Carrera 68 No. 68B-31
20	Alcaldía Local de Fontibón	4,673435455	-74,14407712	FONTIBON	UPZ75	FONTIBON	Carrera 99 No. 19-43
21	CAI Villa Luz	4,681289001	-74,107361	ENGATIVA	UPZ31	SANTA CECILIA	Carrera 77A No. 64C-26
22	CAI Álamos	4,690443001	-74,117244	ENGATIVA	UPZ116	ALAMOS	Transversal 93 No. 64G-00
23	CAI Navarra	4,695576001	-74,055263	USAQUEN	UPZ16	SANTA BARBARA	Autopista Norte No. 108A-60
24	Edificio Ejecutivo Plaza	4,699811326	-74,05065773	USAQUEN	UPZ16	SANTA BARBARA	Carrera 19A No. 118-13
25	CAI Villa Nidia	4,737773001	-74,022585	USAQUEN	UPZ11	SAN CRISTOBAL NORTE	Calle 163 No. 6A-25
26	CAI Villa Del Prado	4,753339688	-74,04699756	SUBA	UPZ17	SAN JOSE DE BAVARIA	Calle 172 con Autopista Norte</t>
  </si>
  <si>
    <t>Bogotá D.C.</t>
  </si>
  <si>
    <t>*Disminución de la afectación paisajística originada por la sobreexposición de elementos publicitarios en Bogotá a través de la pedagogía y las actuaciones administrativas y jurídicas sobre los presuntos infractores.
*Legalización de la publicidad exterior visual en la ciudad.</t>
  </si>
  <si>
    <t>Información generada por el equipo de trabajo de Publicidad Exterior Visual - PEV.</t>
  </si>
  <si>
    <t>Disminución de la afectación paisajística originada por la sobreexposición de elementos publicitarios en Bogotá a través de la pedagogía y las actuaciones administrativas y jurídicas sobre los presuntos infractores.
Legalización de la publicidad exterior visual en la ciudad.</t>
  </si>
  <si>
    <t>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t>
  </si>
  <si>
    <t>Sistema de Información Ambiental de la Entidad Forest.</t>
  </si>
  <si>
    <t>La correcta operación de la Red de Ruido de Bogotá, permiten una mejor cobertura del monitoreo de niveles de ruido ambiental, así como la identificación de zonas con fuentes sonoras de alto impacto con las cuales se establecen los insumos para la identificación de la población afectada por ruido en el Distrito.</t>
  </si>
  <si>
    <t>la evidencia esta cargada en el servidor de la SCAAV. Isolucion - Sistema de Información Ambiental de la Entidad Forest.</t>
  </si>
  <si>
    <t>Mantener las condiciones ambientales atmosféricas de la ciudad, de acuerdo con la norma nacional de calidad del aire con el objetivo de mejorar las condiciones de vida de la población de la ciudad.</t>
  </si>
  <si>
    <t>http://rmcab.ambientebogota.gov.co</t>
  </si>
  <si>
    <t xml:space="preserve">Garantizar el monitoreo permanente de la calidad del aire del distrito capital, informando a la ciudadanía, academia y otras entidades para la toma de decisiones y el seguimiento a la gestión del recurso aire </t>
  </si>
  <si>
    <t>N.A.</t>
  </si>
  <si>
    <t>Reporte de mantenimientos preventivos y correctivos: Software Gestor RMCAB http://201.245.192.252:82
Informes de calidad del aire de Bogotá: http://rmcab.ambientebogota.gov.co
Validación y análisis: Software ENVISTA RMCAB
Otros documentos: Servidor SDA - Carpeta RMCAB.</t>
  </si>
  <si>
    <t>Contar con los documentos técnicos en los cuales se evidencien las acciones de vigilancia, modelación y gestión de la calidad del aire de la ciudad, incluyendo la gobernanza, riesgos en la salud, restricciones por episodios de contaminación, regionalidad, y el cambio climático.</t>
  </si>
  <si>
    <t xml:space="preserve">\\192.168.175.17\scaav\2. Grupo Fuentes Fijas\INDICADORES POA\POA 2020-02
</t>
  </si>
  <si>
    <t>Con la información recolectada se va compilando la caracterización y documentación para la elaboración del informe semestral y los resultados sirven para determinar el cumplimiento normativo.</t>
  </si>
  <si>
    <t xml:space="preserve">Realizar 8 informes de acciones de evaluación, control y seguimiento a fuentes fijas y fuentes móviles incluidos centros de diagnóstico automotor que operan en el distrito capital.
</t>
  </si>
  <si>
    <t>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t>
  </si>
  <si>
    <t xml:space="preserve">Sistema de Información Ambiental de la Entidad Forest.
</t>
  </si>
  <si>
    <t>La evidencia esta cargada en el servidor de la SCAAV. ISOLUCION - Sistema de Información Ambiental de la Entidad FOREST.</t>
  </si>
  <si>
    <t>Mejorar transversalmente el proceso sancionatorio ambiental con el fin de dar cumplimiento a las normas y lineamientos establecidos para controlar los factores de deterioro de calidad del aire, acústica y visual del Distrito Capital y a su vez contribuir al mejoramiento de la calidad de vida de los ciudadanos, a través de la función de vigilancia y control ambiental sobre dicho recurso.</t>
  </si>
  <si>
    <t xml:space="preserve">"""Sistema de Información Ambiental FOREST 
Archivos de la Dirección de Control Ambiental """
</t>
  </si>
  <si>
    <t>% reducción PM 10</t>
  </si>
  <si>
    <t>% reducción PM 2.5</t>
  </si>
  <si>
    <t>Para el primer trimestre de la vigencia 2021, se han realizado los mantenimientos mensuales a todos los equipos de todas las estaciones de monitoreo de la red. Para el mes de abril de la vigencia 2021, se han realizado los mantenimientos mensuales a todos los equipos de todas las estaciones de monitoreo de la red.
Para el mes de mayo de la vigencia 2021, se han realizado los mantenimientos mensuales a todos los equipos de todas las estaciones de monitoreo de la red. Sin embargo, se generaron retrasos significativos en la atención a los correctivos debido a la capacidad operativa limitada que tiene la Red actualmente por no contar con los vehículos necesarios para atender las 20 estaciones actuales.
junio, se han realizado los mantenimientos mensuales a todos los equipos de todas las estaciones de monitoreo de la red. Sin embargo, se evidenció una limitación en la operatividad, asociada a los 4 casos positivos de COVID-19 que se presentaron en el equipo de campo.
Acumulado de la actividad del 41,56%.</t>
  </si>
  <si>
    <t>Para el mes de abril de la vigencia 2021, se presenta el siguiente avance:
Se realizó la validación diaria de los datos de concentraciones de contaminantes criterio y parámetros meteorológicos que monitorea la RMCAB, el reporte de operatividad para Marzo fue del 91,6%, que corresponde a los datos reportados por las estaciones de la RMCAB (el cual es promedio de los datos validos de todos los parámetros de la red que se genera a través del software Envista).  Se realizó el análisis de datos del mes de marzo de 2021.
Para el mes de mayo de la vigencia 2021, se presenta el siguiente avance:
Se realizó la validación diaria de los datos de concentraciones de contaminantes criterio y parámetros meteorológicos que monitorea la RMCAB, el reporte de operatividad para mayo fue del 94,3%, que corresponde a los datos reportados por las estaciones de la RMCAB (el cual es promedio de los datos validos de todos los parámetros de la red que se genera a través del software Envista).  Se realizó el análisis de datos del mes de abril de 2021.
Junio; Se realizó la validación diaria de los datos de concentraciones de contaminantes criterio y parámetros meteorológicos que monitorea la RMCAB, el reporte de operatividad para junio fue del 92,3%, que corresponde a los datos reportados por las estaciones de la RMCAB. Se completo el análisis de datos y la redacción del informe mensual de mayo de 2021.
Acumulado de la actividad del 46,65%.</t>
  </si>
  <si>
    <t xml:space="preserve"> Para el Primer Trimestre de 2021, se han ejecutado las siguientes actividades:
Enero, se han procesado y analizado los datos de contaminantes criterio para la elaboración del informe mensual de diciembre de 2020. El informe esta en proceso de validación para su publicación.
En Febrero de 2021, se han procesado y analizado los datos de contaminantes criterio para la elaboración del informe mensual de enero de 2021. No se publicó el informe debido a que no se cuenta con todo el personal de análisis y validación contratado. 
Marzo: se han procesado y analizado los datos de contaminantes criterio para la elaboración del informe mensual del mes de Febrero de 2021 y del Trimestre oct-dic 2020. Asimismo, el equipo de la RMCAB en el mes de marzo elaboró el informe del mes de diciembre de 2020 que estaba retrasado y avanzo en la elaboración del informe de Enero de 2021 que también estaba retrasado. Queda pendiente la publicación del informe de diciembre debido a la actualización del formato establecido por la DPSIA.  
Abril: se han ejecutado las siguientes actividades: Se han procesado y analizado los datos de contaminantes criterio para la elaboración del informe mensual del mes de Marzo de 2021. Asimismo, el equipo de la RMCAB en el mes de abril publicó los informes de diciembre 2020, enero, febrero 2021 y el informe trimestral oct-dic 2020 que estaba retrasado y se avanzo en la elaboración del informe de marzo de 2021.
Mayo:  Se procesaron y analizaron los datos de contaminantes criterio para la elaboración del informe mensual del mes de abril de 2021, el cual ya se encuentra publicado. Asimismo, el equipo de la RMCAB en el mes de mayo publicó el informe de marzo 2021.
Junio se completo el análisis de datos y la redacción del informe mensual de mayo de 2021. Asimismo, el equipo de la RMCAB completo la elaboración y publicó los informes: trimestral enero-marzo 2021 y anual 2020. Adicionalmente se publicó el informe mensual de mayo 2021.
Acumulado de la actividad del 46,96%.</t>
  </si>
  <si>
    <t>Junio: Se mantiene el proceso de validación de los datos generados por las nuevas estaciones y equipos, para lo cual se adelantan procesos de intercomparación entre equipos, y se valida el comportamiento de algunos parámetros con el fin de integrarlos finalmente al sitio web de la RMCAB.
Acumulado de la actividad del 50,00%.</t>
  </si>
  <si>
    <t>Junio: Se realizó la revisión de la parte jurídica y de cooperación en la estructura del Convenio entre la SDA y la CAR de Cundinamarca, estableciendo la necesidad de definir el tipo de convenio a realizar, el periodo de ejecución, el rol de cada entidad para los formatos a utilizar y el cargue de los documentos. En ese sentido, se realizó reunión con los profesionales de la Corporación para establecer las actividades a realizar en el marco de la integración de las redes, específicamente lo relacionado con el tema de modelación de calidad del aire y se avanzó en la estructura del Convenio y las actividades para este componente.
Acumulado de la actividad del 50,00%.</t>
  </si>
  <si>
    <r>
      <t>Abril de la vigencia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t>
    </r>
    <r>
      <rPr>
        <b/>
        <sz val="10"/>
        <color theme="1"/>
        <rFont val="Arial"/>
        <family val="2"/>
      </rPr>
      <t xml:space="preserve">
Para el mes de mayo de la vigencia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Adicionalmente se realizó una visita de inspección a la estación de Las Ferias con el personal del proceso de consultoría que lidera el CIMAB para este tema.
Junio: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y se realizó la instalación de los microsensores en el marco del proceso de consultoría para evaluación de sensores de bajo costo liderado por el grupo de CIMAB y SATAB.
Acumulado de la actividad del 49,95%.</t>
    </r>
  </si>
  <si>
    <t xml:space="preserve">Formular 29 documentos técnicos de formulación, seguimiento o evaluación de la gestión integral de la calidad del aire de Bogotá
</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</si>
  <si>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publicó el informe mensual de mayo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y se realizó la instalación de los sensores en el marco de la consultoría para evaluación de sensores de bajo costo liderado por el grupo de CIMAB y SATAB.
Para el mes de junio se completo el análisis de datos y la redacción del informe mensual de mayo de 2021. Asimismo, el equipo de la RMCAB en el mes de junio completo la elaboración y publicó los informes trimestrales ene-abr 2021 y anual 2020. Adicionalmente se publicó el informe mensual de mayo.</t>
  </si>
  <si>
    <t>Junio: se realizó un ajuste al documento técnico del Plan Aire considerando las observaciones realizadas por la Secretaría Jurídica al proyecto de Decreto del mismo y la exposición de motivos, se armonizó la información de los anexos con el documento técnico y el proyecto de Decreto, en cuanto a la estructura, los nombres de los proyectos, el capítulo del plan de acción, presupuesto, y el capítulo de evaluación seguimiento y actualización. Se integró al anexo del Pacto por el aire el proceso de seguimiento y fortalecimiento, así como el reporte de los informes de consolidación de la información y también lo relacionado con los procesos de cocreación que estarán involucrados y articulados entre el Pacto por el aire como el Plan Aire.</t>
  </si>
  <si>
    <t>Junio: Se realiza la presentación final del documento de modelación del grupo SIMCAB, para posteriormente sea revisado y aprobado por parte del subdirector de calidad de aire, para en un futuro realizar la publicación del mismo.</t>
  </si>
  <si>
    <t>Junio: se recibieron las observaciones al documento del Plan de Contingencia Distrital para episodios de contaminación atmosférica por parte del Instituto Distrital de gestión de riesgos y cambio climático, para lo cual se están desarrollando los respectivos ajustes.
Se adelantó la Mesa Regional de calidad del aire con el propósito de conocer los procedimientos aplicados por la Corporación Autónoma Regional de Cundinamarca para la atención de episodios de contaminación atmosférica, documento que será socializado para el mes de agosto, con el propósito de articular las acciones para la reducción de emisiones bajo el esquema de Bogotá - Región Metropolitana. 
Se realizan avances en relación con el Acuerdo 802 de 2021 por el cual se establecen lineamientos para la formulación de la metodología para la evaluación y ajuste de los intervalos del Índice Bogotano de Calidad del Aire y Riesgo en Salud -IBOCA-.</t>
  </si>
  <si>
    <t>En el marco de la gestión integral de la calidad del aire de Bogotá, hasta la fecha (Junio-2021) se ha venido trabajando en el desarrollo de 3 documentos técnicos, los cuales son: 1. Documento técnico de Plan Aire con sus respectivos anexos y el Decreto del Plan Aire, en el cual se realizaron los ajustes relaciones a las observaciones dadas por la Secretaría Jurídica, el cual se encuentra en proceso de firma en el despacho de la Alcaldía de Bogotá. 2. Plan de Contingencia Distrital para la atención de episodios por condiciones desfavorables de calidad del aire en la ciudad, el cual recibió observaciones del IDIGER y en este momento se encuentran realizando las debidas correcciones, así mismo, se adelantó la Mesa Regional de Calidad del Aire con el propósito de conocer los procedimientos aplicados por la CAR para la atención de episodios de contaminación atmosférica y por último se entregan los avances de la metodología para la evaluación y ajuste de los intervalos del IBOCA. 3. Documento de modelación, el cual se entrega en su versión final para ser revisado y aprobado por parte del subdirector de calidad del aire y así pueda ser publicado.</t>
  </si>
  <si>
    <t>Enero de 2021: Avance del 4,00% - Corresponde al número de actuaciones técnicas generadas del Seguimiento, Control y monitoreo a las fuentes fijas para el periodo en mención.
Febrero de 2021: Avance del 2,15% - Corresponde al número de actuaciones técnicas generadas del Seguimiento, Control y monitoreo a las fuentes fijas para el periodo en mención.
Marzo 2021: Avance del 5,49%Corresponde al número de actuaciones técnicas generadas del Seguimiento, Control y monitoreo a las fuentes fijas para el periodo en mención.
Abril 2021: Avance del 5,55%Corresponde al número de actuaciones técnicas generadas del Seguimiento, Control y monitoreo a las fuentes fijas para el periodo en mención.
Mayo 2021: Avance del 8,33%Corresponde al número de actuaciones técnicas generadas del Seguimiento, Control y monitoreo a las fuentes fijas para el periodo en mención.
Junio 2021: Con el fin de construir el informe correspondiente al primer semestre del año, se realizó intervención mediante la generación de actuaciones técnicas, producto de las visitas de Inspección, Vigilancia, Control y monitoreo generadas en el ejercicio misional propio de la Entidad a las fuentes fijas de emisión. Se atendieron tramites de la siguiente manera 72 DP, 17 PQR, 5 IAS y 136 radicados para un total de 230 solicitudes, generando un total de 215 actuaciones técnicas distribuidas así: 138 CT/IT y 77 oficios de respuesta definitiva.
Se acumula un avance del 55,62 % a esta actividad.</t>
  </si>
  <si>
    <t>Enero: Acumulado de 8,33% - Corresponde a la atención del 100% de solicitudes allegadas al grupo de fuentes fijas para el periodo en mención, realizando de ser necesario visitas de Inspección, Vigilancia y Control
Febrero: Acumulado de 16,66% - Corresponde a la atención del 100% de solicitudes allegadas al grupo de fuentes fijas para el periodo en mención, realizando de ser necesario visitas de Inspección, Vigilancia y Control
Marzo: Acumulado de 25,0% - Corresponde a la atención del 100% de solicitudes allegadas al grupo de fuentes fijas para el periodo en mención, realizando de ser necesario visitas de Inspección, Vigilancia y Control
Abril: Acumulado de 25,0% - Corresponde a la atención del 100% de solicitudes allegadas al grupo de fuentes fijas para el periodo en mención, realizando de ser necesario visitas de Inspección, Vigilancia y Control
Mayo: Acumulado de 41,65% - Corresponde a la atención del 100% de solicitudes allegadas al grupo de fuentes fijas para el periodo en mención, realizando de ser necesario visitas de Inspección, Vigilancia y Control.
Junio de 2021, se avanza en el 8,33%; en el control a establecimientos e industrias que cuentan con fuentes fijas de emisión atmosférica, haciendo las visitas de Inspección, Vigilancia y Control en un total de147 visitas técnicas emitiendo las correspondientes respuestas y actuaciones técnicas, atendiendo las solicitudes de la siguiente manera 72 DP, 17 PQR, 5 IAS y 136 radicados para un total de 230 solicitudes, generando un total de 215 actuaciones técnicas distribuidas así: 138 CT/IT y 77 oficios de respuesta definitiva 
Se acumula un avance del 49,98 % a esta actividad.</t>
  </si>
  <si>
    <t>Enero: Acumulado 6,47% - Corresponde a las pruebas de emisión a fuentes móviles efectuadas en el periodo en mención.
Febrero: Acumulado 13,4% - Corresponde a las pruebas de emisión a fuentes móviles efectuadas en el periodo en mención.
Marzo: Acumulado 15,75% - Corresponde a las pruebas de emisión a fuentes móviles efectuadas en el periodo en mención.
Abril: Acumulado 23,75% - Corresponde a las pruebas de emisión a fuentes móviles efectuadas en el periodo en mención.
Mayo: Acumulado 29,82% - Corresponde a las pruebas de emisión a fuentes móviles efectuadas en el periodo en mención.
Junio: Con el fin de construir el informe correspondiente al primer semestre se ejecutaron 1877 pruebas de emisión a fuentes móviles de las cuales 1269 aprobadas, 608 rechazadas, 1 comparendos, 1 inmovilizados; de las pruebas realizadas 254 tipo OTTO, 1561 tipo DIESEL y 62 tipo MOTOS. 
Para este periodo se tiene un avance de ejecución del 40,29%.</t>
  </si>
  <si>
    <t>Enero: Acumulado 2,86% - Corresponde a 2 visitas de certificación a Centros de Diagnóstico Automotor (CDAs) SUBA TABOR SAS y AUTOMOTOS S.A.S.
Febrero: Acumulado 4,29% - Corresponde a 1 visita de certificación al Centro de Diagnóstico Automotor (CDA) MOVILIDAD BOGOTÁ.
Marzo: Acumulado 5,72% - Corresponde a 1 visita de certificación al Centro de Diagnóstico Automotor (CDA) AUTOPISTA SUR. 
Abril: Acumulado 15,71% - Corresponde a 7 visitas de certificación a los Centros de Diagnóstico Automotor CDA REVITEC S.A.S, CDA TECNODIAGNOSTICO S.A.S, CDA EXPRESS S.A.S., CDA NUEVO MILENIO S.A.S., CDA MAXI MOTO S.A.S., CDA SOBRERUEDAS S.A.S., CDA LUNA PARK S.A.S. 
Mayo: Acumulado 24,28% - Corresponde a visitas de certificación a los Centros de Diagnóstico Automotor CDA RUTA 63 S.A.S, CDA RTM LA 30 S.A.S, CDA AUTOMOTOS S.A.S, CDA BARRIOS UNIDOS, CDA REVIMOTOS, CDA PUENTE ARANDA.
Junio: Se realizaron 5 visitas de certificación a los Centros de Diagnóstico Automotor CDA CERTIAUTOS S.A.S, CDA DEL SIETE SAS, CDA CE MOTO SAS, CDA 18 CON 18 SAS, CDA CARMOTOS MIX.
Para este periodo se tiene un avance acumulado de ejecución de 31,42%.</t>
  </si>
  <si>
    <t xml:space="preserve">
Junio 2021: En el mes de junio se actualizó el documento del proyecto de los nuevos métodos de seguimiento y control a fuentes móviles bajo metodología MGA para aplicar a financiación por regalías teniendo en cuenta las observaciones y la información entregada de Secretaría de Planeación, en este mismo proyecto se realizaron mediciones de número de partículas, opacidad y material partículado a buses de Transmilenio y de maquinaria de la UMV, en conjunto con la Universidad de Antioquia en el marco del programa CALAC+. 
En el proyecto de sensores remotos se terminó Memorando de Entendimiento entre el ICCT y la SDA para realizar el proyecto piloto de medición de sensores en la ciudad como parte de la fase de factibilidad y se pasó al área jurídica de la SDA para revisión. 
En el proyecto de patrulla caza-infractores se terminó el documento del proyecto, se realizó visita a la CAR Cundinamarca para conocer las patrullas de la entidad y se realizó visita inicial a Auteco como uno de los oferentes de tecnologías vehiculares eléctricas, por último, se actualizó instructivo de medición considerando comentarios del grupo de control de la Secretaría de Movilidad. 
El proyecto de etiquetado ambiental vehicular se realizaron observaciones al etiquetado de Ministerio de Ambiente, observaciones consolidadas en conjunto con el Área Metropolitana del Valle de Aburrá y la CAR Cundinamarca.
Para este periodo se tiene un avance de ejecución de 49,98%.</t>
  </si>
  <si>
    <t>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</si>
  <si>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 así: 9 visitas efectivas con medición, 2 visitas efectivas en atención a actos administrativos, 33 visitas efectivas para cerrar el caso, 17 visitas no efectivas (reprogramar)
JUNIO 91 visitas así: 7 visitas efectivas con medición, 45 visitas efectivas para cerrar el caso, 39 visitas no efectivas para (reprogramar).</t>
  </si>
  <si>
    <t>ENERO 16 acciones de otros documentos así: 1 informe de acción popular Antonio Nariño, 1 concepto aclaratorio y 14 oficios SUGA.
FEBRERO 16 acciones de otros documentos así:  2 informes de acciones populares de Bosa y Teusaquillo y 14 oficios SUGA.
MARZO 15 acciones de otros documentos así: 2 informes de acciones populares de Antonio Nariño y Fontibón y 13 oficios SUGA. Avance acumulado Anual de la Actividad: 34,27%
ABRIL 20 acciones de otros documentos así: 3 informes de acciones populares de Antonio Nariño, Bosa y Teusaquillo, 6 reuniones interinstitucionales y 20 oficios SUGA.
MAYO 15 acciones de otros documentos así: 5 informes de acciones populares, 1 socialización CAL, 2 otras socializaciones, 2 estudios de ruido y 5 oficios SUGA
JUNIO 24 acciones de otros documentos así: 1 informe de acción popular, 19 socializaciones OPEL, 2 otras socializaciones, 2 estudios de ruido.</t>
  </si>
  <si>
    <t>Para la vigencia 2021, se han desarrollado 463 actuaciones técnicas que corresponde a un 51,85% respecto a lo programado, y a su vez, un avance del 20,2% durante el cuatrienio.
Este avance del 2021, se conforma de 357 (41 visitas efectivas con medición, 24 visitas efectivas sin medición en cumplimiento a actos administrativos, 175 visitas efectivas para cerrar el caso, 117 visitas no efectivas para reprogramar) y 106 actuaciones técnicas correspondientes a otros documentos (14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4 estudios de ruido, 57 oficios SUGA).</t>
  </si>
  <si>
    <t>12.5%</t>
  </si>
  <si>
    <t>Con el objeto de surtir la suscripción de los documentos técnicos pendientes, se envió la base de datos con los números de procesos a la cual se le dará prioridad en su suscripción y trámite por parte de la Subdirección de Calidad del Aire, Auditiva y Visual – SCAAV.</t>
  </si>
  <si>
    <t>Enero: fueron realizados cuatro (04) operativos de control sobre zonas del resto del distrito, diferentes a las zonas de mayor saturación de la siguiente manera:
Puente Aranda (UPZ 43 San Rafael): (04) Op. control los días 12, 13 y 15 de enero, interviniendo 15 establecimientos.
Febrero: no se realizaron operativos de control en las zonas del resto del distrito.
Marzo: fue realizado un (01) operativo de control sobre zonas del resto del distrito, diferentes a las zonas de mayor saturación de la siguiente manera:
Usaquén (UPZ 10 La Uribe): (01) Op. control el 18 de marzo, interviniendo 5 establecimientos.
En el mes de abril fueron realizadas un total de (24) visitas de evaluación a elementos mayores de PEV.
Para el mes de mayo de 2021, no se realizaron operativos de control en las zonas del resto del distrito.
Para el mes de junio de 2021, fue realizado un (01) operativo de control sobre una zona del resto del distrito, diferente a las zonas de mayor saturación de la siguiente manera:
Teusaquillo (UPZ 106 La Esmeralda): (01) Op. control el 28 de junio, interviniendo 5 establecimientos.</t>
  </si>
  <si>
    <t>Durante la ejecución de la vigencia 2021: en Enero fueron realizadas un total de (12) visitas de evaluación a elementos mayores de PEV como sigue:
Barrios Unidos: 6 visitas en las UPZ 21 Los Andes, 98 Los Alcázares
Engativá: 1 visita en la UPZ 26 Las Ferias
Fontibón: 1 visita en la UPZ 117 Aeropuerto El Dorado
Suba: 1 visita en la UPZ 24 Niza
Usaquén: 2 visitas en las UPZ 11 San Cristóbal Norte, 13 Los Cedros.
Febrero, no se realizaron visitas de evaluación a elementos mayores de PEV.
Marzo, (10) visitas de evaluación a elementos mayores de PEV.  Para el mes de abril se encuentran (62) documentos técnicos pendientes por firma para reportar.
En el mes de mayo fueron realizadas un total de (12) visitas de evaluación a elementos mayores de PEV como sigue:
Barrios Unidos: 3 visitas en las UPZ 22 Doce de Octubre y 98 Los Alcázares
Engativá: 3 visitas en las UPZ 26 Las Ferias,31 Santa Cecilia
Fontibón: 2 visitas en la UPZ 117 Aeropuerto El Dorado
Kennedy: 1 visita en la UPZ 46 Castilla
Puente Aranda: 1 visita en la UPZ 43 San Rafael
Suba: 1 visita en la UPZ 17 San José de Bavaria
Teusaquillo: 1 visita en la UPZ 107 Quinta Paredes.
En el mes de junio fueron realizadas un total de (14) visitas de evaluación a elementos mayores de PEV como sigue:
-	Barrios Unidos: 2 visitas en la UPZ 98 Los Alcázares
-	Fontibón: 2 visitas en la UPZ 112 Granjas de Techo y 117 Aeropuerto El Dorado
-	Puente Aranda: 2 visitas en la UPZ 41 Muzu
-	Suba: 2 visitas en la UPZ 23 Casa Blanca Suba
-	Usaquén: 3 visitas en la UPZ 01 Paseo de Los Libertadores, 09 Verbenal, 16 Santa Bárbara
-	Usme: 3 visitas en la UPZ 57 Gran Yomasa
El detalle de las visitas de elementos mayores se observa en el Anexo 2. IVC - Elementos mayores. (Filtrar por Tipo de Visita y seleccionar “Evaluación”).</t>
  </si>
  <si>
    <t>Durante el primer trimestre del 2021, se han elaborado:
Enero se encuentran (24) documentos técnicos en firma para reportar.
Para el mes de febrero no se reportan (0) documentos técnicos. 
Para el mes de marzo se encuentran (58) documentos técnicos pendientes por firma para reportar.   Para el mes de abril se encuentran (62) documentos técnicos pendientes por firma para reportar.
Para el mes de mayo se firmó (1) documento técnico y se encuentran (65) pendientes por firma para reportar.
JUNIO: Para el mes de junio se firmaron (2) documentos técnicos y se encuentran (112) pendientes por firma para reportar.
El detalle de los documentos técnicos por reportar se observa en el Anexo 3. Documentos Técnicos 2021 ENE, Hoja 2. Operativos RD. (Filtrar por Estado y Seleccionar “En firma” y “Firmado”).</t>
  </si>
  <si>
    <t xml:space="preserve">Para el Primer Trimestre del 2021; se ha, así:
Enero, se realizó el seguimiento al Sistema Integrado de Información de Publicación Exterior Visual – SIIPEV y se validó el cargue de la información contenida en la plataforma
Febrero, no se realizó el seguimiento al Sistema Integrado de Información de Publicación Exterior Visual – SIIPEV, por lo cual no se logró validar el cargue de la información contenida en la plataforma, debido a que el personal encargado no se encuentra contratado. 
En el mes de marzo se realizó el seguimiento al Sistema Integrado de Información de Publicación Exterior Visual – SIIPEV y se validó el cargue de la información contenida en la plataforma. En el mes de abril se realizó el seguimiento al Sistema Integrado de Información de Publicación Exterior Visual – SIIPEV y se validó el cargue de la información contenida en la plataforma.  En el mes de mayo se realizó el seguimiento al Sistema Integrado de Información de Publicación Exterior Visual – SIIPEV y se validó el cargue de la información contenida en la plataforma.
JUNIO: En el mes de mayo se realizó el seguimiento al Sistema Integrado de Información de Publicación Exterior Visual – SIIPEV y se validó el cargue de la información contenida en la plataforma.
</t>
  </si>
  <si>
    <t xml:space="preserve">En el mes de enero se realizo la evaluación de (262) solicitudes de registro que dejaron como resultado: 133 registros y 129 requerimientos de información.
En el mes de febrero se realizó la evaluación de (211) solicitudes de registro que dejaron como resultado: 40 registros, 21 requerimientos de información y 150 evaluaciones por correspondencia. Avance Acumulado de la Actividad; 14,80%
En el mes de marzo se realizó la evaluación de (823) solicitudes de registro que dejaron como resultado: 109 registros, 149 requerimientos de información y 565 evaluaciones por correspondencia. En el mes de abril se realizó la evaluación de (453) solicitudes de registro que dejaron como resultado: 76 registros, 72 requerimientos de información y 305 evaluaciones por correspondencia.   En el mes de mayo se realizó la evaluación de (878) solicitudes de registro que dejaron como resultado: 157 registros, 129 requerimientos de información y 592 evaluaciones por correspondencia.
JUNIO: En el mes de junio se realizó la evaluación de (780) solicitudes de registro que dejaron como resultado: 410 registros, y 370 requerimientos de información. </t>
  </si>
  <si>
    <t>En cumplimiento de esta actividad se aseguró la continua operación en el pirmer semestre de la vigencia 2021; de las estaciones que conforman la Red de Monitoreo de Ruido Ambiental de Bogotá -RMRAB.</t>
  </si>
  <si>
    <t>En cumplimiento de esta actividad durante el primer semestre del año 2021, se gestionó el ingreso de los equipos de las estaciones de monitoreo de ruido al almacén de la entidad y se realizo la instalación de las estaciones 10 en el mes de Mayo según el cronograma dispuesto.</t>
  </si>
  <si>
    <t>Para los primeros 6 meses del 2021, en cumplimiento de esta actividad se gestionaron procesos relacionados con la acreditación de la metodología de medición de ruido ambiental ISO 1996 llevado a cabo por la Secretaria Distrital de Ambiente ante el IDEAM. En cuanto al aseguramiento de la información y el correcto funcionamiento de la red, se presenta un avance del 50% en la vigencia.</t>
  </si>
  <si>
    <t>Para el 1 semestre del 2021, se termina la conformación de los estudios preliminares para la construcción y actualización de los Mapas Estratégicos de Ruido. Se conforman los grupos de trabajo y se oficializo el cronograma de actividades.</t>
  </si>
  <si>
    <t>Durante el primer semestre de la vigencia 2021, se ha realizado la construcción y proyección del informe relacionado con la operación de la Red de Monitoreo de Ruido Ambiental de Bogotá (RMRAB): acreditación del procedimiento de monitoreo de ruido ambiental ante el IDEAM, actividades de soporte y mantenimiento realizado a las estaciones de monitoreo de ruido, espacialización de datos de emisión de ruido Colector - ESRI y se presenta el procedimiento interno de manejo de PQR´s a la Secretaría de Salud, la firma  de estudios previos para la renovación de los contratos del Edificio Ejecutivo Plaza, Edificio Marly 51, Edificio Restrepo y Hotel Morrison.</t>
  </si>
  <si>
    <t>La Secretaría Distrital de Ambiente del 01 de enero al 30 de junio de 2021 en ejercicio de su función sancionatoria acogió el 91.6% de los conceptos técnicos relacionados con el recurso ambiental aire, auditiva y visual y que recomiendan una actuación administrativa sancionatoria, como se relaciona a continuación: 
No de Conceptos Técnicos que recomiendan actuaciones administrativas sancionatorias: 192 Conceptos Técnicos.
No de Conceptos Técnicos atendidos jurídicamente: 176 Conceptos Técnicos acogidos.</t>
  </si>
  <si>
    <t>Se presenta rezago del 3.07%, equivalente a 16 conceptos técnicos pendientes por ser acogidos mediante acto administrativo, esto se debe a que los procesos se encuentran en revisión técnico - jurídica, actividad previa a la firma del acto.</t>
  </si>
  <si>
    <t>Se realizará seguimiento a los procesos que se encuentran pendientes de acoger por el equipo jurídico sancionatorio y se priorizarán en el plan de trabajo del mes de julio de 2021.</t>
  </si>
  <si>
    <t>La Secretaría Distrital de Ambiente del 01 de febrero al 30 de junio de 2021 en ejercicio de su función sancionatoria ha acogido 176 conceptos técnicos relacionados con el recurso ambiental aire, auditiva y visual y que recomiendan una actuación administrativa sancionatoria, como se relaciona a continuación: 
Primer trimestre:
No de Conceptos Técnicos que recomiendan actuaciones administrativas sancionatorias: 24 Conceptos Técnicos.
No de Conceptos Técnicos atendidos jurídicamente: 24 Conceptos Técnicos acogidos
Segundo trimestre:
No de Conceptos Técnicos que recomiendan actuaciones administrativas sancionatorias: 168 Conceptos Técnicos.
No de Conceptos Técnicos atendidos jurídicamente: 152 Conceptos Técnicos acogidos
Al corte Junio 2021 se tiene en rezago de, un total de 16 CT los cuales se encuentran en tramite para aprobación y firma y serán acogidos en el tercer trimestre del año.</t>
  </si>
  <si>
    <t>Durante el período del 1 de enero al 30 de junio de 2021, se realizaron las siguientes actividades archivísticas: 
Primer Trimestre:
1. Apertura de expedientes: 34
2. Ordenación: 12
3. Verificación Física de Expedientes - Protech:584
4. Verificación Física de Expedientes - DCA: 5062
5. Levantamiento Base de Datos Inserciones DCA: 582
6. Atención servicio de Consulta de documentos: 50
7. Atención servicio de préstamo de documentos: 209
Se adelantaron actividades relacionadas a la actividad de consulta de expedientes así:
- Consulta de expedientes: (7) expedientes 
De igual forma, se adelantaron actividades de gestión propias del proceso archivístico de la DCA
Segundo Trimestre:
1. Apertura de expedientes: 387
2. Encarpetado: 102 
3. Asociación de Radicados - Forest:961
4. Ordenación: 208
5. Inserción: 57
6. Verificación Física de Expedientes - Protech:804
7. Verificación Física de Expedientes - DCA: 298
8. Entrega de expedientes Protech: 1693
9. Entrega de inserciones Protech: 456
10. Levantamiento Base de Datos Inserciones DCA: 139
11. Atención servicio de Consulta de documentos: 2
12. Atención servicio de préstamo de documentos: 592
13.Levantamiento Base de Datos Inserciones Protech: 1027.</t>
  </si>
  <si>
    <t>Durante el periodo del 01 de enero al 30 de junio de 2021 se realizaron las siguientes acciones asociadas al trámite de notificación:
Primer trimestre:
Se efectuó el trámite de Notificación de 240 Actos Administrativos sancionatorios
Segundo trimestre:
Se efectuó el trámite de Notificación de 501 Actos Administrativos sancionatorios.</t>
  </si>
  <si>
    <t>Durante el período del 1 de enero al 30 de junio de 2021, se realizaron las siguientes acciones asociadas a los procesos de control y seguimiento ambiental: 
Primer trimestre:
1. Se llevó a cabo la elaboración de tres (03) informes técnicos de criterios: 4451661 – 4405226- 3991041
2. Se llevo a cabo la actualización de UVT - ITC proceso 4183475 y proceso 4135130 
Atención y elaboración de informe técnico de proceso FOREST 4098136 - 3792107 - 3933534 
Segundo trimestre:
1. Elaboración de 15 Informes técnicos de Criterios asociados al recurso calidad de aire, auditiva y visual / 3738293, 3733075, 3798632, 3816574, 4466348, 4230960, 3979426, 4099930, 3852080, 3844365, 4130707, 3783700 -4049732 - 4592080 - 4667118
2. Respuesta Recurso de Reposición proceso 3834138
- Se genera un rezago en la actividad de 16,60% correspondiente a 44 informes técnicos que fueron programados durante el trimestre, pero se encuentran en estado proyectado en revisión técnica pendientes de aprobación y firma. Estos procesos se priorizarán y reportarán en el mes de julio.</t>
  </si>
  <si>
    <t>Para la vigencia del PDD año 2021 se han realizado 276 acciones de seguimiento y control en las zonas de mayor densidad para los elementos menores de PEV y resto de distrito para elementos mayores así:
-	ENE: (30) operativos de control y sensibilización, (08) visitas a elementos mayores de PEV.
-	FEB: (10) operativos de control y sensibilización
-	MAR: (26) operativos de control y sensibilización, (07) visitas a elementos mayores de PEV.
-	ABR: (30) operativos de control y sensibilización, (14) visitas a elementos mayores de PEV.
-	MAY: (37) operativos de control y sensibilización, (21) documentos técnicos.
-	JUN: (35) operativos de control y sensibilización, (10) visitas a elementos mayores de PEV, (48) documentos técnicos.
Siendo así; (168) operativos de sensibilización y control.(39) visitas a elementos mayores de PEV y (69) documentos técnicos.
La Secretaría Distrital de Ambiente, en el marco de las acciones de seguimiento y control sobre los elementos de Publicidad Exterior Visual- PEV en las zonas con mayor densidad, ha avanzado al Plan de Desarrollo en (471) acciones, De las cuales (195) corresponden a la vigencia 2020, y (276) acciones para la vigencia 2021. A continuación, se detalla el avance por año:
En total:	(237) operativos de sensibilización y control.
(113) visitas a elementos mayores de PEV.
(121) documentos técnicos.</t>
  </si>
  <si>
    <t>A la fecha se encuentran pendientes por firma 181documentos producto de la intervención realizada en los operativos de control, (41) correspondientes a la gestión realizada en las zonas de mayor saturación durante la vigencia 2020 y (140) correspondientes a la vigencia 2021</t>
  </si>
  <si>
    <t>La Secretaría Distrital de Ambiente, en el marco de las acciones de seguimiento y control de emisión de ruido a los establecimientos de comercio, industria y servicio ubicados en el perímetro urbano del D.C., presenta avance acumulado al Plan de Desarrollo de (954) acciones, de los cuales (491) corresponde a la vigencia 2020 y (463) en la vigencia 2021, así:
•Enero: (20) visitas y (16) documentos técnicos, total (36) acciones.
•Febrero: (16) documentos técnicos.
•Marzo: (89) visitas y (15) documentos técnicos, total (104) acciones.
•Abril: (96) visitas y (20) documentos técnicos, total mes (116) acciones.
•Mayo: (61) visitas y (15) documentos técnicos, total mes (76) acciones
•Junio: (91) visitas y (24) documentos técnicos, total mes (115) acciones
Vigencia 2020:
Se realizaron 491 actuaciones técnicas, correspondientes a las 374 visitas relacionadas con acciones de seguimiento y control a emisiones de ruido y 117 documentos técnicos."</t>
  </si>
  <si>
    <t>La Secretaría Distrital de Ambiente, en el marco de las acciones de operación, mantenimiento y monitoreo de la red de ruido realizadas, el avance de la vigencia se detalla a continuación:
Se termina la consolidación del informe semestral relacionado con la operación de la Red de Monitoreo de Ruido Ambiental de Bogotá (RMRAB), donde se realizaron las siguientes actividades, de soporte y mantenimiento realizado a las estaciones de monitoreo de ruido, y el avance en el proceso de instalación de las estaciones de la RMRAB afectadas durante protestas. contratación del personal para a la operación de la RMRAB.
Para el mes de Junio se proyectó en informe de operación de la Red de Monitoreo de Ruido Ambiental de Bogotá (RMRAB), en el cual, se relacionan las operaciones y mantenimientos realizados a las estaciones que se encuentran en operación actualmente.</t>
  </si>
  <si>
    <t>Para la vigencia del Proyecto de Inversión del año 2021 se han realizado tres mil quinientas cuatro (3.504) acciones de evaluación, control y seguimiento:
-	Dieciséis (16) operativos de control.
-	Setenta y cuatro (74) visitas de evaluación a elementos mayores.
-	Tres (03) documentos técnicos firmados.
-	Cuatro (04) cargues de información a la plataforma SIIPEV.
-	Tres mil cuatrocientas siete (3.407) evaluaciones a solicitudes de elementos de publicidad exterior visual.
Lo anterior, dando un avance para el cuatrienio de 4.796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
Para la vigencia del año 2020 y 2021 del Proyecto de Inversión se han realizado tres mil novecientas noventa y ocho (4.796) acciones de evaluación, control y seguimiento:
-	Setenta y un (71) operativos de control y seguimiento
-	Ciento setenta y un (171) visitas a elementos mayores
-	Seis (06) documentos técnicos
-	Cincuenta y cuatro (54) visitas IVC a elementos menores
-	Siete (07) cargues de información a la plataforma SIIPEV
-	Cuatro mil cuatrocientas ochenta y siete (4.487) evaluaciones a solicitudes de elementos de publicidad exterior visual.</t>
  </si>
  <si>
    <t>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*Junio: Se termina la consolidación del informe semestral de operación de la Red de Monitoreo de Ruido Ambiental de Bogotá (RMRAB).</t>
  </si>
  <si>
    <t>La Secretaría Distrital de Ambiente, en el marco del cumplimiento de la meta de la concentración promedio ponderado de ciudad de material particulado PM10. Los avances del 2021 se detallan a continuación:
Para dar cumplimiento al reporte de la meta de reducción, se calcula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Vigencia 2021 a 30 de junio: 34,4 microgramos por metro cubico.
Nota; para el promedio ponderado de PM 10 durante abril, se debe aclarar, que la concentración de la estación Carvajal – Sevillana fue tomada como indicativa ya que no cumplió con la representatividad temporal (mínimo el 75 % de datos validos) debido a problemas con el equipo que no se pudieron resolver por falta de acceso a la estación.</t>
  </si>
  <si>
    <t xml:space="preserve">La Secretaría Distrital de Ambiente, en el marco del cumplimiento de la meta de la concentración promedio ponderado de ciudad de material particulado PM 2.5. Los avances del 2021 se detallan a continuación:
Para dar cumplimiento al reporte de la meta de reducción, se calcula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Vigencia 2021 a 30 de junio: 17,3 microgramos por metro cubico.
Nota; para el promedio ponderado de PM 2.5 durante abril, se debe aclarar, que la concentración de la estación  Carvajal – Sevillana fue tomada como indicativa ya que no cumplió con la representatividad temporal (mínimo el 75 % de datos validos) debido a problemas con el equipo que no se pudieron resolver por falta de acceso a la estación.
</t>
  </si>
  <si>
    <r>
      <t>7, LOGROS CORTE A</t>
    </r>
    <r>
      <rPr>
        <b/>
        <u/>
        <sz val="10"/>
        <rFont val="Arial"/>
        <family val="2"/>
      </rPr>
      <t xml:space="preserve">  JUNIO</t>
    </r>
    <r>
      <rPr>
        <b/>
        <sz val="10"/>
        <rFont val="Arial"/>
        <family val="2"/>
      </rPr>
      <t xml:space="preserve"> AÑO 2021</t>
    </r>
  </si>
  <si>
    <r>
      <t>CORTE A____06_</t>
    </r>
    <r>
      <rPr>
        <b/>
        <u/>
        <sz val="12"/>
        <rFont val="Arial"/>
        <family val="2"/>
      </rPr>
      <t xml:space="preserve"> </t>
    </r>
    <r>
      <rPr>
        <b/>
        <sz val="12"/>
        <rFont val="Arial"/>
        <family val="2"/>
      </rPr>
      <t xml:space="preserve"> AÑO</t>
    </r>
    <r>
      <rPr>
        <sz val="12"/>
        <rFont val="Arial"/>
        <family val="2"/>
      </rPr>
      <t xml:space="preserve"> _2021_</t>
    </r>
  </si>
  <si>
    <t>El Plan Estratégico para la Gestión Integral de la Calidad del Aire – Plan Aire 2030, se encuentra enmarcado en el desarrollo de las acciones de monitoreo, control y gestión a la calidad del aire en la ciudad de Bogotá; las cuales serán realizadas conjuntamente como ciudad, en el marco del desarrollo de la estrategia de gobernanza, mediante la ejecución de los 45 proyectos consolidados en su estructura, los cuales aportan al cumplimiento de la meta de reducir el 10% promedio ponderado de Material Partículado PM 10 y PM 2.5 a 2030. 
En ese orden de ideas, el Plan Aire 2030, pretende resolver la problemática de contaminación atmosférica en Bogotá, con la ejecución de los proyectos enfocadas en la mitigación de las principales fuentes generadores de emisión, como son: sector transporte, sector industrial, sector de la construcción e infraestructura urbana, sector comercial y sector de maquinaria fuera de ruta. 
Como instrumento de planeación de la ciudad, no se podrá generar para el Plan Aire una diferenciación territorial en la intervención de las acciones, sino que estará enfocado a los sectores y fuentes de emisiones priorizadas</t>
  </si>
  <si>
    <t>Mapas de Plan Aire ( Anexo SHAPE FILE)</t>
  </si>
  <si>
    <t>Distrito Capital:  Fuentes Fijas
En la ejecución de la meta del PDD y en particular en la meta del Proyecto de Inversión para el caso de los informes de la meta plan de desarrollo y su territorialización especifica se dificulta en algunos casos puntuales ya que las afectaciones generadas son temporales y difíciles de ubicar, para el caso de fuentes fijas, debido a que las emisiones generadas tienen una repetitividad en el tiempo y el espacio ya que las actividades económicas procesos productivos de gran tamaño no pueden trasladarse permanentemente su ubicación por localidades UPZ y barrio es mucho mas factible, en cuanto a los operativos de móviles ya que la secretaria escoge los puntos de control su georefenciacion es mas sencilla. Fuentes Moviles
En la ejecución de la meta del PDD y en particular en la meta del Proyecto de Inversión para el caso de los informes de la meta plan de desarrollo y su territorialización especifica se dificulta en algunos casos puntuales ya que las afectaciones generadas son temporales y difíciles de ubicar, para el caso de fuentes fijas, debido a que las emisiones generadas tienen una repetitividad en el tiempo y el espacio ya que las actividades económicas procesos productivos de gran tamaño no pueden trasladarse permanentemente su ubicación por localidades UPZ y barrio es mucho mas factible, en cuanto a los operativos de móviles ya que la secretaria escoge los puntos de control su georefenciacion es mas sencilla.
Fuentes Moviles
En la ejecución de la meta del PDD y en particular en la meta del Proyecto de Inversión para el caso de los informes de la meta plan de desarrollo y su territorialización especifica se dificulta en algunos casos puntuales ya que las afectaciones generadas son temporales y difíciles de ubicar, para el caso de fuentes fijas, debido a que las emisiones generadas tienen una repetitividad en el tiempo y el espacio ya que las actividades económicas procesos productivos de gran tamaño no pueden trasladarse permanentemente su ubicación por localidades UPZ y barrio es mucho mas factible, en cuanto a los operativos de móviles ya que la secretaria escoge los puntos de control su georefenciacion es mas sencilla.</t>
  </si>
  <si>
    <t>1. Visitas Tecnicas de Control. Localidad ANTONIO NARIÑO, BARRIOS UNIDOS, BOSA, CANDELARIA, CHAPINERO, CIUDAD BOLIVAR, ENGATIVA, FONTIBON, KENNEDY, MARTIRES,  PUENTE ARANDA, RAFAEL URIBE, SAN CRISTOBAL, SANTA FE, SUBA, TEUSAQUILLO, TUNJUELITO, USAQUEN, USME Y UNA LOCALIZACIÓN "ESPECIAL".
Descripción: En desarrollo de las actividades misionales del área técnica de emisión ruido y en atención a las solicitudes que mediante PQRS ingresan a la Entidad, por parte de ciudadanos y diferentes entidades del orden local o nacional, se programan y realizan visitas técnicas en las 19 localidades urbanas de la ciudad.</t>
  </si>
  <si>
    <t xml:space="preserve">Localidad ANTONIO NARIÑO, BARRIOS UNIDOS, BOSA, CANDELARIA, CHAPINERO, CIUDAD BOLIVAR, ENGATIVA, FONTIBON,  MARTIRES, PUENTE ARANDA,  RAFAEL URIBE, SAN CRISTOBAL,  SANTA FE,  SUBA, TEUSAQUILLO, TUNJUELITO, USAQUEN, USME y UNA LOCALIZACIÓN "ESPECIAL". </t>
  </si>
  <si>
    <t>1. Visitas Tecnicas de Control. Localidad ANTONIO NARIÑO
En desarrollo de las actividades misionales del área técnica de emisión ruido y en atención a las solicitudes que mediante PQRS ingresan a la Entidad, por parte de ciudadanos y diferentes entidades del orden local o nacional, se programan y realizan visitas técnicas en las 19 localidades urbanas de la ciudad.</t>
  </si>
  <si>
    <t>Localidad ANTONIO NARIÑO</t>
  </si>
  <si>
    <t>2. Visitas Tecnicas de Control. Localidad BARRIOS UNIDOS
En desarrollo de las actividades misionales del área técnica de emisión ruido y en atención a las solicitudes que mediante PQRS ingresan a la Entidad, por parte de ciudadanos y diferentes entidades del orden local o nacional, se programan y realizan visitas técnicas en las 19 localidades urbanas de la ciudad.</t>
  </si>
  <si>
    <t>Localidad BARRIOS UNIDOS</t>
  </si>
  <si>
    <t>3. Visitas Tecnicas de Control. Localidad BOSA
En desarrollo de las actividades misionales del área técnica de emisión ruido y en atención a las solicitudes que mediante PQRS ingresan a la Entidad, por parte de ciudadanos y diferentes entidades del orden local o nacional, se programan y realizan visitas técnicas en las 19 localidades urbanas de la ciudad.</t>
  </si>
  <si>
    <t>Localidad BOSA</t>
  </si>
  <si>
    <t>4. Visitas Tecnicas de Control. Localidad CANDELARIA
En desarrollo de las actividades misionales del área técnica de emisión ruido y en atención a las solicitudes que mediante PQRS ingresan a la Entidad, por parte de ciudadanos y diferentes entidades del orden local o nacional, se programan y realizan visitas técnicas en las 19 localidades urbanas de la ciudad.</t>
  </si>
  <si>
    <t>Localidad CANDELARIA</t>
  </si>
  <si>
    <t>5. Visitas Tecnicas de Control. Localidad CHAPINERO
En desarrollo de las actividades misionales del área técnica de emisión ruido y en atención a las solicitudes que mediante PQRS ingresan a la Entidad, por parte de ciudadanos y diferentes entidades del orden local o nacional, se programan y realizan visitas técnicas en las 19 localidades urbanas de la ciudad.</t>
  </si>
  <si>
    <t>Localidad CHAPINERO</t>
  </si>
  <si>
    <t>6. Visitas Tecnicas de Control. Localidad CIUDAD BOLIVAR
En desarrollo de las actividades misionales del área técnica de emisión ruido y en atención a las solicitudes que mediante PQRS ingresan a la Entidad, por parte de ciudadanos y diferentes entidades del orden local o nacional, se programan y realizan visitas técnicas en las 19 localidades urbanas de la ciudad.</t>
  </si>
  <si>
    <t>Localidad CIUDAD BOLIVAR</t>
  </si>
  <si>
    <t>7. Visitas Tecnicas de Control. Localidad ENGATIVA
En desarrollo de las actividades misionales del área técnica de emisión ruido y en atención a las solicitudes que mediante PQRS ingresan a la Entidad, por parte de ciudadanos y diferentes entidades del orden local o nacional, se programan y realizan visitas técnicas en las 19 localidades urbanas de la ciudad.</t>
  </si>
  <si>
    <t>Localidad ENGATIVA</t>
  </si>
  <si>
    <t>8. Visitas Tecnicas de Control. Localidad FONTIBON
En desarrollo de las actividades misionales del área técnica de emisión ruido y en atención a las solicitudes que mediante PQRS ingresan a la Entidad, por parte de ciudadanos y diferentes entidades del orden local o nacional, se programan y realizan visitas técnicas en las 19 localidades urbanas de la ciudad.</t>
  </si>
  <si>
    <t>Localidad FONTIBON</t>
  </si>
  <si>
    <t>Bogotá D.C. 
Ruido ambiental, de acuerdo con lo establecido en la Resolución 0627 de 2006 del entonces Ministerio de Ambiente, Vivienda y Desarrollo Territorial, se constituyó la Red de Monitoreo de Ruido Ambiental de Bogotá – RMRAB, la cual consiste en un sistema de adquisición en tiempo real de datos acústicos relacionados con ruido ambiental, adquisición que emplea el método descrito en la Norma ISO 1996: Acústica. Descripción, medición y evaluación del ruido ambiental
Nota: Si bien la operación de la red de monitoreo de ruido ambiental de Bogotá, se realiza por estaciones ubicadas en distintos sectores de la ciudad; la medición y resultados generados se establecen a nivel ciudad.</t>
  </si>
  <si>
    <t>Localidades:
USAQUEN
USME
TUNJUELITO
FONTIBON
ENGATIVA
BARRIOS UNIDOS
TEUSAQUILLO
LOS MARTIRES
ANTONIO NARIÑO
PUENTE ARANDA
LA CANDELARIA
RAFAEL URIBE URIBE</t>
  </si>
  <si>
    <t>Subdirección de Calidad del Aire, Auditiva y Visual</t>
  </si>
  <si>
    <t>7778 - Control a los factores de deterioro de calidad del aire, acústica y visual del Distrito Capital. Bogotá</t>
  </si>
  <si>
    <t>META PROYECTO</t>
  </si>
  <si>
    <t>ATENDER EL 100% DE LOS CONCEPTOS TÉCNICOS QUE RECOMIENDAN ACTUACIONES ADMINISTRATIVAS SANCIONATORIAS DURANTE LA VIGENCIA PARA MEJORAR LA EFICIENCIA DEL PROCESO SANCIONATORIO AMBIENTAL.</t>
  </si>
  <si>
    <t>FORMULAR 29 DOCUMENTOS TÉCNICOS DE FORMULACIÓN, SEGUIMIENTO O EVALUACIÓN DE LA GESTIÓN INTEGRAL DE LA CALIDAD DEL AIRE DE BOGOTÁ</t>
  </si>
  <si>
    <t>74-RECURSOS PASIVOS EXIGIBLES OTROS DISTRITO</t>
  </si>
  <si>
    <t>REALIZAR 4.000 ACCIONES TÉCNICO-JURÍDICAS DE EVALUACIÓN, SEGUIMIENTO Y CONTROL SOBRE LOS ELEMENTOS DE PUBLICIDAD EXTERIOR VISUAL - PEV, INSTALADOS EN EL PERÍMETRO URBANO DEL D.C.</t>
  </si>
  <si>
    <t>492-MULTAS AMBIENTALES</t>
  </si>
  <si>
    <t>REALIZAR 4.700 ACCIONES DE EVALUACIÓN, SEGUIMIENTO Y CONTROL DE EMISIÓN DE RUIDO A LOS ESTABLECIMIENTOS DE COMERCIO, INDUSTRIA Y SERVICIO UBICADOS EN EL PERÍMETRO URBANO DEL D.C.</t>
  </si>
  <si>
    <t>152-RECURSOS PASIVOS MULTAS</t>
  </si>
  <si>
    <t>REALIZAR 8 INFORMES DE ACCIONES DE EVALUACIÓN, CONTROL Y SEGUIMIENTO A FUENTES FIJAS Y FUENTES MÓVILES INCLUIDOS CENTROS DE DIAGNÓSTICO AUTOMOTOR QUE OPERAN EN EL DISTRITO CAPITAL</t>
  </si>
  <si>
    <t>REALIZAR EL 100% DE ACCIONES PARA OPERAR, MANTENER Y AMPLIAR LA RED DE MONITOREO DE RUIDO AMBIENTAL DE BOGOTÁ PARA LA IDENTIFICACIÓN DE LA POBLACIÓN URBANA AFECTADA POR RUIDO EN EL DISTRITO.</t>
  </si>
  <si>
    <t>REALIZAR EL 100% DE LAS ACCIONES PARA OPERAR, MANTENER Y AMPLIAR LA RED DE MONITOREO DE CALIDAD DEL AIRE</t>
  </si>
  <si>
    <t>1-100-F001-VA-RECURSOS DISTRITO</t>
  </si>
  <si>
    <t>1-100-I073-VA-MULTAS AMBIENTALES</t>
  </si>
  <si>
    <t>1-200-I056-RB-MULTAS AMBIENTALES</t>
  </si>
  <si>
    <t>1.	Controlar y gestionar las emisiones contaminantes generadas por las diferentes fuentes de contaminación atmosférica.</t>
  </si>
  <si>
    <t>271-REDUCIR EN UN 10% COMO PROMEDIO PONDERADO CIUDAD, LA CONCENTRACIÓN DE MATERIAL PARTICULADO PM10 Y PM2.5, MEDIANTE LA IMPLEMENTACIÓN DEL PLAN DE GESTIÓN INTEGRAL DE LA CALIDAD DE AIRE.</t>
  </si>
  <si>
    <t>Porcentaje de reducción en la concentración
promedio ponderado del material partículado PM10 y PM2.5 en la ciudad</t>
  </si>
  <si>
    <t>Porcentaje</t>
  </si>
  <si>
    <t xml:space="preserve">Para el mes de julio de 2020, se remite el reporte de los mantenimientos preventivos y correctivos que se han realizado durante el mes, estos han sido ejecutados por los técnicos de campo. En el reporte se relaciona la fecha del mantenimiento, el No. de inventario, el nombre y la ubicación del equipo, la actividad que se realiza, el tipo de mantenimiento, el técnico responsable y la estación en la cual se realizó el mantenimiento. 
Por otro lado, se realizó la validación diaria de los datos de concentraciones de contaminantes criterio y parámetros meteorológicos que monitorea la RMCAB, se adjunta reporte de operatividad en el que se evidencia un 95,1% de los datos validos para el mes. 
Se realizó el análisis de datos del mes de junio de 2020 para plasmarlo en el informe de calidad del aire, se adjunta el documento de Excel en el que se evidencia el tratamiento de los datos. Asimismo, el equipo de la RMCAB en el mes de julio de 2020 elaboró y publicó el informe mensual de junio. Se adjunta copia de este.  </t>
  </si>
  <si>
    <t xml:space="preserve">No fueron programados avances para el mes de julio, la ejecución respectiva se realizará desde el mes de agosto </t>
  </si>
  <si>
    <t>Julio de 2020: Con el fin de construir el informe correspondiente al segundo semestre de 2020, se realizó intervención mediante actuaciones técnicas, atención a PQRs, visitas de control, acompañamientos entre otras actividades del sector de fuentes fijas, operativos de medición de seguimiento y control ambiental de emisiones a vehículos que transitan en el Distrito, visitas técnicas de auditoria  a centros de diagnóstico automotor del Distrito Capital y la caracterización de procedimientos vigentes correspondientes al control y seguimiento de fuentes móviles, con esta información se adelanta la construcción del informe de acciones de evaluación, control y seguimiento a las fuentes fijas y móviles.</t>
  </si>
  <si>
    <t>2.	Determinar las condiciones acústicas ambientales predominantes, que permitan   gestionar el mejoramiento del bienestar, la salud y calidad de vida de los ciudadanos en el D.C.</t>
  </si>
  <si>
    <t>269-REALIZAR 4.700 ACCIONES DE SEGUIMIENTO Y CONTROL DE EMISIÓN DE RUIDO A LOS ESTABLECIMIENTOS DE COMERCIO, INDUSTRIA Y SERVICIO UBICADOS EN EL PERÍMETRO URBANO DEL D.C.</t>
  </si>
  <si>
    <t>Número de acciones realizadas</t>
  </si>
  <si>
    <t>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La Meta del proyecto de Inversión presenta avance en el mes de Julio, toda vez que las acciones realizadas se ejecutaron al comienzo del mes de Julio con personal contratado vigente desde el mes de marzo de 2020 y aun en el Plan de Desarrollo BMPT.</t>
  </si>
  <si>
    <t>3.	Fortalecer la cobertura de monitoreo de fuentes de emisión de ruido</t>
  </si>
  <si>
    <t>270-REALIZAR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</si>
  <si>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</si>
  <si>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 xml:space="preserve">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Berna, Jardín Botánico JCM, Cruz Roja Avenida 68, CAI Quirigua, CAI Las Ferias y CAI Normandía. 
Durante el presente periodo se diligencia y envía por correo electrónico matriz Inventario de equipos/ patrones/ material de referencia y programa de mantenimiento, calibración y verificación. </t>
  </si>
  <si>
    <t>4.	Reducir la saturación del paisaje urbano generada por los elementos de publicidad exterior visual ilegales.</t>
  </si>
  <si>
    <t>268-REALIZAR 4.000 ACCIONES DE SEGUIMIENTO Y CONTROL SOBRE LOS ELEMENTOS DE PUBLICIDAD EXTERIOR VISUAL - PEV, INSTALADOS EN LA ZONAS CON MAYOR DENSIDAD</t>
  </si>
  <si>
    <t>Número de acciones de seguimiento realizadas</t>
  </si>
  <si>
    <t>Se realizaron las siguientes actividades en cumplimiento de la meta
- Siete (7) operativos (5 Op. de sensibilización y 2 Op. de Control) - 87 establecimientos
- Cinco (5) visitas a elementos mayores (vallas tubulares): (3 visitas de evaluación y 2 visitas de control y seguimiento)
- Un (1) documento técnico: 1 Concepto técnico 
- Quince (15) visitas a elementos menores
- Cero (0) actuaciones técnicas de evaluación de elementos de publicidad de la vigencia.
La Meta del proyecto de Inversión presenta avance en el mes de Julio, toda vez que las acciones realizadas se ejecutaron al comienzo del mes de Julio con personal contratado vigente desde el mes de marzo de 2020 y aun en el Plan de Desarrollo BMPT.</t>
  </si>
  <si>
    <t>Durante julio, se atendió el 100% de los conceptos técnicos que recomendaron actuación administrativa sancionatoria, obteniendo el siguiente avance: 
Julio 2020:
N° de Conceptos Técnicos que recomiendan actuaciones administrativas sancionatorias: 13
N° de Conceptos Técnicos atendidos jurídicamente: 13
Total, avance meta julio 2020: 100 % 
Es importante aclarar que los avances en la magnitud de la meta están sujetos a la demanda de conceptos técnicos que genere el área técnica para ser acogidos jurídicamente; por lo tanto, el porcentaje de la magnitud programada es a 100% de conformidad con el volumen de conceptos recibidos durante el periodo.
La Meta del proyecto de Inversión presenta avance en el mes de Julio, toda vez que las actuaciones realizadas se ejecutaron al comienzo del mes de Julio con personal contratado vigente desde el mes de marzo de 2020 y aun en el Plan de Desarrollo BMPT.</t>
  </si>
  <si>
    <t xml:space="preserve">"Para el mes de julio, se realizó los mantenimientos preventivos y correctivos, se realizó la validación diaria de los datos de concentraciones de contaminantes criterio y parámetros meteorológicos que monitorea la RMCAB, el reporte de operatividad para el mes fue del 95,1%. Se realizó el análisis de datos del mes de junio para plasmarlo en el informe de calidad del aire. Asimismo, en el mes de julio de 2020 se elaboró y publicó el informe mensual de junio.
Para el mes de agosto, se realizó los mantenimientos preventivos y correctivos, se realizó la validación diaria de los datos de concentraciones de contaminantes criterio y parámetros meteorológicos que monitorea la RMCAB, el reporte de operatividad para el mes fue del 93,2%. Se realizó el análisis de datos del mes de julio para plasmarlo en el informe de calidad del aire, el informe mensual de julio se publicará a más tardar el 14 de septiembre, debido a los retrasos generados por la reducción de la capacidad operativa del personal durante la primera mitad de agosto."
</t>
  </si>
  <si>
    <t>En el marco de la gestión integral de la calidad del aire de Bogotá, se ha avanzado en la estructuración del contenido de 3 informes, los cuales son: 1. contenido en el cual se encuentra el cierre del PDDAB con los resultados respectivos de su implementación de 2010 a 2020, así como el contenido del plan estratégico para la gestión integral de la calidad del aire; 2. Definición del plan de trabajo con sus alcances teniendo en cuenta los 5 temas estratégicos definidos, avanzando en la concertación de las acciones relacionadas con las mesas de trabajo para la actualización del IBOCA y los lineamientos de protocolos de actuación con la mesa de expertos de calidad del aire, entre otras acciones relacionadas con la gestión de la calidad del aire; 3. Validación de datos e información de inventarios realizada para el Informe Anual de Calidad del Aire Año 2019, como estructura general del documento.</t>
  </si>
  <si>
    <t>Con el fin de construir el informe correspondiente al segundo semestre de 2020, se realizó intervención mediante la generación de actuaciones técnicas, producto de las visitas de Inspección Vigilancia, Control y Monitoreo generadas de la atención a PQRs,  y el ejercicio misional propio de la Entidad, mediante operativos internos, e interinstitucionales, acompañamientos a monitoreo de Fuentes Fijas de combustión externa y Fuentes Fijas de emisión por proceso así como operativos de medición en vía a vehículos que transitan en el Distrito Capital como parte del seguimiento y control ambiental a fuentes móviles, visitas técnicas de auditoria a Centros de Diagnóstico Automotor CDA'S  y la caracterización de procedimientos vigentes correspondientes al control y seguimiento de fuentes móviles.
Con esta información se adelanta la construcción del informe de acciones de evaluación, control y seguimiento a las fuentes fijas y móviles en el cual se reporta el avance de las actividades que desarrolla cada grupo, el cual habla de los objetivos la operatividad del grupo y los programas de autogestión aplicados durante la vigencia  semestre II 2020 teniendo en cuenta el control a los factores de deterioro ambiental  en pro de aportar a la meta plan de desarrollo de reducir en un 10% como promedio ponderado ciudad, la concentración de material partículado pm10 y pm2.5, mediante la implementación del plan de gestión integral de la calidad de aire. Alcanzando un 0.33% de la meta de gestión.</t>
  </si>
  <si>
    <t>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Agosto 2020, el área técnica de ruido realizó un total de 1 visita técnica, correspondientes a visita no efectiva, la cual es objeto de reprogramación. 6 actuaciones técnicas correspondientes a otros documentos así; 1 comunicación oficial externa sin visita para finalizar el caso, 1 oficio relacionado con una petición en el marco del SUGA, 1 presentación en ppt para una socialización a realizar en la Cámara de Comercio de Bogotá y 3 documentos técnicos relacionados con informes mensuales de las Acciones Populares que cursan en materia de ruido para un sector de las localidades de Bosa, Antonio Nariño y Teusaquillo. 
Así, el acumulado para el II semestre del 2020 es de: 6 visitas técnicas; 1 visita efectiva con medición, 5 visitas no efectivas objeto de reprogramación. 9 actuaciones técnicas correspondientes a otros documentos, dos 2 conceptos técnicos aclaratorios, dos 2 documentos relacionados con SUGA, 1 comunicación oficial externa para finalizar caso de presunta afectación por emisión de ruido, 1 presentación técnica enviada, vía correo electrónico, dirigida a la Cámara de Comercio de Bogotá y 3 informes mensuales para las Acciones Populares mencionadas previamente.</t>
  </si>
  <si>
    <t>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Las Ferias, CAI Quirigua y CAI Normandía. 
Asimismo, se participó en las reuniones de seguimiento programadas por los profesionales del laboratorio ambiental de la SDA – LABCIMAB, en donde se programa la presentación de plan de capacitaciones, proyección de matriz de equipos activos, cartas control y demás documentos necesarios para la acreditación en la matriz aire – ruido – ruido ambiental ante el IDEAM.</t>
  </si>
  <si>
    <t>Para la vigencia del Proyecto de Inversión se han realizado (46) acciones de evaluación, control y seguimiento:
            Trece (13) operativos de control y seguimiento, Nueve (09) visitas a elementos mayores, Un (1) documento técnico, Veintitrés (23)  visitas a elementos menores.
JULIO: Se realizaron veintiocho (28) actividades en cumplimiento de la meta
- Siete (7) operativos (5 Op. de sensibilización y 2 Op. de Control) - 87 establecimientos
- Cinco (5) visitas a elementos mayores (vallas tubulares)
- Un (1) documento técnico: 1 Concepto técnico 
- Quince (15) visitas a elementos menores
AGOSTO: se realizaron dieciocho (18) acciones en cumplimiento de la meta
- Seis (06) operativos (03 Op. de control y 03 Op. de sensibilización) - 45 establecimientos.
- Cuatro (04) visitas a elementos mayores (vallas tubulares).
- Ocho (08) visitas a elementos menores de PEV.
Nota: La información de evaluación a elementos de Publicidad Exterior Visual se reporta trimestralmente</t>
  </si>
  <si>
    <t>Para el cumplimiento de las regulaciones asociadas al control de los factores de deterioro de calidad del aire, acústica y visual del Distrito Capital, la Secretaría Distrital de Ambiente durante el mes de Agosto atendió el 100% de los conceptos técnicos que recomiendan una actuación administrativa sancionatoria, obteniendo el siguiente avance: 
Agosto 2020 
N° de Conceptos Técnicos que recomiendan actuaciones administrativas sancionatorias: 13 (Conceptos Técnicos No 6572, 7991, 569, 6322, 13400, 8356, 1360, 8126, 8784, 4927, 7458, 11323, 2092).  
N° de Conceptos Técnicos atendidos jurídicamente: 13 (AUTO N. AUTO DCA-02819-AUTO DCA-02820-AUTO DCA-02821-AUTO DCA-02822-AUTO DCA-02824-AUTO DCA-02861-AUTO DCA-02869-AUTO DCA 02878
AUTO DCA-02882-AUTO DCA-02883-AUTO DCA-02902-AUTO DCA-02903-AUTO DCA-02904)
Total, avance meta Agosto 2020: 100 % 
Por último, es importante tener presente que los avances en la magnitud de la meta están sujetos a la demanda de conceptos técnicos que remitan las áreas para ser acogidos jurídicamente; por lo tanto, el porcentaje de la magnitud programada corresponde al 100%.</t>
  </si>
  <si>
    <t>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t>
  </si>
  <si>
    <t>En el marco de la gestión integral de la calidad del aire de Bogotá, durante la vigencia en el Proyecto de Inversión se ha avanzado en la estructuración del contenido de 3 informes,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t>
  </si>
  <si>
    <t>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t>
  </si>
  <si>
    <t>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t>
  </si>
  <si>
    <t>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(En caso que se tengan las cantidades de visitas, por favor enunciarlas).</t>
  </si>
  <si>
    <t>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t>
  </si>
  <si>
    <t>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t>
  </si>
  <si>
    <t>De acuerdo con la tipología constante de la meta se presenta un avance acumulado del 100% para la vigencia 2020.  Se realizaron mantenimientos preventivos y correctivos, validación y análisis de datos, incluyendo nuevas estaciones en la RMCAB (Bolivia, Usme, Ciudad Bolívar, Bosa, Jazmín) se trabajó en integración SDA-CAR y en plan de prueba de sensores de bajo costo.
Para el mes de noviembre el porcentaje de cumplimiento para este indicador es del 98%,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noviembre fue del 96,4%  el cual es promedio de los datos validos de todos los parámetros de la red  que se genera a través del software Envista. Se realizó el análisis de datos del mes de octubre de 2020. Asimismo, el equipo de la RMCAB en el mes de noviembre elaboró el informe mensual de octubre y lo publicó el 02 de diciembre. Se mantiene el proceso de validación de los datos generados por las nuevas estaciones y los equipos.
Avance acumulado en la ejecución de la meta 100%.</t>
  </si>
  <si>
    <t>En el segundo semestre de 2020, con respecto a lo programado de la meta se tiene un avance del 75%, correspondiendo a 3 documentos técnicos para que al final del año se entreguen los 4 documentos totales, Con respecto al cuatrienio hay un avance del 10,3%, la descripción de las actividades realizadas para el mes de noviembre a continuación:
1.	se procedió a realizar la consolidación de la información de resultados logrados para cada uno de los proyectos, teniendo en cuenta el periodo de implementación definido para cada uno de estos en el marco de las reuniones y concertaciones realizadas, logrando capturar y consolidar la información y datos de los indicadores de resultados y gestión, específicamente lo relacionado con las estrategias sectoriales, ya que las mismas con identificadas como los sectores y fuentes que aportan en mayor proporción a las emisiones de material partículado en la ciudad.
Seguido, se realizó la descripción de la metodología de seguimiento y evaluación a cada uno de los proyectos, mencionada metodología será enfocada a aquellos proyectos que se encuentren en implementación, y mediante el cual se obtienen los resultados respectivos
2.	se realizó la consolidación de la información faltante del documento, en especial en los resultados de resuspendido, en donde se realiza el cálculo de las emisiones de este para el año 2018 y en el documento se realiza la explicación de este cálculo y los resultados encontrados para este año y sus impactos en la calidad de aire. Adicionalmente se realizan correcciones enviadas por el profesional a cargo de la revisión del documento para posteriormente ordenar el documento para la presentación del mes actual. En este documento las secciones que tendrá ejecución para el siguiente mes serán el resumen ejecutivo, conclusiones, y estética del documento, para su presentación final. 
3.	en el marco de la actualización normativa del IBOCA, se busca la armonización con la normatividad nacional, sin dejar a un lado el papel central en la gestión del riesgo que tiene este indicador. Con base en las discusiones y análisis adelantados entre la SDA y la SDS, se avanzó en el borrador del Documento Técnico de Soporte para la primera etapa de modificación normativa del IBOCA. Este documento se desarrolla con base en las justificaciones conceptuales, técnicas y jurídicas del borrador del articulado. En este documento se debe incluir el análisis retrospectivo de los nuevos niveles de alerta que sean definidos en dicha modificación normativa,
Seguidamente, y en el marco del proceso que debe surtir los protocolos de actuación frente a las alertas por calidad del aire, se están realizando las mesas de trabajo y concertación para los mismos, en ese sentido durante este mes de noviembre,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y también reuniones con la ANDI exponiendo los resultados de los escenarios de modelación para las fuentes fijas industriales en la ciudad.</t>
  </si>
  <si>
    <t>El avance acumulado para la vigencia 2020 del cumplimiento en la ejecución de la meta es del 0.71% del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Avance de Noviembre 0,20, basado en : Este documento contiene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
Se registra el inicio de los monitoreos de fuentes fijas como laboratorio acreditado para la toma de muestras de los parámetros de NOx, SO2 y MP en las industrias objeto de control; se atienden las visitas de seguimiento de la autorización realizada por el IDEAM para cada uno de los programas de evaluación control y seguimiento de fuentes móviles. 
Así mismo, se realizan los seguimientos a empresas que son objeto de permiso de emisiones, operativos de medición en vía a vehículos que transitan en el Distrito Capital, visitas técnicas de auditoria a Centros de Diagnóstico Automotor CDA'S, vinculación de empresas al programa de autorregulación y requerimientos ambientales presentados por la ciudadanía.
Alcanzando un 71% del cumplimiento de la meta de inversión para la vigencia 2020.</t>
  </si>
  <si>
    <t>Para la vigencia 2020, se presenta un avance acumulado de la meta de cuatrocientas veintitrés (423) actuaciones, correspondientes al 99,30% de ejecución, es así: 
•	Julio; acciones de seguimiento y control de emisión de ruido; cinco (05) visitas y tres (03) documentos técnicos. Total, ocho (08) acciones.
•	Agosto; acciones de seguimiento y control de emisión de ruido; uno (01) visitas y seis (06) documentos técnicos. Total, siete (07) acciones.
•	Septiembre; acciones de seguimiento y control de emisión de ruido; sesenta y cinco (65) visitas y cuarenta (40) documentos técnicos. Total, ciento cinco (105) acciones.
•	Octubre; acciones de seguimiento y control de emisión de ruido; ciento veinte (120) visitas y veintiocho (28) documentos técnicos. Total, ciento cuarenta y ocho (148) acciones.
•	Noviembre; acciones de seguimiento y control de emisión de ruido; ciento veinte dos (122) visitas y treinta y tres (33) documentos técnicos. Total, ciento cincuenta y cinco acciones (155)
En general se distribuyen:
•	313 visitas técnicas (51 visitas efectivas con medición, 184 visitas efectivas para cerrar el caso y 78 visitas no efectivas (reprogramación).
•	110 actuaciones técnicas de otros documentos:
o	12 informes acciones populares
o	2 conceptos aclaratorios
o	1 presentación a la Cámara de Comercio de Bogotá
o	20 socializaciones OPEL
o	7 socializaciones CAL
o	1 socialización en mesa territorial
o	1 oficio de salida cerrando caso
o	3 estudios de ruido
o	2 WEBINAR con el MADS
o	1 informe CAL
o	60 oficios SUGA
Avance acumulado en la vigencia de 99,30%.</t>
  </si>
  <si>
    <t>En cumplimiento la meta en la vigencia 2020, se presenta un avance del 100%, basado en el desarrollo de actividades así: (tipología de la Meta Constante)
Julio: se avanza en el informe técnico semestral en el cual se relacionan estadística y geográficamente, las empresas que tramitan reactivación económica ante la alcaldía mayor de Bogotá, a fin de clasificar y priorizar posibles establecimientos objeto de monitoreo de ruido, que sirvan de insumo para la identificación del %PUAR. Avance en el periodo 100%.
Agosto: Durante el presente periodo se avanza en la proyección del informe técnico semestral en el cual se incluyen los datos de las estaciones de la Red de Monitoreo de Ruido Ambiental de Bogotá (RMRAB) y los avances en la formulación de procedimiento de validación de los datos generados. Avance en el periodo 100%.
Septiembre: Para el presente periodo se avanza en la proyección del informe semestral de operación de la red de ruido del Distrito, dentro del cual se incluye reporte de siniestros en nueve (9) de las estaciones de monitoreo de ruido que fueron objeto de vandalismo durante las protestas ocurridas el 09 y 10 se septiembre. Avance en el periodo 100%.
Octubre: Durante el presente periodo se avanza con la proyección del informe semestral de operación de la Red de Monitoreo de Ruido Ambiental de Bogotá (RMRAB) en el cual se destacan la realización de las siguientes actividades: reporte de empresas que solicitaron reactivación económica por COVID 19, acreditación del procedimiento de monitoreo de ruido ambiental ante el IDEAM, soporte y mantenimiento a las estaciones de monitoreo de ruido, actualización del visor monitor web MAIGRAI. Avance en el periodo 100%.
Noviembre:  Para el presente mes, se avanza con la proyección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actualización del visor monitor web MAIGRAI , reporte de estaciones de la RMRAB afectadas durante protestas y espacialización de datos de emisión de ruido Colector-ESRI. 
Avance acumulado según la tipología de la meta es del 100% para la vigencia 2020.</t>
  </si>
  <si>
    <t>Para la vigencia 2020 del Proyecto de Inversión se han realizado doscientas veinte nueve (229) acciones de evaluación, control y seguimiento, así:
•	Julio, 28 Acciones, avance de ejecución del 12%.
•	Agosto, 18 Acciones, avance de ejecución del 8%.
•	Septiembre, 136 Acciones, avance de ejecución del 62%.
•	Octubre, 37 Acciones, avance de ejecución del 16%.
•	Noviembre, No se realizaron acciones de evaluación sobre el resto del Distrito, se encaminaron a las Zonas de Alta Densidad.
Avance Acumulado 97,86%.</t>
  </si>
  <si>
    <t>Para el cumplimiento de las regulaciones asociadas al control de los factores de deterioro de calidad del Aire, Auditiva y Visual del Distrito Capital, la Secretaría Distrital de Ambiente durante el periodo del 1 de julio al 30 de noviembre de 2020 atendió el 100% de los conceptos técnicos que recomiendan una actuación Administrativa Sancionatoria, obteniendo el siguiente avance: 
Julio 2020:
N° de Conceptos Técnicos que recomiendan actuaciones administrativas sancionatorias: 13 
N° de Conceptos Técnicos atendidos jurídicamente: 13
Agosto 2020
N° de Conceptos Técnicos que recomiendan actuaciones administrativas sancionatorias: 13 
N° de Conceptos Técnicos atendidos jurídicamente: 13.
Septiembre 2020
N° de Conceptos Técnicos que recomiendan actuaciones administrativas sancionatorias: 133
N° de Conceptos Técnicos atendidos jurídicamente: 133.
Octubre 2020
N° de Conceptos Técnicos que recomiendan actuaciones administrativas sancionatorias: 13
N° de Conceptos Técnicos atendidos jurídicamente: 13.
Noviembre 2020
N° de Conceptos Técnicos que recomiendan actuaciones administrativas sancionatorias: 04
N° de Conceptos Técnicos atendidos jurídicamente: 04.  
Total, avance meta Noviembre 2020: 100 %
Por último, es importante tener presente que los avances en la magnitud de la meta están sujetos a la demanda de conceptos técnicos que remitan los grupos técnicos para ser acogidos jurídicamente; por lo tanto, el porcentaje de la magnitud programada corresponde al 100%</t>
  </si>
  <si>
    <t xml:space="preserve">Para el mes de enero el porcentaje de cumplimiento para este indicador es del 86%, se realizó el reporte de los mantenimientos preventivos y correctivos que se realizaron en el mes, se realizó la validación diaria de los datos de concentraciones de contaminantes criterio y parámetros meteorológicos que monitorea la RMCAB en las estaciones antiguas, quedando pendiente la validación de las estaciones nuevas por falta de contrato del profesional de validación. El reporte de operatividad para el mes de enero fue del 94,5% el cual es promedio de los datos validos de todos los parámetros de la red en las estaciones antiguas que se genera a través del software Envista. Se realizó el análisis de datos del mes de diciembre de 2020 y esta pendiente la terminación y publicación del informe mensual. Se mantiene el proceso de validación de los datos generados por las nuevas estaciones y los equipos. 
Para el mes de enero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Se realizaron mantenimientos preventivos y correctivos, validación y análisis de datos, incluyendo nuevas estaciones en la RMCAB (Bolivia, Usme, Ciudad Bolívar, Bosa, Jazmín) se mantuvo el plan de prueba de sensores de bajo costo.
</t>
  </si>
  <si>
    <t>Avance acumulado para la vigencia 2021 del cumplimiento en la ejecución de la meta es del 100% de la presentación de dos (02) informes programados esto basado en: las actividades de recolección de la información de las acciones de seguimiento y control de los grupos de fuentes fijas y fuentes móviles. 
El avance acumulado se registra, así:
•	Enero 0.1 % de avance en el Informe de gestión de la vigencia 2021.</t>
  </si>
  <si>
    <t>Avance acumulado para la vigencia 2020 del cumplimiento en la ejecución de la meta es del 100% de la presentación de uno (01)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	Noviembre, 0,20% de avance en el Informe de gestión.
Avance de Diciembre 0,29, basado en: Con el fin de construir el informe correspondiente al segundo semestre del año, se realizó intervención mediante actuaciones técnicas, visitas de control, acompañamientos, monitoreos, operativos de medición en vía a vehículos que transitan en el Distrito Capital, visitas técnicas de auditoria a Centros de Diagnóstico Automotor CDA'S, vinculación de empresas al programa de autorregulación y requerimientos ambientales presentados por la ciudadanía. entre otras actividades del grupo fuentes, con esta información se construyó el informe de acciones de evaluación, control y seguimiento a las fuentes de emisión.
Con lo anterior, se evidenciaron fortalezas y acciones de mejora a implementar en los grupos fuentes de emisión, para el cumplimiento de la meta.  
Alcanzando un 100% del cumplimiento de la meta de inversión para la vigencia 2020.</t>
  </si>
  <si>
    <t>En cumplimiento acumulativo de la meta para enero del 2021 se desarrollaron 36 actuaciones técnicas, correspondientes a acciones de seguimiento y control de emisión de ruido (visitas) y documentos técnicos, a continuación, se detallan las acciones:
•	Enero: 20 visitas – 16 documentos técnicos, total 36 acciones.
De las acciones realizadas se resume:
20 visitas técnicas discriminadas así: 8 visitas efectivas con medición, 4 visitas efectivas sin medición, 6 visitas efectivas para cerrar el caso y 2 visitas no efectivas para reprogramar.
16 actuaciones técnicas de otros documentos diferenciados así: 1 informe de la acción popular que cursa en la localidad Antonio Nariño, 1 concepto técnico aclaratorio, 14 oficios SUGA.</t>
  </si>
  <si>
    <t>Enero: Se proyectan informes relacionados con la operación de la Red de Monitoreo de Ruido Ambiental de Bogotá (RMRAB) durante el mes de enero del 2021 en la cual se reportan principalmente la realización de las siguientes actividades acreditación del procedimiento de monitoreo de ruido ambiental ante el IDEAM, actividades de soporte y mantenimiento realizado a las estaciones de monitoreo de ruido, espacialización de datos de emisión de ruido Colector - ESRI y se presenta el procedimiento interno de manejo de PQR´s a la secretaria de salud.</t>
  </si>
  <si>
    <t xml:space="preserve">Acumulado 2021: Para la vigencia del Proyecto de Inversión del año 2021 se han realizado doscientas setenta y ocho (278) acciones de evaluación, control y seguimiento:
Cuatro (04) operativos de control
Doce (12) visitas de evaluación a elementos mayores 
Doscientas sesenta y dos (262) evaluaciones a solicitudes de elementos de publicidad exterior visual.
Acumulado vigencia: Para la vigencia del año 2020 y 2021 del Proyecto de Inversión se han realizado mil quinientas sesenta (1.570) acciones de evaluación, control y seguimiento:
Cincuenta y nueve (59) operativos de control y seguimiento
Ciento nueve (109) visitas a elementos mayores
Tres (03) documentos técnicos
Tres (03) cargues de información a la plataforma SIIPEV.
Mil trescientos cuarenta y dos (1.342) evaluaciones a solicitudes de elementos de publicidad exterior visual.
</t>
  </si>
  <si>
    <t>Para el cumplimiento de las regulaciones asociadas al control de los factores de deterioro de calidad del Aire, Auditiva  y Visual del Distrito Capital,  la Secretaría Distrital de Ambiente programo ejecución de actividades a partir del mes de febrero del 2021.</t>
  </si>
  <si>
    <t>En la ejecución de la meta durante la vigencia 2021; Se han realizado mantenimientos preventivos y correctivos, validación y análisis de datos, incluyendo nuevas estaciones en la RMCAB (Bolivia, Usme, Ciudad Bolívar, Bosa, Jazmín) se mantuvo el plan de prueba de sensores de bajo costo.
Enero; el porcentaje de cumplimiento para este indicador es del 86%, el cual corresponde al reporte de los mantenimientos preventivos y correctivos que se realizaron en el mes, se realizó la validación diaria de los datos de concentraciones de contaminantes criterio y parámetros meteorológicos que monitorea la RMCAB en las estaciones antiguas, quedando pendiente la validación de las estaciones nuevas por falta de contrato del profesional de validación.
Febrero el porcentaje de cumplimiento para este indicador es del 75%,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febrero fue del 95,6% el cual es promedio de los datos validos de todos los parámetros de la red en las estaciones que se genera a través del software Envista. Se realizó el análisis de datos del mes de enero de 2021 y esta pendiente la terminación y publicación del informe mensual. Se mantiene el proceso de validación de los datos generados por las nuevas estaciones y los equipos.</t>
  </si>
  <si>
    <t>Avance acumulado para la vigencia 2021 en el cumplimiento de la meta es del 5,3% de la presentación de ocho (08) informes programados esto basado en: las actividades de recolección de la información de las acciones de seguimiento y control de la calidad del aire de Bogotá.
El avance acumulado se registra, así:
•	Enero 0,2 % de avance en el Informe de gestión de la vigencia 2021.
•	Febrero 0,25% de avance en el Informe de gestión de la vigencia 2021.</t>
  </si>
  <si>
    <t>Avance acumulado para la vigencia 2021 del cumplimiento en la ejecución de la meta es del 13% de la presentación de dos (02) informes; programado esto basado en: las actividades de recolección de la información de las acciones de seguimiento y control de los grupos de fuentes fijas y fuentes móviles. 
El avance acumulado se registra, así:
•	Enero 0,15, de avance en la ejecución de la meta.
•	Febrero 0,11, de avance en la ejecución de la meta.
basado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t>
  </si>
  <si>
    <t>En cumplimiento acumulativo de la meta para 2021 se han desarrollado 52 actuaciones técnicas así: 20 visitas (8 efectivas con medición, 6 efectivas cerrar caso, 2 no efectivas para reprogramar, 4 efectivas sin medición en cumplimiento a actos administrativos) y 32 actuaciones técnicas correspondientes a otros documentos (3 informes acciones populares para las localidades de Antonio Nariño, Bosa y Teusaquillo, 1 concepto técnico aclaratorio, 28 oficios SUGA para eventos de aglomeración de público en el Distrito Capital).  Avnce Acumulado en la vigencia 5,82%</t>
  </si>
  <si>
    <t>A corte Enero 20201,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Se proyecta informe relacionado con la operación de la Red de Monitoreo de Ruido Ambiental de Bogotá (RMRAB), se reportan principalmente la realización de las siguientes actividades, de soporte y mantenimiento realizado a las estaciones de monitoreo de ruido, y el avance en el proceso de instalación de las estaciones de la RMRAB afectadas durante protestas. contratación del personal para a la operación de la RMRAB.
Avance acumulado en la vigencia : 100%."</t>
  </si>
  <si>
    <t>Acumulado en la vigencia 2021: se han realizado cuatrocientas ochenta y nueve (489) acciones de evaluación, control y seguimiento:
•	Cuatro (04) operativos de control
•	Doce (12) visitas de evaluación a elementos mayores 
•	Cuatrocientos sesenta y tres (473) evaluaciones a solicitudes de elementos de publicidad exterior visual.
Avance en a la ejecución de la Meta Vigencia; 64,43%.
Acumulada vigencia: Para la vigencia del año 2020 y 2021 del Proyecto de Inversión se han realizado mil setecientas ochenta y un (1.781) acciones de evaluación, control y seguimiento:
Cincuenta y nueve (59) operativos de control y seguimiento
Ciento nueve (109) visitas a elementos mayores
Tres (03) documentos técnicos
Tres (03) cargues de información a la plataforma SIIPEV.
Cincuenta y cuatro (54) visitas IVC a elementos menores
Mil quinientas cincuenta y tres (1.553) evaluaciones a solicitudes de elementos de publicidad exterior visual.  Avance en a la ejecución de la Meta Cuatrienio; 44,53%.</t>
  </si>
  <si>
    <t>La Secretaría Distrital de Ambiente del 01 de febrero al 28 de febrero de 2021 en ejercicio de su función sancionatoria acogió el 100% de los conceptos técnicos relacionados con el recurso ambiental aire, auditiva y visual y que recomiendan una actuación administrativa sancionatoria, como se relaciona a continuación: 
No de Conceptos Técnicos que recomiendan actuaciones administrativas sancionatorias: 18 Conceptos Técnicos.
No de Conceptos Técnicos atendidos jurídicamente: 18 Conceptos Técnicos acogidos
Avance total corte 28 de febrero de 2021: 100%</t>
  </si>
  <si>
    <t>En la ejecución de la meta durante la vigencia 2021, se realizaron mantenimientos preventivos y correctivos, validación y análisis de datos, incluyendo nuevas estaciones en la red (Bolivia, Usme, Ciudad Bolívar, Bosa, Jazmín), y además, se mantuvo el plan de prueba de sensores de bajo costo.
Para el mes de Enero, el porcentaje de cumplimiento para este indicador es del 86%, el cual corresponde al reporte de los mantenimientos preventivos y correctivos que se realizaron en el mes, se realizó la validación diaria de los datos de concentraciones de contaminantes criterio y parámetros meteorológicos que monitorea la red en las estaciones antiguas, quedando pendiente la validación de las estaciones nuevas por falta de contrato del profesional de validación.
Febrero: el porcentaje de cumplimiento para este indicador es del 75%, donde se realizó el reporte de los mantenimientos preventivos y correctivos para el mes, validación diaria de los datos de concentraciones de contaminantes criterio y parámetros meteorológicos que monitorea la red. Se realizó el análisis de datos del mes de enero de 2021 y esta pendiente la terminación y publicación del informe mensual. Se mantiene el proceso de validación de los datos generados por las nuevas estaciones y los equipos.</t>
  </si>
  <si>
    <t>En el marco de la gestión integral de la calidad del aire de Bogotá, se ha venido trabajando en el desarrollo de 3 documentos técnicos, los cuales son: 1. Publicación a consulta publica de los documentos relacionados con el Plan Aire, recopilando observaciones realizadas por los actores externos y posteriormente realizando los debidos ajustes al documento. 2. Concertación de medidas de restricción a las fuentes móviles entre la SDA Y SDM, así mismo, en el marco de actuación definido en la Estrategia Distrital de Respuesta se remitió al IDIGER para su revisión, aprobación y posterior divulgación. 3. Identificación de la metodología del primer informe de modelación por medio de la validación de datos e información del capítulo de modelación de calidad de aire en la ciudad del Informe Anual de Calidad del Aire Año 2019.
Avance acumulado para la vigencia 2021 en el cumplimiento de la meta es del 12,50%. Este seguimiento corresponde a las actividades de recolección de la información, y de las acciones de seguimiento y control de la calidad del aire de Bogotá.
El avance acumulado se registra, así:
•	Enero 0,2.
•	Febrero 0,25.
•	Marzo 0,55 de avance en el Informe de gestión de la vigencia 2021.</t>
  </si>
  <si>
    <t>Avance acumulado para la vigencia 2021 del cumplimiento en la ejecución de la meta es del 36%. Este avance está basado en las actividades de recolección de información de las acciones de seguimiento y control de los grupos de fuentes fijas y fuentes móviles. También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 de avance en la ejecución de la meta.</t>
  </si>
  <si>
    <t>En cumplimiento acumulativo de la meta para 2021 se han desarrollado 156 actuaciones técnicas así: 109 visitas (13 efectivas con medición, 57 efectivas cerrar caso, 30 no efectivas para reprogramar, 9 efectivas sin medición en cumplimiento a actos administrativos) y 47 actuaciones técnicas correspondientes a otros documentos (5 informes acciones populares para las localidades de Antonio Nariño, Bosa y Teusaquillo, 1 concepto técnico aclaratorio, 41 oficios SUGA para eventos de aglomeración de público en el Distrito Capital).</t>
  </si>
  <si>
    <t>La meta presenta un avance del 100%, en el I trimestre del 2021 dado por: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t>
  </si>
  <si>
    <t>Para la vigencia del Proyecto de Inversión del año 2021 se han realizado mil trescientas veinte y seis (1.326) acciones de evaluación, control y seguimiento:
Cuatro (05) operativos de control.
Veinticuatro (24) visitas de evaluación a elementos mayores.
Un (01) cargue de información a la plataforma SIIPEV.
Mil doscientas noventa y seis (1.296) evaluaciones a solicitudes de elementos de publicidad exterior visual.
Acumulado Cuatrienio: Para la vigencia del año 2020 y 2021 del Proyecto de Inversión se han realizado dos mil seiscientas diez y ocho (2.618) acciones de evaluación, control y seguimiento:
Sesenta (60) operativos de control y seguimiento
Ciento veintiún (121) visitas a elementos mayores
Tres (03) documentos técnicos
Cuatro (04) cargues de información a la plataforma SIIPEV.
Cincuenta y cuatro (54) visitas IVC a elementos menores
Dos mil trescientas setenta y seis (2.376) evaluaciones a solicitudes de elementos de publicidad exterior visual.</t>
  </si>
  <si>
    <t>La Secretaría Distrital de Ambiente del 01 de enero al 31 de marzo de 2021 en ejercicio de su función sancionatoria acogió el 100% de los conceptos técnicos relacionados con el recurso ambiental aire, auditiva y visual y que recomiendan una actuación administrativa sancionatoria, como se relaciona a continuación: 
No de Conceptos Técnicos que recomiendan actuaciones administrativas sancionatorias: 24 Conceptos Técnicos.
No de Conceptos Técnicos atendidos jurídicamente: 24 Conceptos Técnicos acogidos
Avance total corte 31 de marzo de 2021: 100%.</t>
  </si>
  <si>
    <t>Durante la ejecución 2021, se han realizado mantenimientos preventivos y correctivos, validación y análisis de datos, diaria de las concentraciones de contaminantes criterio y parámetros meteorológicos que monitorea la RMCAB incluyendo nuevas estaciones en la red (Bolivia, Usme, Ciudad Bolívar, Bosa, Jazmín, Colina y Móvil Fontibón), así como sus respectivos informes. Además, se realizó la validación diaria de los datos de concentraciones de contaminantes criterio y parámetros meteorológicos que monitorea la red en las estaciones antiguas. Se mantuvo el plan de prueba de sensores de bajo costo.
Se realizó el análisis de datos del mes de marzo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Abril se realizó el análisis de datos del mes de marzo de 2021. Asimismo, el equipo de la RMCAB en el mes de abril publicó los informes de diciembre 2020, enero, febrero 2021 y el informe trimestral oct-dic 2020 que estaba retrasado y se avanzo en la elaboración del informe de marzo de 2021.</t>
  </si>
  <si>
    <t>En el marco de la gestión integral de la calidad del aire de Bogotá, hasta la fecha se ha venido trabajando en el desarrollo de 3 documentos técnicos, los cuales son: 
1.	Revisión y ajuste al documento técnico de Plan Aire, así mismo, su envió a las diferentes secretarias firmantes para su respectiva revisión y firma del Decreto Distrital del Plan Aire y posteriormente, remisión del documento técnico, anexos y Decreto del Plan aire a la alcaldía mayor de Bogotá.
2.	Suscripción entre la SDA y SDS de la Resolución por la cual se establece el nuevo “Índice Bogotano de Calidad del Aire y Riesgo en salud - IBOCA- para la gestión conjunta del riesgo de deterioro del ambiente y de salud humana”. Así mismo, en relación con el Plan de Contingencia y Emergencia Distrital por contaminación atmosférica para la atención de eventos por contaminación atmosférica fue remitido para su revisión al IDIGER.
3.	Adición de los resultados gráficos de modelación y calidad del aire al primer informe de modelación, de igual manera, se han enlistado las posibilidades de mejoras del Sistema Integrado de Modelación de Calidad de Aire.
Este avance de uno (1,6) en términos numéricos, corresponde a:
•	Enero 0,2.
•	Febrero 0,25.
•	Marzo 0,55 
•	Abril 0,60; de avance en el Informe de gestión de la vigencia 2021.</t>
  </si>
  <si>
    <t>En el cumplimiento del (01) informes de gestión programados para la vigencia 2021; se ha alcanzado un avance acumulado en la ejecución de la meta del 0,51, equivalente a un 51%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•Abril 0,15, de avance en la ejecución de la meta.</t>
  </si>
  <si>
    <t>Para la vigencia 2021, se han desarrollado 272 actuaciones técnicas que corresponde a un 30,46% respecto a lo programado, y a su vez, un avance del 16,23% durante el cuatrienio.
Este avance del 2021, se conforma de 205 visitas (25 efectivas con medición, 22 efectivas sin medición en cumplimiento a actos administrativos, 97 efectivas para cerrar el caso, 61 no efectivas para reprogramar) y 67 actuaciones técnicas correspondientes a otros documentos (8 informes de acciones populares, para las localidades de Antonio Nariño, Bosa y Teusaquillo, 1 concepto técnico aclaratorio, 52 oficios SUGA, 6 participaciones en reuniones interinstitucionales).</t>
  </si>
  <si>
    <t>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t>
  </si>
  <si>
    <t>Para la vigencia del Proyecto de Inversión del año 2021 se han realizado mil setecientas setenta y cuatro (1.501) acciones de evaluación, control y seguimiento:
Quince (15) operativos de control.
Cuarenta y ocho (48) visitas de evaluación a elementos mayores.
Uno (01) cargue de información a la plataforma SIIPEV.
Mil cuatrocientos treinta y siete(1.437) evaluaciones a solicitudes de elementos de publicidad exterior visual.
Lo anterior, dando un avance para el cuatrienio de (2.793)  acciones de evaluación, control y seguimiento 70 operativos de control y seguimiento,145 visitas a elementos mayores, 03 documentos técnicos, 05 cargues de información a la plataforma SIIPEV, 54 visitas a elementos menores, 2.516 evaluaciones a solicitudes de elementos de publicidad exterior visual.</t>
  </si>
  <si>
    <t>La Secretaría Distrital de Ambiente del 01 de enero al 30 de abril de 2021 en ejercicio de su función sancionatoria acogió el 64% de los conceptos técnicos relacionados con el recurso ambiental aire, auditiva y visual y que recomiendan una actuación administrativa sancionatoria, como se relaciona a continuación: 
No de Conceptos Técnicos que recomiendan actuaciones administrativas sancionatorias: 108 Conceptos Técnicos.
No de Conceptos Técnicos atendidos jurídicamente: 69 Conceptos Técnicos acogidos
Avance total corte 30 de abril de 2021: 64%</t>
  </si>
  <si>
    <t xml:space="preserve">"Durante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mensual de abril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Adicionalmente se realizó una visita de inspección a la estación de Las Ferias con el personal del proceso de consultoría que lidera el CIMAB para este tema.
Para el mes de mayo se elaboró y publicó el informe mensual de abril de 2021. Asimismo, el equipo de la RMCAB en el mes de mayo publicó el informe de marzo 2021."
</t>
  </si>
  <si>
    <t xml:space="preserve">En el marco de la gestión integral de la calidad del aire de Bogotá, hasta la fecha (Mayo 2021), se ha venido trabajando en el desarrollo de 3 documentos técnicos, los cuales son: 1. Documento técnico de Plan Aire con sus respectivos anexos y el Decreto del Plan Aire, los cual se encuentra en proceso de firma en el despacho de la Alcaldía de Bogotá. 2. Plan de Contingencia Distrital para la atención de episodios por condiciones desfavorables de calidad del aire en la ciudad, el cual se encuentra en proceso de divulgación con las alcaldías municipales de Soacha, Mosquera, Funza, la CAR y SDM de Bogotá, así mismo, se avanzó en la conceptualización del Análisis Costo Beneficio de las medidas de restricción, este instrumento permitirá elegir las restricciones que impacten en menor medida en términos económicos y sociales durante los episodios de contaminación atmosférica. 3. Documento de modelación, en el cual se ha avanzado en la consolidación de las emisiones que se presentan en la ciudad con sus respectivos resultados, de igual manera se realizó la revisión y organización del documento, buscando validar el modelo de calidad del aire y determinar las oportunidades de mejora.
</t>
  </si>
  <si>
    <t xml:space="preserve">"En el cumplimiento de los dos (02) informes de gestión programados para la vigencia 2021; se ha alcanzado un avance acumulado en la ejecución de la meta del 0,65, equivalente a un 25,5%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•Enero 0,15, de avance en la ejecución de la meta.
•Febrero 0,11, de avance en la ejecución de la meta.
•Marzo 0,10, de avance en la ejecución de la meta.
•	Abril 0,15, de avance en la ejecución de la meta.
•	Mayo 0,14, de avance en la ejecución de la meta."
</t>
  </si>
  <si>
    <t xml:space="preserve">"La Secretaría Distrital de Ambiente, en el marco de las acciones de seguimiento y control de emisión de ruido a los establecimientos de comercio, industria y servicio ubicados en el perímetro urbano del D.C., presenta avance acumulado al Plan de Desarrollo de (883) acciones, de los cuales (491) corresponde a la vigencia 2020 y (348) en la vigencia 2021, así:
•	Enero: (20) visitas y (16) documentos técnicos, total (36) acciones.
•	Febrero: (16) documentos técnicos.
•	Marzo: (89) visitas y (15) documentos técnicos, total (104) acciones.
•	 Abril: (96) visitas y (20) documentos técnicos, total mes (116) acciones, 
•	 Mayo: (76) visitas y (50) documentos técnicos, total mes (26) acciones, acumulado (348) acciones
Vigencia 2020:
Se realizaron 491 actuaciones técnicas, correspondientes a las 374 visitas relacionadas con acciones de seguimiento y control a emisiones de ruido y 117 documentos técnicos."
</t>
  </si>
  <si>
    <t xml:space="preserve">"La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Mayo: Para el mes de Mayo se proyecta en informe de operación de la Red de Monitoreo de Ruido Ambiental de Bogotá (RMRAB), en el cual se relacionan las operaciones y mantenimientos realizados a las estaciones que se encuentran en operación actualmente."
</t>
  </si>
  <si>
    <t xml:space="preserve">"Para la vigencia del Proyecto de Inversión del año 2021 se han realizado dos mil setecientas seis (2.706) acciones de evaluación, control y seguimiento:
Quince (15) operativos de control.
Sesenta (60) visitas de evaluación a elementos mayores.
Un (01) documento técnico firmado.
Tres (03) cargues de información a la plataforma SIIPEV.
Dos mil seiscientas veintisiete (2.627) evaluaciones a solicitudes de elementos de publicidad exterior visual.  Lo anterior, dando un avance para el cuatrienio de 3.998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
</t>
  </si>
  <si>
    <t xml:space="preserve">"La Secretaría Distrital de Ambiente del 01 de enero al 31 de mayo de 2021 en ejercicio de su función sancionatoria acogió el 87.7% de los conceptos técnicos relacionados con el recurso ambiental aire, auditiva y visual y que recomiendan una actuación administrativa sancionatoria, como se relaciona a continuación: 
No de Conceptos Técnicos que recomiendan actuaciones administrativas sancionatorias: 122 Conceptos Técnicos.
No de Conceptos Técnicos atendidos jurídicamente: 107 Conceptos Técnicos acogidos
Avance  corte 31 mayo de 2021: 87.7%"
</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</si>
  <si>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publicó el informe mensual de mayo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y se realizó la instalación de los sensores en el marco de la consultoría para evaluación de sensores de bajo costo liderado por el grupo de CIMAB y SATAB.
Para el mes de junio se completo el análisis de datos y la redacción del informe mensual de mayo de 2021. Asimismo, el equipo de la RMCAB en el mes de junio completo la elaboración y publicó los informes trimestrales ene-abr 2021 y anual 2020. Adicionalmente se publicó el informe mensual de mayo.</t>
  </si>
  <si>
    <t>"En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t>
  </si>
  <si>
    <t>"Para la vigencia 2021, se han desarrollado 463 actuaciones técnicas que corresponde a un 51,85% respecto a lo programado, y a su vez, un avance del 20,2% durante el cuatrienio.
Este avance del 2021, se conforma de 357 (41 visitas efectivas con medición, 24 visitas efectivas sin medición en cumplimiento a actos administrativos, 175 visitas efectivas para cerrar el caso, 117 visitas no efectivas para reprogramar) y 106 actuaciones técnicas correspondientes a otros documentos (14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4 estudios de ruido, 57 oficios SUGA).</t>
  </si>
  <si>
    <t>"La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*Junio: Se termina la consolidación del informe semestral de operación de la Red de Monitoreo de Ruido Ambiental de Bogotá (RMRAB).</t>
  </si>
  <si>
    <t>"Para la vigencia del Proyecto de Inversión del año 2021 se han realizado tres mil quinientas cuatro (3.504) acciones de evaluación, control y seguimiento:
-	Dieciséis (16) operativos de control.
-	Setenta y cuatro (74) visitas de evaluación a elementos mayores.
-	Tres (03) documentos técnicos firmados.
-	Cuatro (04) cargues de información a la plataforma SIIPEV.
-	Tres mil cuatrocientas siete (3.407) evaluaciones a solicitudes de elementos de publicidad exterior visual.
Lo anterior, dando un avance para el cuatrienio de 4.796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
Para la vigencia del año 2020 y 2021 del Proyecto de Inversión se han realizado tres mil novecientas noventa y ocho (4.796) acciones de evaluación, control y seguimiento:
-	Setenta y un (71) operativos de control y seguimiento
-	Ciento setenta y un (171) visitas a elementos mayores
-	Seis (06) documentos técnicos
-	Cincuenta y cuatro (54) visitas IVC a elementos menores
-	Siete (07) cargues de información a la plataforma SIIPEV
-	Cuatro mil cuatrocientas ochenta y siete (4.487) evaluaciones a solicitudes de elementos de publicidad exterior visual.</t>
  </si>
  <si>
    <t xml:space="preserve">"La Secretaría Distrital de Ambiente del 01 de enero al 30 de junio de 2021 en ejercicio de su función sancionatoria acogió el 91.6% de los conceptos técnicos relacionados con el recurso ambiental aire, auditiva y visual y que recomiendan una actuación administrativa sancionatoria, como se relaciona a continuación: 
No de Conceptos Técnicos que recomiendan actuaciones administrativas sancionatorias: 192 Conceptos Técnicos.
No de Conceptos Técnicos atendidos jurídicamente: 176 Conceptos Técnicos acogidos."
</t>
  </si>
  <si>
    <t>3201013 - Documentos de lineamientos técnicos para mejorar la calidad ambiental de las áreas urbanas</t>
  </si>
  <si>
    <t>Valor correspondiente a la ejecución de OPS.</t>
  </si>
  <si>
    <t>No se ejecutaron recuros</t>
  </si>
  <si>
    <t xml:space="preserve">Realizar 8 informes de acciones de evaluación, control y seguimiento a fuentes fijas y fuentes móviles incluidos Centros de Diagnóstico Automotor que operan en el Distrito Capital. </t>
  </si>
  <si>
    <t>3201021 - Documentos de instrumentos técnicos de evaluación y seguimiento ambiental</t>
  </si>
  <si>
    <t>Realizar 4.700 acciones de evaluación, seguimiento y control de emisión de ruido a los establecimientos de comercio, industria y servicio ubicados en el perímetro urbano del DC.</t>
  </si>
  <si>
    <t>3201010 - Servicio de divulgación de la incorporación de consideraciones ambientales en la planificación sectorial</t>
  </si>
  <si>
    <t>100% de las acciones para operar, mantener y ampliar la red de monitoreo de ruido ambiental de Bogotá para la identificación del porcentaje de Población Urbana Afectada por Ruido (%PUAR) en el perímetro urbano del DC</t>
  </si>
  <si>
    <t>3201005 - Documentos de estudios técnicos para el fortalecimiento del desempeño ambiental de los sectores productivos</t>
  </si>
  <si>
    <t>Realizar 4.000 acciones técnico-jurídicas de evaluación, seguimiento y control sobre los elementos de publicidad exterior visual - PEV instalados en el perímetro urbano del D.C.</t>
  </si>
  <si>
    <t>Valor correspondiente a la ejecución de OPS. Y pago en la ejecución de contratos de Bienes y Servicios.</t>
  </si>
  <si>
    <t>III ACTIVIDADES SUIFT (PRESUPUESTO) VIGENCIA 2022</t>
  </si>
  <si>
    <t>PRESUPUESTO VIGENCIA SUIFP 2022</t>
  </si>
  <si>
    <t>PRESUPUESTO
OBLIGADO (GIRADO) 2022</t>
  </si>
  <si>
    <t>Estaciones de monitoreo con mantenimiento realizado</t>
  </si>
  <si>
    <t>Número</t>
  </si>
  <si>
    <t>Planes de Acción o Gestión Formulados.</t>
  </si>
  <si>
    <t>Informes elaborados para acompañar la toma de decisiones de autoridades ambientales</t>
  </si>
  <si>
    <t>Visitas realizadas a predios</t>
  </si>
  <si>
    <t>Sistemas de Información Diseñados, Actualizados o en Funcionamiento</t>
  </si>
  <si>
    <t>Informes de seguimiento realizados</t>
  </si>
  <si>
    <t>Porcentaje De Procesos Ejecutados</t>
  </si>
  <si>
    <t>En cumplimiento acumulativo de la meta para 2021 se han desarrollado 52 actuaciones técnicas así: 20 visitas (8 efectivas con medición, 6 efectivas cerrar caso, 2 no efectivas para reprogramar, 4 efectivas sin medición en cumplimiento a actos administrativos) y 32 actuaciones técnicas correspondientes a otros documentos (3 informes acciones populares para las localidades de Antonio Nariño, Bosa y Teusaquillo, 1 concepto técnico aclaratorio, 28 oficios SUGA para eventos de aglomeración de público en el Distrito Capital).  Avance Acumulado en la vigencia 5,82%</t>
  </si>
  <si>
    <t>"Para el primer trimestre de la vigencia 2021, se han realizado los mantenimientos mensuales a todos los equipos de todas las estaciones de monitoreo de la red. Para el mes de abril de la vigencia 2021, se han realizado los mantenimientos mensuales a todos los equipos de todas las estaciones de monitoreo de la red.
Para el mes de mayo de la vigencia 2021, se han realizado los mantenimientos mensuales a todos los equipos de todas las estaciones de monitoreo de la red. Sin embargo, se generaron retrasos significativos en la atención a los correctivos debido a la capacidad operativa limitada que tiene la Red actualmente por no contar con los vehículos necesarios para atender las 20 estaciones actuales.
Acumulado de la actividad del 36,16%."</t>
  </si>
  <si>
    <t>"En el cumplimiento de los dos (02) informes de gestión programados para la vigencia 2021; se ha alcanzado un avance acumulado en la ejecución de la meta del 0,65, equivalente a un 25,5%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•Enero 0,15, de avance en la ejecución de la meta.
•Febrero 0,11, de avance en la ejecución de la meta.
•Marzo 0,10, de avance en la ejecución de la meta.
•	Abril 0,15, de avance en la ejecución de la meta.
•	Mayo 0,14, de avance en la ejecución de la meta.</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</si>
  <si>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t>
  </si>
  <si>
    <t>Durante la vigencia 2021, se ha realizado la construcción y proyección del informe relacionado con la operación de la Red de Monitoreo de Ruido Ambiental de Bogotá (RMRAB) durante los meses de enero, febrero, marzo, abril y Mayo del 2021 en la cual se reportan principalmente la realización de las siguientes actividades: acreditación del procedimiento de monitoreo de ruido ambiental ante el IDEAM, actividades de soporte y mantenimiento realizado a las estaciones de monitoreo de ruido, espacialización de datos de emisión de ruido Colector - ESRI y se presenta el procedimiento interno de manejo de PQR´s a la Secretaría de Salud, la firma  de estudios previos para la renovación de los contratos del Edificio Ejecutivo Plaza, Edificio Marly 51, Edificio Restrepo y Hotel Morrison.</t>
  </si>
  <si>
    <t>"Para la vigencia del Proyecto de Inversión del año 2021 se han realizado dos mil setecientas seis (2.706) acciones de evaluación, control y seguimiento:
Quince (15) operativos de control.
Sesenta (60) visitas de evaluación a elementos mayores.
Un (01) documento técnico firmado.
Tres (03) cargues de información a la plataforma SIIPEV.
Dos mil seiscientas veintisiete (2.627) evaluaciones a solicitudes de elementos de publicidad exterior visual.  Lo anterior, dando un avance para el cuatrienio de 3.998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t>
  </si>
  <si>
    <t>"Para el primer trimestre de la vigencia 2021, se han realizado los mantenimientos mensuales a todos los equipos de todas las estaciones de monitoreo de la red. Para el mes de abril de la vigencia 2021, se han realizado los mantenimientos mensuales a todos los equipos de todas las estaciones de monitoreo de la red.
Para el mes de mayo de la vigencia 2021, se han realizado los mantenimientos mensuales a todos los equipos de todas las estaciones de monitoreo de la red. Sin embargo, se generaron retrasos significativos en la atención a los correctivos debido a la capacidad operativa limitada que tiene la Red actualmente por no contar con los vehículos necesarios para atender las 20 estaciones actuales.
junio, se han realizado los mantenimientos mensuales a todos los equipos de todas las estaciones de monitoreo de la red. Sin embargo, se evidenció una limitación en la operatividad, asociada a los 4 casos positivos de COVID-19 que se presentaron en el equipo de campo.</t>
  </si>
  <si>
    <t xml:space="preserve">"En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
</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</si>
  <si>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 así: 9 visitas efectivas con medición, 2 visitas efectivas en atención a actos administrativos, 33 visitas efectivas para cerrar el caso, 17 visitas no efectivas (reprogramar)
JUNIO 91 visitas así: 7 visitas efectivas con medición, 45 visitas efectivas para cerrar el caso, 39 visitas no efectivas para (reprogramar)."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</si>
</sst>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
    <numFmt numFmtId="180" formatCode="#,##0_ ;\-#,##0\ "/>
    <numFmt numFmtId="181" formatCode="&quot;$&quot;\ #,##0"/>
    <numFmt numFmtId="182" formatCode="&quot;$&quot;\ #,##0.00"/>
    <numFmt numFmtId="183" formatCode="#,##0.0"/>
    <numFmt numFmtId="184" formatCode="0.0"/>
    <numFmt numFmtId="185" formatCode="#,##0.0_ ;\-#,##0.0\ "/>
    <numFmt numFmtId="186" formatCode="_-* #,##0_-;\-* #,##0_-;_-* &quot;-&quot;??_-;_-@_-"/>
  </numFmts>
  <fonts count="8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sz val="11"/>
      <color indexed="8"/>
      <name val="Calibri"/>
      <family val="2"/>
      <scheme val="minor"/>
    </font>
    <font>
      <sz val="11"/>
      <color rgb="FF000000"/>
      <name val="Calibri"/>
      <family val="2"/>
      <scheme val="minor"/>
    </font>
    <font>
      <b/>
      <u/>
      <sz val="10"/>
      <name val="Arial"/>
      <family val="2"/>
    </font>
    <font>
      <b/>
      <u/>
      <sz val="12"/>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b/>
      <sz val="16"/>
      <name val="Arial"/>
      <family val="2"/>
    </font>
    <font>
      <b/>
      <sz val="18"/>
      <name val="Arial"/>
      <family val="2"/>
    </font>
    <font>
      <sz val="14"/>
      <color theme="1"/>
      <name val="Arial"/>
      <family val="2"/>
    </font>
    <font>
      <b/>
      <sz val="18"/>
      <color theme="1"/>
      <name val="Calibri"/>
      <family val="2"/>
      <scheme val="minor"/>
    </font>
    <font>
      <sz val="18"/>
      <color theme="1"/>
      <name val="Calibri"/>
      <family val="2"/>
      <scheme val="minor"/>
    </font>
    <font>
      <b/>
      <sz val="30"/>
      <name val="Arial"/>
      <family val="2"/>
    </font>
    <font>
      <b/>
      <sz val="30"/>
      <name val="Calibri"/>
      <family val="2"/>
      <scheme val="minor"/>
    </font>
    <font>
      <b/>
      <sz val="10"/>
      <color indexed="8"/>
      <name val="Arial"/>
      <family val="2"/>
    </font>
    <font>
      <b/>
      <sz val="10"/>
      <color theme="1"/>
      <name val="Calibri"/>
      <family val="2"/>
      <scheme val="minor"/>
    </font>
    <font>
      <sz val="20"/>
      <name val="Arial"/>
      <family val="2"/>
    </font>
    <font>
      <sz val="12"/>
      <color theme="1"/>
      <name val="Arial Narrow"/>
      <family val="2"/>
    </font>
    <font>
      <i/>
      <sz val="10"/>
      <name val="Arial"/>
      <family val="2"/>
    </font>
    <font>
      <sz val="8"/>
      <name val="Calibri"/>
      <family val="2"/>
      <scheme val="minor"/>
    </font>
    <font>
      <u/>
      <sz val="11"/>
      <color theme="10"/>
      <name val="Calibri"/>
      <family val="2"/>
      <scheme val="minor"/>
    </font>
    <font>
      <u/>
      <sz val="10"/>
      <name val="Arial"/>
      <family val="2"/>
    </font>
    <font>
      <b/>
      <sz val="12"/>
      <color theme="1"/>
      <name val="Arial"/>
      <family val="2"/>
    </font>
    <font>
      <sz val="10"/>
      <name val="Calibri"/>
      <family val="2"/>
      <scheme val="minor"/>
    </font>
    <font>
      <b/>
      <sz val="9"/>
      <color rgb="FF000000"/>
      <name val="Tahoma"/>
      <family val="2"/>
    </font>
    <font>
      <sz val="9"/>
      <color rgb="FF000000"/>
      <name val="Tahoma"/>
      <family val="2"/>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rgb="FFFFFF00"/>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870">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49" fontId="36" fillId="0" borderId="0" applyFill="0" applyBorder="0" applyProtection="0">
      <alignment horizontal="left" vertical="center"/>
    </xf>
    <xf numFmtId="0" fontId="37" fillId="0" borderId="0" applyNumberFormat="0" applyFill="0" applyBorder="0" applyProtection="0">
      <alignment horizontal="left" vertical="center"/>
    </xf>
    <xf numFmtId="0" fontId="37" fillId="0" borderId="0" applyNumberFormat="0" applyFill="0" applyBorder="0" applyProtection="0">
      <alignment horizontal="righ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4" fontId="36" fillId="0" borderId="0" applyFill="0" applyBorder="0" applyProtection="0">
      <alignment horizontal="right" vertical="center"/>
    </xf>
    <xf numFmtId="22" fontId="36" fillId="0" borderId="0" applyFill="0" applyBorder="0" applyProtection="0">
      <alignment horizontal="right" vertical="center"/>
    </xf>
    <xf numFmtId="4" fontId="36" fillId="0" borderId="0" applyFill="0" applyBorder="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0" fontId="35" fillId="5" borderId="0" applyNumberFormat="0" applyBorder="0" applyAlignment="0" applyProtection="0"/>
    <xf numFmtId="0" fontId="38" fillId="5" borderId="0" applyNumberFormat="0" applyBorder="0" applyAlignment="0" applyProtection="0"/>
    <xf numFmtId="177" fontId="36" fillId="0" borderId="0" applyFill="0" applyBorder="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0" fontId="37" fillId="2" borderId="0" applyNumberFormat="0" applyBorder="0" applyProtection="0">
      <alignment horizontal="center" vertical="center"/>
    </xf>
    <xf numFmtId="0" fontId="37" fillId="12" borderId="0" applyNumberFormat="0" applyBorder="0" applyProtection="0">
      <alignment horizontal="center" vertical="center" wrapText="1"/>
    </xf>
    <xf numFmtId="0" fontId="36" fillId="12" borderId="0" applyNumberFormat="0" applyBorder="0" applyProtection="0">
      <alignment horizontal="right" vertical="center" wrapText="1"/>
    </xf>
    <xf numFmtId="0" fontId="37" fillId="13" borderId="0" applyNumberFormat="0" applyBorder="0" applyProtection="0">
      <alignment horizontal="center" vertical="center"/>
    </xf>
    <xf numFmtId="0" fontId="37" fillId="14" borderId="0" applyNumberFormat="0" applyBorder="0" applyProtection="0">
      <alignment horizontal="center" vertical="center" wrapText="1"/>
    </xf>
    <xf numFmtId="0" fontId="37" fillId="14" borderId="0" applyNumberFormat="0" applyBorder="0" applyProtection="0">
      <alignment horizontal="righ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39"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3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1" fillId="9" borderId="0" applyNumberFormat="0" applyBorder="0" applyAlignment="0" applyProtection="0"/>
    <xf numFmtId="0" fontId="20" fillId="0" borderId="0"/>
    <xf numFmtId="0" fontId="4" fillId="0" borderId="0"/>
    <xf numFmtId="0" fontId="39" fillId="0" borderId="0"/>
    <xf numFmtId="0" fontId="33" fillId="0" borderId="0"/>
    <xf numFmtId="0" fontId="33" fillId="0" borderId="0"/>
    <xf numFmtId="0" fontId="39" fillId="0" borderId="0"/>
    <xf numFmtId="0" fontId="4" fillId="0" borderId="0"/>
    <xf numFmtId="0" fontId="20" fillId="0" borderId="0"/>
    <xf numFmtId="0" fontId="4" fillId="0" borderId="0"/>
    <xf numFmtId="0" fontId="39" fillId="0" borderId="0"/>
    <xf numFmtId="0" fontId="39" fillId="0" borderId="0"/>
    <xf numFmtId="0" fontId="34" fillId="0" borderId="0"/>
    <xf numFmtId="0" fontId="42" fillId="0" borderId="0"/>
    <xf numFmtId="0" fontId="4" fillId="0" borderId="0"/>
    <xf numFmtId="3" fontId="36" fillId="0" borderId="0" applyFill="0" applyBorder="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0" fontId="34" fillId="0" borderId="0"/>
    <xf numFmtId="0" fontId="77" fillId="0" borderId="0" applyNumberFormat="0" applyFill="0" applyBorder="0" applyAlignment="0" applyProtection="0"/>
    <xf numFmtId="164" fontId="20" fillId="0" borderId="0" applyFont="0" applyFill="0" applyBorder="0" applyAlignment="0" applyProtection="0"/>
  </cellStyleXfs>
  <cellXfs count="1046">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10" fontId="4" fillId="2" borderId="0" xfId="16" applyNumberFormat="1" applyFill="1" applyAlignment="1">
      <alignment vertic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7" fillId="0" borderId="0" xfId="0" applyFont="1" applyFill="1"/>
    <xf numFmtId="0" fontId="29" fillId="0" borderId="0" xfId="0" applyFont="1" applyFill="1"/>
    <xf numFmtId="0" fontId="22" fillId="0" borderId="0" xfId="0" applyFont="1" applyFill="1"/>
    <xf numFmtId="0" fontId="0" fillId="0" borderId="1" xfId="0" applyFill="1" applyBorder="1" applyAlignment="1">
      <alignment horizontal="center" vertical="center"/>
    </xf>
    <xf numFmtId="0" fontId="22"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43" fillId="15" borderId="0" xfId="0" applyFont="1" applyFill="1"/>
    <xf numFmtId="4" fontId="43" fillId="15" borderId="0" xfId="0" applyNumberFormat="1" applyFont="1" applyFill="1"/>
    <xf numFmtId="0" fontId="44" fillId="15" borderId="0" xfId="0" applyFont="1" applyFill="1"/>
    <xf numFmtId="0" fontId="23" fillId="15" borderId="0" xfId="0" applyFont="1" applyFill="1" applyProtection="1">
      <protection locked="0"/>
    </xf>
    <xf numFmtId="0" fontId="24" fillId="15" borderId="0" xfId="0" applyFont="1" applyFill="1" applyAlignment="1" applyProtection="1">
      <alignment horizontal="center"/>
      <protection locked="0"/>
    </xf>
    <xf numFmtId="0" fontId="44" fillId="16" borderId="1" xfId="0" applyFont="1" applyFill="1" applyBorder="1" applyAlignment="1">
      <alignment horizontal="center" vertical="center"/>
    </xf>
    <xf numFmtId="0" fontId="43" fillId="0" borderId="0" xfId="0" applyFont="1"/>
    <xf numFmtId="4" fontId="43" fillId="0" borderId="0" xfId="0" applyNumberFormat="1" applyFont="1"/>
    <xf numFmtId="178" fontId="5" fillId="0" borderId="0" xfId="0" applyNumberFormat="1" applyFont="1" applyAlignment="1">
      <alignment horizontal="center"/>
    </xf>
    <xf numFmtId="3" fontId="2" fillId="0" borderId="1" xfId="0" applyNumberFormat="1" applyFont="1" applyFill="1" applyBorder="1" applyAlignment="1">
      <alignment horizontal="center" vertical="center" wrapText="1"/>
    </xf>
    <xf numFmtId="10" fontId="3" fillId="2" borderId="0" xfId="16" applyNumberFormat="1" applyFont="1" applyFill="1" applyAlignment="1">
      <alignment vertical="center"/>
    </xf>
    <xf numFmtId="0" fontId="17" fillId="0" borderId="1" xfId="0" applyFont="1" applyFill="1" applyBorder="1" applyAlignment="1">
      <alignment horizontal="center" vertical="center"/>
    </xf>
    <xf numFmtId="3" fontId="18" fillId="0" borderId="1" xfId="10" applyNumberFormat="1" applyFont="1" applyFill="1" applyBorder="1" applyAlignment="1">
      <alignment horizontal="center" vertical="center" wrapText="1"/>
    </xf>
    <xf numFmtId="181" fontId="22" fillId="0" borderId="0" xfId="0" applyNumberFormat="1" applyFont="1" applyFill="1" applyAlignment="1">
      <alignment horizontal="center" vertical="center"/>
    </xf>
    <xf numFmtId="181" fontId="0" fillId="0" borderId="0" xfId="0" applyNumberFormat="1"/>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2" fillId="4" borderId="1" xfId="0" applyFont="1" applyFill="1" applyBorder="1" applyAlignment="1">
      <alignment horizontal="center" vertical="center"/>
    </xf>
    <xf numFmtId="0" fontId="0" fillId="0" borderId="0" xfId="0" applyAlignment="1">
      <alignment horizontal="center"/>
    </xf>
    <xf numFmtId="4" fontId="4"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17" borderId="4" xfId="16" applyFont="1" applyFill="1" applyBorder="1" applyAlignment="1">
      <alignment horizontal="center" vertical="center" textRotation="90" wrapText="1"/>
    </xf>
    <xf numFmtId="10" fontId="4" fillId="17" borderId="4" xfId="16" applyNumberFormat="1" applyFont="1" applyFill="1" applyBorder="1" applyAlignment="1">
      <alignment horizontal="center" vertical="center" wrapText="1"/>
    </xf>
    <xf numFmtId="0" fontId="43" fillId="15" borderId="0" xfId="0" applyFont="1" applyFill="1" applyAlignment="1">
      <alignment horizontal="center"/>
    </xf>
    <xf numFmtId="0" fontId="23" fillId="15" borderId="0" xfId="0" applyFont="1" applyFill="1" applyAlignment="1" applyProtection="1">
      <alignment horizontal="center"/>
      <protection locked="0"/>
    </xf>
    <xf numFmtId="0" fontId="55" fillId="18" borderId="18" xfId="0" applyFont="1" applyFill="1" applyBorder="1" applyAlignment="1">
      <alignment horizontal="center" vertical="center"/>
    </xf>
    <xf numFmtId="0" fontId="55" fillId="19" borderId="1" xfId="2867" applyFont="1" applyFill="1" applyBorder="1" applyAlignment="1">
      <alignment horizontal="center" vertical="center" wrapText="1"/>
    </xf>
    <xf numFmtId="0" fontId="55" fillId="19" borderId="11" xfId="2867" applyFont="1" applyFill="1" applyBorder="1" applyAlignment="1">
      <alignment horizontal="center" vertical="center" wrapText="1"/>
    </xf>
    <xf numFmtId="0" fontId="56"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57" xfId="0" applyBorder="1"/>
    <xf numFmtId="0" fontId="55" fillId="19" borderId="1" xfId="2867" applyFont="1" applyFill="1" applyBorder="1" applyAlignment="1">
      <alignment horizontal="center" vertical="top" wrapText="1"/>
    </xf>
    <xf numFmtId="0" fontId="0" fillId="0" borderId="12" xfId="0" applyBorder="1"/>
    <xf numFmtId="0" fontId="55" fillId="19" borderId="4" xfId="2867" applyFont="1" applyFill="1" applyBorder="1" applyAlignment="1">
      <alignment horizontal="center" vertical="center" wrapText="1"/>
    </xf>
    <xf numFmtId="0" fontId="55" fillId="19" borderId="12" xfId="2867" applyFont="1" applyFill="1" applyBorder="1" applyAlignment="1">
      <alignment horizontal="center" vertical="center" wrapText="1"/>
    </xf>
    <xf numFmtId="0" fontId="56" fillId="0" borderId="1" xfId="0" applyFont="1" applyBorder="1"/>
    <xf numFmtId="0" fontId="56" fillId="0" borderId="11" xfId="0" applyFont="1" applyBorder="1"/>
    <xf numFmtId="0" fontId="56"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3"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1" xfId="0" applyBorder="1" applyAlignment="1">
      <alignment horizontal="left"/>
    </xf>
    <xf numFmtId="41" fontId="0" fillId="0" borderId="1" xfId="0" applyNumberFormat="1" applyBorder="1"/>
    <xf numFmtId="0" fontId="56" fillId="0" borderId="0" xfId="0" applyFont="1" applyBorder="1"/>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55" fillId="18" borderId="17" xfId="0" applyFont="1" applyFill="1" applyBorder="1" applyAlignment="1">
      <alignment horizontal="center" vertical="center"/>
    </xf>
    <xf numFmtId="0" fontId="55" fillId="19" borderId="3" xfId="2867" applyFont="1" applyFill="1" applyBorder="1" applyAlignment="1">
      <alignment horizontal="center" vertical="center" wrapText="1"/>
    </xf>
    <xf numFmtId="0" fontId="55" fillId="19" borderId="3" xfId="2867" applyFont="1" applyFill="1" applyBorder="1" applyAlignment="1">
      <alignment horizontal="center" vertical="top" wrapText="1"/>
    </xf>
    <xf numFmtId="0" fontId="55" fillId="19" borderId="10" xfId="2867" applyFont="1" applyFill="1" applyBorder="1" applyAlignment="1">
      <alignment horizontal="center" vertical="center" wrapText="1"/>
    </xf>
    <xf numFmtId="0" fontId="55" fillId="18" borderId="20" xfId="0" applyFont="1" applyFill="1" applyBorder="1" applyAlignment="1">
      <alignment horizontal="center" vertical="center"/>
    </xf>
    <xf numFmtId="0" fontId="55" fillId="19" borderId="2" xfId="2867" applyFont="1" applyFill="1" applyBorder="1" applyAlignment="1">
      <alignment horizontal="center" vertical="center" wrapText="1"/>
    </xf>
    <xf numFmtId="0" fontId="55" fillId="19" borderId="19" xfId="2867"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56" fillId="0" borderId="1" xfId="0" applyFont="1" applyBorder="1" applyAlignment="1">
      <alignment horizontal="center"/>
    </xf>
    <xf numFmtId="0" fontId="56" fillId="0" borderId="4" xfId="0"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56" fillId="0" borderId="18" xfId="0" applyFont="1" applyBorder="1" applyAlignment="1">
      <alignment vertical="center"/>
    </xf>
    <xf numFmtId="42" fontId="0" fillId="0" borderId="1" xfId="2866" applyFont="1" applyBorder="1"/>
    <xf numFmtId="42" fontId="0" fillId="0" borderId="1" xfId="0" applyNumberFormat="1" applyFont="1" applyBorder="1"/>
    <xf numFmtId="0" fontId="0" fillId="0" borderId="1" xfId="0" applyFont="1" applyBorder="1"/>
    <xf numFmtId="42" fontId="20" fillId="0" borderId="1" xfId="2866" applyFont="1" applyBorder="1"/>
    <xf numFmtId="0" fontId="20" fillId="0" borderId="11" xfId="0" applyFont="1" applyBorder="1"/>
    <xf numFmtId="0" fontId="56" fillId="0" borderId="0" xfId="0" applyFont="1" applyBorder="1" applyAlignment="1">
      <alignment horizontal="center"/>
    </xf>
    <xf numFmtId="0" fontId="56" fillId="0" borderId="1" xfId="0" applyFont="1" applyBorder="1" applyAlignment="1">
      <alignment horizontal="center" wrapText="1"/>
    </xf>
    <xf numFmtId="0" fontId="53" fillId="17" borderId="3" xfId="0" applyFont="1" applyFill="1" applyBorder="1" applyAlignment="1">
      <alignment horizontal="center" vertical="center" wrapText="1"/>
    </xf>
    <xf numFmtId="0" fontId="53" fillId="17" borderId="2" xfId="0" applyFont="1" applyFill="1" applyBorder="1" applyAlignment="1">
      <alignment horizontal="center" vertical="center" wrapText="1"/>
    </xf>
    <xf numFmtId="0" fontId="56" fillId="0" borderId="17" xfId="0" applyFont="1" applyBorder="1"/>
    <xf numFmtId="0" fontId="56" fillId="0" borderId="3" xfId="0" applyFont="1" applyBorder="1"/>
    <xf numFmtId="0" fontId="56" fillId="0" borderId="3" xfId="0" applyFont="1" applyBorder="1" applyAlignment="1">
      <alignment horizontal="center"/>
    </xf>
    <xf numFmtId="0" fontId="56" fillId="0" borderId="10" xfId="0" applyFont="1" applyBorder="1"/>
    <xf numFmtId="0" fontId="0" fillId="0" borderId="1" xfId="0" applyBorder="1" applyAlignment="1">
      <alignment horizontal="center"/>
    </xf>
    <xf numFmtId="0" fontId="55" fillId="19" borderId="16" xfId="2867" applyFont="1" applyFill="1" applyBorder="1" applyAlignment="1">
      <alignment horizontal="center" vertical="center" wrapText="1"/>
    </xf>
    <xf numFmtId="0" fontId="55" fillId="19" borderId="17" xfId="2867" applyFont="1" applyFill="1" applyBorder="1" applyAlignment="1">
      <alignment horizontal="center" vertical="center" wrapText="1"/>
    </xf>
    <xf numFmtId="0" fontId="55" fillId="19" borderId="8" xfId="2867" applyFont="1" applyFill="1" applyBorder="1" applyAlignment="1">
      <alignment horizontal="center" vertical="center" wrapText="1"/>
    </xf>
    <xf numFmtId="4" fontId="43" fillId="15" borderId="0" xfId="0" applyNumberFormat="1" applyFont="1" applyFill="1" applyAlignment="1">
      <alignment horizontal="center" vertical="center"/>
    </xf>
    <xf numFmtId="0" fontId="43" fillId="15" borderId="0" xfId="0" applyFont="1" applyFill="1" applyAlignment="1">
      <alignment horizontal="center" vertical="center"/>
    </xf>
    <xf numFmtId="181" fontId="5" fillId="0" borderId="0" xfId="0" applyNumberFormat="1" applyFont="1" applyFill="1" applyAlignment="1">
      <alignment horizontal="center"/>
    </xf>
    <xf numFmtId="0" fontId="28" fillId="3" borderId="12" xfId="0" applyFont="1" applyFill="1" applyBorder="1" applyAlignment="1">
      <alignment horizontal="center" vertical="top" wrapText="1"/>
    </xf>
    <xf numFmtId="0" fontId="4" fillId="2" borderId="0" xfId="16" applyFill="1" applyAlignment="1">
      <alignment vertical="top"/>
    </xf>
    <xf numFmtId="41" fontId="0" fillId="0" borderId="2" xfId="0" applyNumberFormat="1" applyBorder="1"/>
    <xf numFmtId="0" fontId="0" fillId="0" borderId="2" xfId="0" applyBorder="1" applyAlignment="1">
      <alignment horizontal="left"/>
    </xf>
    <xf numFmtId="0" fontId="0" fillId="0" borderId="1" xfId="0" applyFill="1" applyBorder="1" applyAlignment="1">
      <alignment vertical="center"/>
    </xf>
    <xf numFmtId="0" fontId="0" fillId="0" borderId="2" xfId="0" applyFill="1" applyBorder="1" applyAlignment="1">
      <alignment horizontal="center" vertical="center"/>
    </xf>
    <xf numFmtId="0" fontId="56" fillId="0" borderId="18" xfId="0" applyFont="1" applyFill="1" applyBorder="1" applyAlignment="1">
      <alignment vertical="center"/>
    </xf>
    <xf numFmtId="42" fontId="20" fillId="0" borderId="1" xfId="2866" applyFont="1" applyFill="1" applyBorder="1" applyAlignment="1">
      <alignment vertical="center"/>
    </xf>
    <xf numFmtId="42" fontId="0" fillId="0" borderId="1" xfId="0" applyNumberFormat="1" applyFont="1" applyFill="1" applyBorder="1" applyAlignment="1">
      <alignment vertical="center"/>
    </xf>
    <xf numFmtId="42" fontId="0" fillId="0" borderId="1" xfId="2866" applyFont="1" applyFill="1" applyBorder="1" applyAlignment="1">
      <alignment vertical="center"/>
    </xf>
    <xf numFmtId="0" fontId="56" fillId="0" borderId="18" xfId="0" applyFont="1" applyFill="1" applyBorder="1"/>
    <xf numFmtId="0" fontId="56" fillId="0" borderId="1" xfId="0" applyFont="1" applyFill="1" applyBorder="1" applyAlignment="1">
      <alignment horizontal="center" wrapText="1"/>
    </xf>
    <xf numFmtId="0" fontId="56" fillId="0" borderId="1" xfId="0" applyFont="1" applyFill="1" applyBorder="1"/>
    <xf numFmtId="0" fontId="56" fillId="0" borderId="11" xfId="0" applyFont="1" applyFill="1" applyBorder="1"/>
    <xf numFmtId="0" fontId="56" fillId="0" borderId="1" xfId="0" applyFont="1" applyFill="1" applyBorder="1" applyAlignment="1">
      <alignment horizontal="center"/>
    </xf>
    <xf numFmtId="0" fontId="0" fillId="0" borderId="0" xfId="0" applyAlignment="1">
      <alignment horizontal="center"/>
    </xf>
    <xf numFmtId="0" fontId="10" fillId="0" borderId="29" xfId="0" applyFont="1" applyFill="1" applyBorder="1" applyAlignment="1">
      <alignment horizontal="center" vertical="center" wrapText="1"/>
    </xf>
    <xf numFmtId="0" fontId="0" fillId="0" borderId="0" xfId="0" applyAlignment="1">
      <alignment horizontal="center"/>
    </xf>
    <xf numFmtId="0" fontId="4" fillId="0" borderId="1"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43" fillId="0" borderId="1" xfId="0" applyFont="1" applyFill="1"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0" fillId="0" borderId="2" xfId="0" applyBorder="1" applyAlignment="1">
      <alignment horizontal="center" vertical="center"/>
    </xf>
    <xf numFmtId="182" fontId="17" fillId="0" borderId="1" xfId="9" applyNumberFormat="1" applyFont="1" applyFill="1" applyBorder="1" applyAlignment="1">
      <alignment horizontal="center" vertical="center"/>
    </xf>
    <xf numFmtId="182" fontId="17" fillId="0" borderId="1" xfId="0" applyNumberFormat="1" applyFont="1" applyFill="1" applyBorder="1" applyAlignment="1">
      <alignment horizontal="center" vertical="center"/>
    </xf>
    <xf numFmtId="182" fontId="0" fillId="0" borderId="0" xfId="0" applyNumberFormat="1" applyFill="1" applyAlignment="1">
      <alignment horizontal="center" vertical="center"/>
    </xf>
    <xf numFmtId="182" fontId="22" fillId="0" borderId="0" xfId="0" applyNumberFormat="1" applyFont="1" applyFill="1" applyAlignment="1">
      <alignment horizontal="center" vertical="center"/>
    </xf>
    <xf numFmtId="182" fontId="0" fillId="0" borderId="0" xfId="0" applyNumberFormat="1" applyFont="1" applyFill="1" applyAlignment="1">
      <alignment horizontal="center" vertical="center"/>
    </xf>
    <xf numFmtId="1" fontId="17" fillId="0" borderId="1" xfId="0" applyNumberFormat="1" applyFont="1" applyFill="1" applyBorder="1" applyAlignment="1">
      <alignment horizontal="center" vertical="center"/>
    </xf>
    <xf numFmtId="182" fontId="0" fillId="0" borderId="0" xfId="0" applyNumberFormat="1"/>
    <xf numFmtId="182" fontId="22" fillId="0" borderId="0" xfId="0" applyNumberFormat="1" applyFont="1"/>
    <xf numFmtId="0" fontId="0" fillId="0" borderId="0" xfId="0" applyAlignment="1"/>
    <xf numFmtId="4" fontId="43" fillId="15" borderId="0" xfId="0" applyNumberFormat="1" applyFont="1" applyFill="1" applyAlignment="1">
      <alignment horizontal="center"/>
    </xf>
    <xf numFmtId="0" fontId="43" fillId="0" borderId="0" xfId="0" applyFont="1" applyAlignment="1">
      <alignment horizontal="center"/>
    </xf>
    <xf numFmtId="4" fontId="43" fillId="0" borderId="0" xfId="0" applyNumberFormat="1" applyFont="1" applyAlignment="1">
      <alignment horizontal="center"/>
    </xf>
    <xf numFmtId="182" fontId="0" fillId="0" borderId="0" xfId="0" applyNumberFormat="1" applyAlignment="1">
      <alignment horizontal="center"/>
    </xf>
    <xf numFmtId="0" fontId="0" fillId="0" borderId="3" xfId="0" applyFill="1" applyBorder="1"/>
    <xf numFmtId="41" fontId="0" fillId="0" borderId="3" xfId="0" applyNumberFormat="1" applyFill="1" applyBorder="1"/>
    <xf numFmtId="0" fontId="0" fillId="0" borderId="1" xfId="0" applyFill="1" applyBorder="1"/>
    <xf numFmtId="41" fontId="0" fillId="0" borderId="1" xfId="0" applyNumberFormat="1" applyFill="1" applyBorder="1"/>
    <xf numFmtId="0" fontId="0" fillId="0" borderId="4" xfId="0" applyFill="1" applyBorder="1"/>
    <xf numFmtId="41" fontId="0" fillId="0" borderId="4" xfId="0" applyNumberFormat="1" applyFill="1" applyBorder="1"/>
    <xf numFmtId="41" fontId="0" fillId="0" borderId="2" xfId="0" applyNumberFormat="1" applyFill="1"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0" fillId="0" borderId="11" xfId="0" applyFill="1" applyBorder="1"/>
    <xf numFmtId="0" fontId="0" fillId="0" borderId="26" xfId="0" applyFill="1" applyBorder="1" applyAlignment="1">
      <alignment horizontal="center" vertical="center" wrapText="1"/>
    </xf>
    <xf numFmtId="0" fontId="56" fillId="20" borderId="57"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2" fontId="0" fillId="0" borderId="1" xfId="24" applyNumberFormat="1" applyFont="1" applyFill="1" applyBorder="1"/>
    <xf numFmtId="2" fontId="0" fillId="0" borderId="1" xfId="0" applyNumberFormat="1" applyFill="1" applyBorder="1"/>
    <xf numFmtId="42" fontId="0" fillId="0" borderId="0" xfId="0" applyNumberFormat="1"/>
    <xf numFmtId="0" fontId="56" fillId="0" borderId="18" xfId="0" applyFont="1" applyFill="1" applyBorder="1" applyAlignment="1">
      <alignment horizontal="left" vertical="center"/>
    </xf>
    <xf numFmtId="42" fontId="0" fillId="20" borderId="4" xfId="0" applyNumberFormat="1" applyFont="1" applyFill="1" applyBorder="1"/>
    <xf numFmtId="0" fontId="56" fillId="20" borderId="12" xfId="0" applyFont="1" applyFill="1" applyBorder="1"/>
    <xf numFmtId="0" fontId="0" fillId="0" borderId="1" xfId="0" applyFont="1" applyFill="1" applyBorder="1" applyAlignment="1">
      <alignment vertical="center"/>
    </xf>
    <xf numFmtId="0" fontId="0" fillId="20" borderId="1" xfId="0" applyFont="1" applyFill="1" applyBorder="1" applyAlignment="1">
      <alignment vertical="center"/>
    </xf>
    <xf numFmtId="42" fontId="0" fillId="20" borderId="1" xfId="0" applyNumberFormat="1" applyFont="1" applyFill="1" applyBorder="1"/>
    <xf numFmtId="9" fontId="56" fillId="0" borderId="1" xfId="24" applyFont="1" applyFill="1" applyBorder="1"/>
    <xf numFmtId="0" fontId="56" fillId="20" borderId="4" xfId="0" applyFont="1" applyFill="1" applyBorder="1" applyAlignment="1">
      <alignment horizontal="center" wrapText="1"/>
    </xf>
    <xf numFmtId="0" fontId="56" fillId="20" borderId="4" xfId="0" applyFont="1" applyFill="1" applyBorder="1"/>
    <xf numFmtId="9" fontId="56" fillId="20" borderId="4" xfId="24" applyFont="1" applyFill="1" applyBorder="1"/>
    <xf numFmtId="2" fontId="56" fillId="0" borderId="1" xfId="0" applyNumberFormat="1" applyFont="1" applyFill="1" applyBorder="1"/>
    <xf numFmtId="0" fontId="56" fillId="20" borderId="4" xfId="0" applyFont="1" applyFill="1" applyBorder="1" applyAlignment="1">
      <alignment horizontal="center"/>
    </xf>
    <xf numFmtId="9" fontId="56" fillId="0" borderId="4" xfId="24" applyFont="1" applyBorder="1"/>
    <xf numFmtId="0" fontId="0" fillId="0" borderId="11" xfId="0" applyFill="1" applyBorder="1" applyAlignment="1">
      <alignment vertical="center"/>
    </xf>
    <xf numFmtId="0" fontId="0" fillId="0" borderId="26" xfId="0" applyBorder="1" applyAlignment="1">
      <alignment horizontal="center" vertical="center"/>
    </xf>
    <xf numFmtId="0" fontId="56" fillId="0" borderId="0" xfId="0" applyFont="1" applyFill="1" applyBorder="1"/>
    <xf numFmtId="0" fontId="0" fillId="0" borderId="0" xfId="0" applyFill="1" applyBorder="1" applyAlignment="1">
      <alignment horizontal="center" vertical="center" wrapText="1"/>
    </xf>
    <xf numFmtId="0" fontId="0" fillId="0" borderId="0" xfId="0" applyFill="1" applyBorder="1"/>
    <xf numFmtId="9" fontId="0" fillId="0" borderId="0" xfId="24" applyFont="1" applyFill="1" applyBorder="1"/>
    <xf numFmtId="0" fontId="20" fillId="0" borderId="11" xfId="0" applyFont="1" applyFill="1" applyBorder="1" applyAlignment="1">
      <alignment vertical="center"/>
    </xf>
    <xf numFmtId="0" fontId="0" fillId="0" borderId="0" xfId="0" applyFill="1" applyAlignment="1"/>
    <xf numFmtId="0" fontId="0" fillId="0" borderId="11" xfId="0" applyFont="1" applyFill="1" applyBorder="1" applyAlignment="1">
      <alignment vertical="center"/>
    </xf>
    <xf numFmtId="0" fontId="56" fillId="0" borderId="40" xfId="0" applyFont="1" applyBorder="1" applyAlignment="1"/>
    <xf numFmtId="42" fontId="0" fillId="0" borderId="1" xfId="0" applyNumberFormat="1" applyFont="1" applyBorder="1" applyAlignment="1"/>
    <xf numFmtId="42" fontId="0" fillId="0" borderId="1" xfId="2866" applyFont="1" applyBorder="1" applyAlignment="1"/>
    <xf numFmtId="0" fontId="0" fillId="0" borderId="1" xfId="0" applyFont="1" applyBorder="1" applyAlignment="1"/>
    <xf numFmtId="0" fontId="56" fillId="0" borderId="18" xfId="0" applyFont="1" applyBorder="1" applyAlignment="1"/>
    <xf numFmtId="42" fontId="0" fillId="0" borderId="0" xfId="0" applyNumberFormat="1" applyFill="1" applyAlignment="1"/>
    <xf numFmtId="42" fontId="20" fillId="0" borderId="5" xfId="2866" applyFont="1" applyBorder="1" applyAlignment="1"/>
    <xf numFmtId="0" fontId="20" fillId="0" borderId="21" xfId="0" applyFont="1" applyBorder="1" applyAlignment="1"/>
    <xf numFmtId="42" fontId="0" fillId="0" borderId="0" xfId="0" applyNumberFormat="1" applyAlignment="1"/>
    <xf numFmtId="181" fontId="0" fillId="0" borderId="1" xfId="0" applyNumberFormat="1" applyBorder="1"/>
    <xf numFmtId="181" fontId="0" fillId="0" borderId="3" xfId="0" applyNumberFormat="1" applyBorder="1"/>
    <xf numFmtId="181" fontId="0" fillId="0" borderId="4" xfId="0" applyNumberFormat="1" applyBorder="1"/>
    <xf numFmtId="41" fontId="0" fillId="0" borderId="16" xfId="0" applyNumberFormat="1" applyFill="1" applyBorder="1"/>
    <xf numFmtId="41" fontId="0" fillId="0" borderId="59" xfId="2865" applyFont="1" applyFill="1" applyBorder="1"/>
    <xf numFmtId="41" fontId="0" fillId="0" borderId="8" xfId="0" applyNumberFormat="1" applyFill="1" applyBorder="1"/>
    <xf numFmtId="41" fontId="0" fillId="0" borderId="61" xfId="2865" applyFont="1" applyFill="1" applyBorder="1"/>
    <xf numFmtId="41" fontId="0" fillId="0" borderId="62" xfId="0" applyNumberFormat="1" applyFill="1" applyBorder="1"/>
    <xf numFmtId="41" fontId="0" fillId="0" borderId="63" xfId="2865" applyFont="1" applyFill="1" applyBorder="1"/>
    <xf numFmtId="0" fontId="0" fillId="0" borderId="37" xfId="0" applyBorder="1"/>
    <xf numFmtId="0" fontId="0" fillId="0" borderId="7" xfId="0" applyBorder="1"/>
    <xf numFmtId="0" fontId="0" fillId="0" borderId="43" xfId="0" applyBorder="1"/>
    <xf numFmtId="2" fontId="0" fillId="0" borderId="0" xfId="0" applyNumberFormat="1" applyFill="1" applyAlignment="1">
      <alignment horizontal="center"/>
    </xf>
    <xf numFmtId="2" fontId="0" fillId="0" borderId="0" xfId="0" applyNumberFormat="1" applyAlignment="1">
      <alignment horizontal="center"/>
    </xf>
    <xf numFmtId="0" fontId="56" fillId="0" borderId="57" xfId="0" applyFont="1" applyFill="1" applyBorder="1"/>
    <xf numFmtId="0" fontId="0" fillId="0" borderId="4" xfId="0" applyFill="1" applyBorder="1" applyAlignment="1">
      <alignment horizontal="center"/>
    </xf>
    <xf numFmtId="0" fontId="0" fillId="0" borderId="12" xfId="0" applyFill="1" applyBorder="1"/>
    <xf numFmtId="0" fontId="0" fillId="0" borderId="4" xfId="0" applyBorder="1" applyAlignment="1">
      <alignment horizontal="center" vertical="center"/>
    </xf>
    <xf numFmtId="0" fontId="0" fillId="0" borderId="4" xfId="0" applyBorder="1" applyAlignment="1">
      <alignment horizontal="center"/>
    </xf>
    <xf numFmtId="9" fontId="0" fillId="0" borderId="1" xfId="21" applyFont="1" applyBorder="1"/>
    <xf numFmtId="9" fontId="0" fillId="0" borderId="4" xfId="21" applyFont="1" applyBorder="1"/>
    <xf numFmtId="0" fontId="56" fillId="20" borderId="18" xfId="0" applyFont="1" applyFill="1" applyBorder="1"/>
    <xf numFmtId="0" fontId="56" fillId="0" borderId="0" xfId="0" applyFont="1" applyFill="1" applyBorder="1" applyAlignment="1">
      <alignment horizontal="center" vertical="top" wrapText="1"/>
    </xf>
    <xf numFmtId="42" fontId="0" fillId="0" borderId="0" xfId="0" applyNumberFormat="1" applyFont="1" applyFill="1" applyBorder="1"/>
    <xf numFmtId="0" fontId="0" fillId="0" borderId="0" xfId="0" applyFont="1" applyFill="1" applyBorder="1" applyAlignment="1">
      <alignment vertical="center"/>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57" xfId="0" applyFill="1" applyBorder="1"/>
    <xf numFmtId="0" fontId="0" fillId="20" borderId="0" xfId="0" applyFill="1" applyAlignment="1">
      <alignment horizontal="center" vertical="center"/>
    </xf>
    <xf numFmtId="42" fontId="0" fillId="0" borderId="4" xfId="0" applyNumberFormat="1" applyFont="1" applyFill="1" applyBorder="1"/>
    <xf numFmtId="0" fontId="56" fillId="0" borderId="12" xfId="0" applyFont="1" applyFill="1" applyBorder="1"/>
    <xf numFmtId="42" fontId="0" fillId="0" borderId="0" xfId="0" applyNumberFormat="1" applyFill="1"/>
    <xf numFmtId="0" fontId="55" fillId="19" borderId="49" xfId="2867" applyFont="1" applyFill="1" applyBorder="1" applyAlignment="1">
      <alignment horizontal="center" vertical="center" wrapText="1"/>
    </xf>
    <xf numFmtId="0" fontId="55" fillId="19" borderId="55" xfId="2867" applyFont="1" applyFill="1" applyBorder="1" applyAlignment="1">
      <alignment horizontal="center" vertical="center" wrapText="1"/>
    </xf>
    <xf numFmtId="0" fontId="0" fillId="0" borderId="11" xfId="0" applyFont="1" applyBorder="1" applyAlignment="1"/>
    <xf numFmtId="0" fontId="0" fillId="0" borderId="12" xfId="0" applyFont="1" applyFill="1" applyBorder="1" applyAlignment="1">
      <alignment vertical="center"/>
    </xf>
    <xf numFmtId="0" fontId="0" fillId="0" borderId="11" xfId="0" applyFont="1" applyBorder="1"/>
    <xf numFmtId="0" fontId="56" fillId="0" borderId="0" xfId="0" applyFont="1" applyFill="1" applyBorder="1" applyAlignment="1">
      <alignment horizontal="center" vertical="center"/>
    </xf>
    <xf numFmtId="0" fontId="56" fillId="0" borderId="0" xfId="0" applyFont="1" applyFill="1" applyBorder="1" applyAlignment="1">
      <alignment horizontal="center"/>
    </xf>
    <xf numFmtId="9" fontId="56" fillId="0" borderId="0" xfId="24" applyFont="1" applyFill="1" applyBorder="1"/>
    <xf numFmtId="0" fontId="56" fillId="0" borderId="4" xfId="0"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56" fillId="20" borderId="40" xfId="0" applyFont="1" applyFill="1" applyBorder="1" applyAlignment="1"/>
    <xf numFmtId="42" fontId="20" fillId="20" borderId="5" xfId="2866" applyFont="1" applyFill="1" applyBorder="1" applyAlignment="1"/>
    <xf numFmtId="0" fontId="20" fillId="20" borderId="21" xfId="0" applyFont="1" applyFill="1" applyBorder="1" applyAlignment="1"/>
    <xf numFmtId="42" fontId="0" fillId="20" borderId="1" xfId="0" applyNumberFormat="1" applyFont="1" applyFill="1" applyBorder="1" applyAlignment="1"/>
    <xf numFmtId="42" fontId="0" fillId="20" borderId="1" xfId="2866" applyFont="1" applyFill="1" applyBorder="1" applyAlignment="1"/>
    <xf numFmtId="0" fontId="0" fillId="20" borderId="11" xfId="0" applyFont="1" applyFill="1" applyBorder="1" applyAlignment="1"/>
    <xf numFmtId="0" fontId="56" fillId="20" borderId="1" xfId="0" applyFont="1" applyFill="1" applyBorder="1" applyAlignment="1">
      <alignment horizontal="center" wrapText="1"/>
    </xf>
    <xf numFmtId="0" fontId="56" fillId="20" borderId="1" xfId="0" applyFont="1" applyFill="1" applyBorder="1"/>
    <xf numFmtId="0" fontId="56" fillId="20" borderId="11" xfId="0" applyFont="1" applyFill="1" applyBorder="1"/>
    <xf numFmtId="0" fontId="56" fillId="0" borderId="4" xfId="0" applyFont="1" applyBorder="1" applyAlignment="1">
      <alignment horizontal="center" wrapText="1"/>
    </xf>
    <xf numFmtId="0" fontId="56" fillId="20" borderId="1" xfId="0" applyFont="1" applyFill="1" applyBorder="1" applyAlignment="1">
      <alignment horizontal="center"/>
    </xf>
    <xf numFmtId="0" fontId="56" fillId="20" borderId="18" xfId="0" applyFont="1" applyFill="1" applyBorder="1" applyAlignment="1"/>
    <xf numFmtId="10" fontId="56" fillId="0" borderId="1" xfId="21" applyNumberFormat="1" applyFont="1" applyFill="1" applyBorder="1"/>
    <xf numFmtId="10" fontId="56" fillId="20" borderId="1" xfId="21" applyNumberFormat="1" applyFont="1" applyFill="1" applyBorder="1"/>
    <xf numFmtId="10" fontId="56" fillId="0" borderId="4" xfId="21" applyNumberFormat="1" applyFont="1" applyFill="1" applyBorder="1"/>
    <xf numFmtId="10" fontId="56" fillId="0" borderId="1" xfId="21" applyNumberFormat="1" applyFont="1" applyBorder="1"/>
    <xf numFmtId="10" fontId="56" fillId="0" borderId="4" xfId="21" applyNumberFormat="1" applyFont="1" applyBorder="1"/>
    <xf numFmtId="43" fontId="58" fillId="0" borderId="0" xfId="0" applyNumberFormat="1" applyFont="1" applyFill="1" applyAlignment="1"/>
    <xf numFmtId="181" fontId="0" fillId="0" borderId="0" xfId="0" applyNumberFormat="1" applyFont="1" applyFill="1" applyAlignment="1">
      <alignment horizontal="center" vertical="center"/>
    </xf>
    <xf numFmtId="41" fontId="0" fillId="0" borderId="0" xfId="0" applyNumberFormat="1" applyFill="1" applyAlignment="1">
      <alignment horizontal="center"/>
    </xf>
    <xf numFmtId="3" fontId="60" fillId="0" borderId="0" xfId="0" applyNumberFormat="1" applyFont="1"/>
    <xf numFmtId="182"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3" fontId="4" fillId="0" borderId="1" xfId="0" applyNumberFormat="1" applyFont="1" applyFill="1" applyBorder="1" applyAlignment="1">
      <alignment horizontal="center" vertical="center" wrapText="1"/>
    </xf>
    <xf numFmtId="43" fontId="5" fillId="0" borderId="0" xfId="0" applyNumberFormat="1" applyFont="1" applyFill="1" applyAlignment="1">
      <alignment horizontal="center"/>
    </xf>
    <xf numFmtId="182" fontId="17" fillId="0" borderId="0" xfId="9" applyNumberFormat="1" applyFont="1" applyFill="1" applyBorder="1" applyAlignment="1">
      <alignment horizontal="center" vertical="center"/>
    </xf>
    <xf numFmtId="0" fontId="5" fillId="0" borderId="0" xfId="0" applyFont="1" applyFill="1" applyBorder="1" applyAlignment="1">
      <alignment horizontal="center"/>
    </xf>
    <xf numFmtId="169" fontId="5" fillId="0" borderId="0" xfId="3" applyFont="1" applyFill="1" applyBorder="1" applyAlignment="1">
      <alignment horizontal="center"/>
    </xf>
    <xf numFmtId="182" fontId="17"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182" fontId="62" fillId="0" borderId="1" xfId="9" applyNumberFormat="1" applyFont="1" applyFill="1" applyBorder="1" applyAlignment="1">
      <alignment horizontal="center" vertical="center"/>
    </xf>
    <xf numFmtId="0" fontId="0" fillId="0" borderId="0" xfId="0" applyAlignment="1">
      <alignment horizontal="center"/>
    </xf>
    <xf numFmtId="181" fontId="62" fillId="0" borderId="1" xfId="9" applyNumberFormat="1" applyFont="1" applyFill="1" applyBorder="1" applyAlignment="1">
      <alignment horizontal="center" vertical="center"/>
    </xf>
    <xf numFmtId="0" fontId="62" fillId="0" borderId="1" xfId="0" applyFont="1" applyFill="1" applyBorder="1" applyAlignment="1">
      <alignment horizontal="center" vertical="center"/>
    </xf>
    <xf numFmtId="0" fontId="10" fillId="0" borderId="29" xfId="0" applyFont="1" applyFill="1" applyBorder="1" applyAlignment="1">
      <alignment horizontal="left"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6"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45"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0" fontId="57" fillId="0" borderId="0" xfId="0" applyFont="1" applyFill="1" applyBorder="1" applyAlignment="1">
      <alignment vertical="top" wrapText="1"/>
    </xf>
    <xf numFmtId="0" fontId="26" fillId="0" borderId="0" xfId="0" applyFont="1" applyFill="1" applyBorder="1" applyAlignment="1">
      <alignment horizontal="center" vertical="center" wrapText="1"/>
    </xf>
    <xf numFmtId="0" fontId="46" fillId="0" borderId="0" xfId="0" applyFont="1" applyFill="1" applyBorder="1" applyAlignment="1">
      <alignment horizontal="left" vertical="top" wrapText="1"/>
    </xf>
    <xf numFmtId="0" fontId="46" fillId="0" borderId="0" xfId="0" applyFont="1" applyFill="1" applyBorder="1" applyAlignment="1">
      <alignment horizontal="center" vertical="center" wrapText="1"/>
    </xf>
    <xf numFmtId="183" fontId="61" fillId="0" borderId="0" xfId="0" applyNumberFormat="1" applyFont="1" applyFill="1" applyBorder="1" applyAlignment="1">
      <alignment horizontal="center" vertical="center" wrapText="1"/>
    </xf>
    <xf numFmtId="2" fontId="59" fillId="0" borderId="0" xfId="0" applyNumberFormat="1" applyFont="1" applyFill="1" applyBorder="1" applyAlignment="1">
      <alignment horizontal="center" vertical="center"/>
    </xf>
    <xf numFmtId="9" fontId="63" fillId="0" borderId="0" xfId="21" applyFont="1" applyFill="1" applyBorder="1" applyAlignment="1">
      <alignment horizontal="center" vertical="center"/>
    </xf>
    <xf numFmtId="10" fontId="63" fillId="0" borderId="0" xfId="21" applyNumberFormat="1" applyFont="1" applyFill="1" applyBorder="1" applyAlignment="1">
      <alignment horizontal="center" vertical="center" wrapText="1"/>
    </xf>
    <xf numFmtId="10" fontId="67" fillId="0" borderId="0" xfId="21" applyNumberFormat="1"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42" fontId="61" fillId="0" borderId="1" xfId="2866" applyFont="1" applyFill="1" applyBorder="1" applyAlignment="1">
      <alignment horizontal="center" vertical="center" wrapText="1"/>
    </xf>
    <xf numFmtId="1" fontId="62" fillId="0" borderId="1" xfId="0" applyNumberFormat="1" applyFont="1" applyFill="1" applyBorder="1" applyAlignment="1">
      <alignment horizontal="center" vertical="center"/>
    </xf>
    <xf numFmtId="183" fontId="61" fillId="0" borderId="1" xfId="10" applyNumberFormat="1" applyFont="1" applyFill="1" applyBorder="1" applyAlignment="1">
      <alignment horizontal="center" vertical="center" wrapText="1"/>
    </xf>
    <xf numFmtId="181" fontId="61" fillId="0" borderId="1" xfId="0" applyNumberFormat="1" applyFont="1" applyFill="1" applyBorder="1" applyAlignment="1">
      <alignment horizontal="center" vertical="center"/>
    </xf>
    <xf numFmtId="181" fontId="61" fillId="0" borderId="1" xfId="9" applyNumberFormat="1" applyFont="1" applyFill="1" applyBorder="1" applyAlignment="1">
      <alignment horizontal="center" vertical="center"/>
    </xf>
    <xf numFmtId="181" fontId="61" fillId="0" borderId="1" xfId="2866" applyNumberFormat="1" applyFont="1" applyFill="1" applyBorder="1" applyAlignment="1">
      <alignment horizontal="center" vertical="center" wrapText="1"/>
    </xf>
    <xf numFmtId="169" fontId="61" fillId="0" borderId="1" xfId="3" applyNumberFormat="1" applyFont="1" applyFill="1" applyBorder="1" applyAlignment="1">
      <alignment horizontal="center" vertical="center"/>
    </xf>
    <xf numFmtId="1" fontId="61" fillId="0" borderId="1" xfId="2866" applyNumberFormat="1"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57" xfId="0" applyFont="1" applyFill="1" applyBorder="1" applyAlignment="1">
      <alignment horizontal="center" vertical="center" wrapText="1"/>
    </xf>
    <xf numFmtId="0" fontId="4" fillId="0" borderId="1" xfId="0" applyFont="1" applyBorder="1" applyAlignment="1">
      <alignment horizontal="center" vertical="center"/>
    </xf>
    <xf numFmtId="3" fontId="4" fillId="0" borderId="1" xfId="24" applyNumberFormat="1" applyFont="1" applyFill="1" applyBorder="1" applyAlignment="1">
      <alignment horizontal="center" vertical="center"/>
    </xf>
    <xf numFmtId="9" fontId="4" fillId="0" borderId="1" xfId="24" applyFont="1" applyFill="1" applyBorder="1" applyAlignment="1">
      <alignment horizontal="center" vertical="center"/>
    </xf>
    <xf numFmtId="4" fontId="4" fillId="0" borderId="1" xfId="24" applyNumberFormat="1" applyFont="1" applyFill="1" applyBorder="1" applyAlignment="1">
      <alignment horizontal="center" vertical="center"/>
    </xf>
    <xf numFmtId="2" fontId="4" fillId="0" borderId="1" xfId="24" applyNumberFormat="1" applyFont="1" applyFill="1" applyBorder="1" applyAlignment="1">
      <alignment horizontal="center" vertical="center"/>
    </xf>
    <xf numFmtId="1" fontId="4" fillId="0" borderId="1" xfId="5" applyNumberFormat="1" applyFont="1" applyFill="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183" fontId="61" fillId="0" borderId="1" xfId="0" applyNumberFormat="1" applyFont="1" applyFill="1" applyBorder="1" applyAlignment="1">
      <alignment horizontal="center" vertical="center" wrapText="1"/>
    </xf>
    <xf numFmtId="3" fontId="61" fillId="0" borderId="1" xfId="0" applyNumberFormat="1" applyFont="1" applyFill="1" applyBorder="1" applyAlignment="1">
      <alignment horizontal="center" vertical="center" wrapText="1"/>
    </xf>
    <xf numFmtId="0" fontId="4" fillId="0" borderId="18" xfId="0" applyFont="1" applyBorder="1" applyAlignment="1">
      <alignment horizontal="center" vertical="center"/>
    </xf>
    <xf numFmtId="3" fontId="65" fillId="0" borderId="1" xfId="0" applyNumberFormat="1" applyFont="1" applyFill="1" applyBorder="1" applyAlignment="1">
      <alignment horizontal="center" vertical="center" wrapText="1"/>
    </xf>
    <xf numFmtId="4" fontId="61" fillId="0" borderId="1" xfId="0" applyNumberFormat="1" applyFont="1" applyFill="1" applyBorder="1" applyAlignment="1">
      <alignment horizontal="center" vertical="center" wrapText="1"/>
    </xf>
    <xf numFmtId="3" fontId="64" fillId="0" borderId="1" xfId="0" applyNumberFormat="1" applyFont="1" applyFill="1" applyBorder="1" applyAlignment="1">
      <alignment horizontal="center" vertical="center" wrapText="1"/>
    </xf>
    <xf numFmtId="0" fontId="4" fillId="0" borderId="57"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4" fontId="4" fillId="0" borderId="4" xfId="24" applyNumberFormat="1" applyFont="1" applyFill="1" applyBorder="1" applyAlignment="1">
      <alignment horizontal="center" vertical="center"/>
    </xf>
    <xf numFmtId="2" fontId="4" fillId="0" borderId="4" xfId="24" applyNumberFormat="1" applyFont="1" applyFill="1" applyBorder="1" applyAlignment="1">
      <alignment horizontal="center" vertical="center"/>
    </xf>
    <xf numFmtId="0" fontId="5" fillId="17" borderId="57"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5" fillId="23" borderId="4" xfId="0" applyFont="1" applyFill="1" applyBorder="1" applyAlignment="1">
      <alignment horizontal="center" vertical="center" wrapText="1"/>
    </xf>
    <xf numFmtId="0" fontId="11" fillId="21" borderId="4" xfId="0" applyFont="1" applyFill="1" applyBorder="1" applyAlignment="1">
      <alignment horizontal="center" vertical="center" wrapText="1"/>
    </xf>
    <xf numFmtId="0" fontId="11" fillId="23" borderId="4" xfId="0" applyFont="1" applyFill="1" applyBorder="1" applyAlignment="1">
      <alignment horizontal="center" vertical="center" wrapText="1"/>
    </xf>
    <xf numFmtId="0" fontId="11" fillId="22" borderId="4" xfId="0" applyFont="1" applyFill="1" applyBorder="1" applyAlignment="1">
      <alignment horizontal="center" vertical="center" wrapText="1"/>
    </xf>
    <xf numFmtId="0" fontId="11" fillId="17" borderId="4" xfId="0"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169" fontId="25" fillId="0" borderId="1" xfId="3" applyNumberFormat="1" applyFont="1" applyFill="1" applyBorder="1" applyAlignment="1">
      <alignment horizontal="center" vertical="center"/>
    </xf>
    <xf numFmtId="180" fontId="25" fillId="0" borderId="1" xfId="3" applyNumberFormat="1" applyFont="1" applyFill="1" applyBorder="1" applyAlignment="1">
      <alignment horizontal="center" vertical="center"/>
    </xf>
    <xf numFmtId="9" fontId="25"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1" fontId="4" fillId="0" borderId="1" xfId="2866" applyNumberFormat="1" applyFont="1" applyFill="1" applyBorder="1" applyAlignment="1">
      <alignment horizontal="center" vertical="center" wrapText="1"/>
    </xf>
    <xf numFmtId="175" fontId="4" fillId="0" borderId="1" xfId="3" applyNumberFormat="1" applyFont="1" applyFill="1" applyBorder="1" applyAlignment="1">
      <alignment horizontal="center" vertical="center"/>
    </xf>
    <xf numFmtId="9" fontId="25" fillId="0" borderId="1" xfId="3" applyNumberFormat="1" applyFont="1" applyFill="1" applyBorder="1" applyAlignment="1">
      <alignment horizontal="center" vertical="center"/>
    </xf>
    <xf numFmtId="180" fontId="4" fillId="0" borderId="1" xfId="3" applyNumberFormat="1" applyFont="1" applyFill="1" applyBorder="1" applyAlignment="1">
      <alignment horizontal="center" vertical="center"/>
    </xf>
    <xf numFmtId="37" fontId="25" fillId="0" borderId="1" xfId="9" applyNumberFormat="1" applyFont="1" applyFill="1" applyBorder="1" applyAlignment="1">
      <alignment horizontal="center" vertical="center"/>
    </xf>
    <xf numFmtId="0" fontId="25" fillId="0" borderId="4" xfId="0" applyFont="1" applyFill="1" applyBorder="1" applyAlignment="1">
      <alignment horizontal="center" vertical="center"/>
    </xf>
    <xf numFmtId="0" fontId="25" fillId="0" borderId="0" xfId="0" applyFont="1" applyFill="1" applyAlignment="1">
      <alignment horizontal="center" vertical="center"/>
    </xf>
    <xf numFmtId="0" fontId="4" fillId="0" borderId="0" xfId="0" applyFont="1" applyFill="1" applyAlignment="1">
      <alignment horizontal="center" vertical="center"/>
    </xf>
    <xf numFmtId="0" fontId="4" fillId="0" borderId="18" xfId="0" applyFont="1" applyFill="1" applyBorder="1" applyAlignment="1">
      <alignment horizontal="center" vertical="center"/>
    </xf>
    <xf numFmtId="9" fontId="4" fillId="0" borderId="1" xfId="21" applyFont="1" applyFill="1" applyBorder="1" applyAlignment="1">
      <alignment horizontal="center" vertical="center" wrapText="1"/>
    </xf>
    <xf numFmtId="2" fontId="4" fillId="0" borderId="1" xfId="5" applyNumberFormat="1" applyFont="1" applyFill="1" applyBorder="1" applyAlignment="1">
      <alignment horizontal="center" vertical="center"/>
    </xf>
    <xf numFmtId="2" fontId="4" fillId="0" borderId="4" xfId="5" applyNumberFormat="1" applyFont="1" applyFill="1" applyBorder="1" applyAlignment="1">
      <alignment horizontal="center" vertical="center"/>
    </xf>
    <xf numFmtId="9" fontId="4" fillId="0" borderId="1" xfId="21" applyFont="1" applyFill="1" applyBorder="1" applyAlignment="1">
      <alignment horizontal="center" vertical="center"/>
    </xf>
    <xf numFmtId="184" fontId="4" fillId="0" borderId="1" xfId="21" applyNumberFormat="1" applyFont="1" applyFill="1" applyBorder="1" applyAlignment="1">
      <alignment horizontal="center" vertical="center" wrapText="1"/>
    </xf>
    <xf numFmtId="1" fontId="25" fillId="0" borderId="1" xfId="3" applyNumberFormat="1" applyFont="1" applyFill="1" applyBorder="1" applyAlignment="1">
      <alignment horizontal="center" vertical="center"/>
    </xf>
    <xf numFmtId="184" fontId="4" fillId="0" borderId="1" xfId="0" applyNumberFormat="1" applyFont="1" applyFill="1" applyBorder="1" applyAlignment="1">
      <alignment horizontal="center" vertical="center" wrapText="1"/>
    </xf>
    <xf numFmtId="9" fontId="4" fillId="0" borderId="4" xfId="24" applyFont="1" applyFill="1" applyBorder="1" applyAlignment="1">
      <alignment horizontal="center" vertical="center"/>
    </xf>
    <xf numFmtId="184" fontId="4" fillId="0" borderId="4" xfId="21"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68" fillId="0" borderId="0" xfId="0" applyFont="1" applyFill="1"/>
    <xf numFmtId="0" fontId="74" fillId="0" borderId="0" xfId="0" applyFont="1" applyFill="1" applyAlignment="1">
      <alignment horizontal="center" vertical="center"/>
    </xf>
    <xf numFmtId="0" fontId="5" fillId="22" borderId="4" xfId="0" applyFont="1" applyFill="1" applyBorder="1" applyAlignment="1">
      <alignment horizontal="center" vertical="center" wrapText="1"/>
    </xf>
    <xf numFmtId="0" fontId="5" fillId="21" borderId="4" xfId="0" applyFont="1" applyFill="1" applyBorder="1" applyAlignment="1">
      <alignment horizontal="center" vertical="center" wrapText="1"/>
    </xf>
    <xf numFmtId="182" fontId="16" fillId="18" borderId="1" xfId="0" applyNumberFormat="1" applyFont="1" applyFill="1" applyBorder="1" applyAlignment="1" applyProtection="1">
      <alignment horizontal="left" vertical="center" wrapText="1"/>
      <protection locked="0"/>
    </xf>
    <xf numFmtId="182" fontId="4" fillId="22" borderId="1" xfId="0" applyNumberFormat="1" applyFont="1" applyFill="1" applyBorder="1" applyAlignment="1" applyProtection="1">
      <alignment horizontal="left" vertical="center" wrapText="1"/>
      <protection locked="0"/>
    </xf>
    <xf numFmtId="0" fontId="16" fillId="17" borderId="1" xfId="0" applyFont="1" applyFill="1" applyBorder="1" applyAlignment="1" applyProtection="1">
      <alignment horizontal="left" vertical="center" wrapText="1"/>
      <protection locked="0"/>
    </xf>
    <xf numFmtId="169" fontId="61" fillId="0" borderId="1" xfId="3" applyFont="1" applyFill="1" applyBorder="1" applyAlignment="1">
      <alignment horizontal="center" vertical="center"/>
    </xf>
    <xf numFmtId="4" fontId="10" fillId="0" borderId="1" xfId="10" applyNumberFormat="1" applyFont="1" applyFill="1" applyBorder="1" applyAlignment="1">
      <alignment horizontal="center" vertical="center" wrapText="1"/>
    </xf>
    <xf numFmtId="4" fontId="61" fillId="0" borderId="1" xfId="10" applyNumberFormat="1" applyFont="1" applyFill="1" applyBorder="1" applyAlignment="1">
      <alignment horizontal="center" vertical="center" wrapText="1"/>
    </xf>
    <xf numFmtId="3" fontId="61" fillId="25" borderId="1" xfId="0" applyNumberFormat="1" applyFont="1" applyFill="1" applyBorder="1" applyAlignment="1">
      <alignment horizontal="center" vertical="center" wrapText="1"/>
    </xf>
    <xf numFmtId="181" fontId="62" fillId="25" borderId="1" xfId="9" applyNumberFormat="1" applyFont="1" applyFill="1" applyBorder="1" applyAlignment="1">
      <alignment horizontal="center" vertical="center"/>
    </xf>
    <xf numFmtId="181" fontId="61" fillId="25" borderId="1" xfId="9" applyNumberFormat="1" applyFont="1" applyFill="1" applyBorder="1" applyAlignment="1">
      <alignment horizontal="center" vertical="center"/>
    </xf>
    <xf numFmtId="182" fontId="30" fillId="25" borderId="1" xfId="9" applyNumberFormat="1" applyFont="1" applyFill="1" applyBorder="1" applyAlignment="1">
      <alignment horizontal="center" vertical="center"/>
    </xf>
    <xf numFmtId="3" fontId="10" fillId="0" borderId="1" xfId="0" applyNumberFormat="1" applyFont="1" applyFill="1" applyBorder="1" applyAlignment="1">
      <alignment horizontal="center" vertical="center" wrapText="1"/>
    </xf>
    <xf numFmtId="1" fontId="61" fillId="0" borderId="1" xfId="0" applyNumberFormat="1" applyFont="1" applyFill="1" applyBorder="1" applyAlignment="1">
      <alignment horizontal="center" vertical="center"/>
    </xf>
    <xf numFmtId="3" fontId="61" fillId="0" borderId="1" xfId="10" applyNumberFormat="1" applyFont="1" applyFill="1" applyBorder="1" applyAlignment="1">
      <alignment horizontal="center" vertical="center" wrapText="1"/>
    </xf>
    <xf numFmtId="182" fontId="19" fillId="25" borderId="1" xfId="9" applyNumberFormat="1" applyFont="1" applyFill="1" applyBorder="1" applyAlignment="1">
      <alignment horizontal="center" vertical="center"/>
    </xf>
    <xf numFmtId="182" fontId="16" fillId="18" borderId="4" xfId="0" applyNumberFormat="1" applyFont="1" applyFill="1" applyBorder="1" applyAlignment="1" applyProtection="1">
      <alignment horizontal="left" vertical="center" wrapText="1"/>
      <protection locked="0"/>
    </xf>
    <xf numFmtId="3" fontId="61" fillId="25" borderId="4" xfId="0" applyNumberFormat="1" applyFont="1" applyFill="1" applyBorder="1" applyAlignment="1">
      <alignment horizontal="center" vertical="center" wrapText="1"/>
    </xf>
    <xf numFmtId="181" fontId="62" fillId="25" borderId="4" xfId="9" applyNumberFormat="1" applyFont="1" applyFill="1" applyBorder="1" applyAlignment="1">
      <alignment horizontal="center" vertical="center"/>
    </xf>
    <xf numFmtId="181" fontId="61" fillId="25" borderId="4" xfId="9" applyNumberFormat="1" applyFont="1" applyFill="1" applyBorder="1" applyAlignment="1">
      <alignment horizontal="center" vertical="center"/>
    </xf>
    <xf numFmtId="182" fontId="30" fillId="25" borderId="4" xfId="9" applyNumberFormat="1" applyFont="1" applyFill="1" applyBorder="1" applyAlignment="1">
      <alignment horizontal="center" vertical="center"/>
    </xf>
    <xf numFmtId="9" fontId="4" fillId="0" borderId="1" xfId="24" applyFont="1" applyFill="1" applyBorder="1" applyAlignment="1">
      <alignment horizontal="center" vertical="center" wrapText="1"/>
    </xf>
    <xf numFmtId="42" fontId="4" fillId="0" borderId="1" xfId="2866" applyFont="1" applyFill="1" applyBorder="1" applyAlignment="1">
      <alignment horizontal="center" vertical="center" wrapText="1"/>
    </xf>
    <xf numFmtId="42" fontId="25" fillId="0" borderId="1" xfId="2866" applyFont="1" applyFill="1" applyBorder="1" applyAlignment="1">
      <alignment horizontal="center" vertical="center"/>
    </xf>
    <xf numFmtId="4" fontId="4" fillId="0" borderId="1" xfId="0" applyNumberFormat="1" applyFont="1" applyBorder="1" applyAlignment="1">
      <alignment horizontal="center" vertical="center" wrapText="1"/>
    </xf>
    <xf numFmtId="4" fontId="2" fillId="0" borderId="1" xfId="10" applyNumberFormat="1" applyFont="1" applyFill="1" applyBorder="1" applyAlignment="1">
      <alignment horizontal="center" vertical="center" wrapText="1"/>
    </xf>
    <xf numFmtId="0" fontId="4" fillId="17" borderId="3" xfId="0" applyFont="1" applyFill="1" applyBorder="1" applyAlignment="1" applyProtection="1">
      <alignment horizontal="left" vertical="center" wrapText="1"/>
      <protection locked="0"/>
    </xf>
    <xf numFmtId="4" fontId="4" fillId="0" borderId="3"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9" fontId="4" fillId="0" borderId="3" xfId="21" applyFont="1" applyFill="1" applyBorder="1" applyAlignment="1">
      <alignment horizontal="center" vertical="center" wrapText="1"/>
    </xf>
    <xf numFmtId="1" fontId="4" fillId="0" borderId="3" xfId="2866" applyNumberFormat="1" applyFont="1" applyFill="1" applyBorder="1" applyAlignment="1">
      <alignment horizontal="center" vertical="center" wrapText="1"/>
    </xf>
    <xf numFmtId="0" fontId="21" fillId="0" borderId="0" xfId="0" applyFont="1" applyFill="1" applyAlignment="1">
      <alignment horizontal="center" vertical="center"/>
    </xf>
    <xf numFmtId="182" fontId="4" fillId="18" borderId="1" xfId="0" applyNumberFormat="1" applyFont="1" applyFill="1" applyBorder="1" applyAlignment="1" applyProtection="1">
      <alignment horizontal="left" vertical="center" wrapText="1"/>
      <protection locked="0"/>
    </xf>
    <xf numFmtId="181" fontId="25" fillId="0" borderId="1" xfId="9" applyNumberFormat="1" applyFont="1" applyFill="1" applyBorder="1" applyAlignment="1">
      <alignment horizontal="center" vertical="center"/>
    </xf>
    <xf numFmtId="181" fontId="4" fillId="0" borderId="1" xfId="9" applyNumberFormat="1" applyFont="1" applyFill="1" applyBorder="1" applyAlignment="1">
      <alignment horizontal="center" vertical="center"/>
    </xf>
    <xf numFmtId="181" fontId="4" fillId="0" borderId="1" xfId="2866" applyNumberFormat="1" applyFont="1" applyFill="1" applyBorder="1" applyAlignment="1">
      <alignment horizontal="center" vertical="center" wrapText="1"/>
    </xf>
    <xf numFmtId="181" fontId="21" fillId="0" borderId="0" xfId="0" applyNumberFormat="1" applyFont="1" applyFill="1" applyAlignment="1">
      <alignment horizontal="center" vertical="center"/>
    </xf>
    <xf numFmtId="0" fontId="4" fillId="17" borderId="1" xfId="0" applyFont="1" applyFill="1" applyBorder="1" applyAlignment="1" applyProtection="1">
      <alignment horizontal="left" vertical="center" wrapText="1"/>
      <protection locked="0"/>
    </xf>
    <xf numFmtId="169" fontId="4" fillId="0" borderId="1" xfId="3" applyFont="1" applyFill="1" applyBorder="1" applyAlignment="1">
      <alignment horizontal="center" vertical="center"/>
    </xf>
    <xf numFmtId="169" fontId="4" fillId="0" borderId="1" xfId="3" applyNumberFormat="1" applyFont="1" applyFill="1" applyBorder="1" applyAlignment="1">
      <alignment horizontal="center" vertical="center"/>
    </xf>
    <xf numFmtId="182" fontId="25" fillId="0" borderId="1" xfId="9" applyNumberFormat="1" applyFont="1" applyFill="1" applyBorder="1" applyAlignment="1">
      <alignment horizontal="center" vertical="center"/>
    </xf>
    <xf numFmtId="4" fontId="4" fillId="0" borderId="1" xfId="10" applyNumberFormat="1" applyFont="1" applyFill="1" applyBorder="1" applyAlignment="1">
      <alignment horizontal="center" vertical="center" wrapText="1"/>
    </xf>
    <xf numFmtId="182" fontId="71" fillId="25" borderId="1" xfId="9" applyNumberFormat="1" applyFont="1" applyFill="1" applyBorder="1" applyAlignment="1">
      <alignment horizontal="center" vertical="center"/>
    </xf>
    <xf numFmtId="3" fontId="4" fillId="25" borderId="1" xfId="0" applyNumberFormat="1" applyFont="1" applyFill="1" applyBorder="1" applyAlignment="1">
      <alignment horizontal="center" vertical="center" wrapText="1"/>
    </xf>
    <xf numFmtId="181" fontId="25" fillId="25" borderId="1" xfId="9" applyNumberFormat="1" applyFont="1" applyFill="1" applyBorder="1" applyAlignment="1">
      <alignment horizontal="center" vertical="center"/>
    </xf>
    <xf numFmtId="181" fontId="4" fillId="25" borderId="1" xfId="9" applyNumberFormat="1" applyFont="1" applyFill="1" applyBorder="1" applyAlignment="1">
      <alignment horizontal="center" vertical="center"/>
    </xf>
    <xf numFmtId="182" fontId="25" fillId="25" borderId="1" xfId="9" applyNumberFormat="1" applyFont="1" applyFill="1" applyBorder="1" applyAlignment="1">
      <alignment horizontal="center" vertical="center"/>
    </xf>
    <xf numFmtId="181" fontId="72" fillId="0" borderId="0" xfId="0" applyNumberFormat="1" applyFont="1" applyFill="1" applyAlignment="1">
      <alignment horizontal="center" vertical="center"/>
    </xf>
    <xf numFmtId="42" fontId="25" fillId="25" borderId="1" xfId="2866" applyFont="1" applyFill="1" applyBorder="1" applyAlignment="1">
      <alignment horizontal="center" vertical="center"/>
    </xf>
    <xf numFmtId="42" fontId="4" fillId="25" borderId="1" xfId="2866" applyFont="1" applyFill="1" applyBorder="1" applyAlignment="1">
      <alignment horizontal="center" vertical="center" wrapText="1"/>
    </xf>
    <xf numFmtId="42" fontId="4" fillId="0" borderId="1" xfId="2866" applyFont="1" applyFill="1" applyBorder="1" applyAlignment="1">
      <alignment horizontal="center" vertical="center"/>
    </xf>
    <xf numFmtId="1" fontId="25"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2" fillId="17" borderId="4" xfId="16" applyFont="1" applyFill="1" applyBorder="1" applyAlignment="1">
      <alignment horizontal="center" vertical="center" wrapText="1"/>
    </xf>
    <xf numFmtId="184" fontId="2" fillId="0" borderId="1" xfId="0" applyNumberFormat="1" applyFont="1" applyFill="1" applyBorder="1" applyAlignment="1">
      <alignment horizontal="center" vertical="center" wrapText="1"/>
    </xf>
    <xf numFmtId="42" fontId="2" fillId="0" borderId="1" xfId="2866" applyFont="1" applyFill="1" applyBorder="1" applyAlignment="1">
      <alignment horizontal="center" vertical="center" wrapText="1"/>
    </xf>
    <xf numFmtId="42" fontId="33" fillId="0" borderId="1" xfId="2866" applyFont="1" applyFill="1" applyBorder="1" applyAlignment="1">
      <alignment horizontal="center" vertical="center" wrapText="1"/>
    </xf>
    <xf numFmtId="42" fontId="71" fillId="0" borderId="1" xfId="2866" applyFont="1" applyFill="1" applyBorder="1" applyAlignment="1">
      <alignment horizontal="center" vertical="center"/>
    </xf>
    <xf numFmtId="9" fontId="4" fillId="0" borderId="3" xfId="24"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9" fontId="75" fillId="0" borderId="1" xfId="21" applyFont="1" applyFill="1" applyBorder="1" applyAlignment="1">
      <alignment horizontal="center" vertical="center" wrapText="1"/>
    </xf>
    <xf numFmtId="42" fontId="4" fillId="25" borderId="1" xfId="2866" applyFont="1" applyFill="1" applyBorder="1" applyAlignment="1">
      <alignment horizontal="center" vertical="center"/>
    </xf>
    <xf numFmtId="4" fontId="4" fillId="0" borderId="1" xfId="21" applyNumberFormat="1" applyFont="1" applyFill="1" applyBorder="1" applyAlignment="1">
      <alignment horizontal="center" vertical="center" wrapText="1"/>
    </xf>
    <xf numFmtId="4" fontId="4" fillId="0" borderId="1" xfId="2866" applyNumberFormat="1" applyFont="1" applyFill="1" applyBorder="1" applyAlignment="1">
      <alignment horizontal="center" vertical="center" wrapText="1"/>
    </xf>
    <xf numFmtId="181" fontId="0" fillId="0" borderId="1" xfId="0" applyNumberFormat="1" applyFont="1" applyFill="1" applyBorder="1" applyAlignment="1">
      <alignment horizontal="center" vertical="center"/>
    </xf>
    <xf numFmtId="42" fontId="25" fillId="25" borderId="4" xfId="2866" applyFont="1" applyFill="1" applyBorder="1" applyAlignment="1">
      <alignment horizontal="center" vertical="center"/>
    </xf>
    <xf numFmtId="42" fontId="4" fillId="25" borderId="4" xfId="2866" applyFont="1" applyFill="1" applyBorder="1" applyAlignment="1">
      <alignment horizontal="center" vertical="center" wrapText="1"/>
    </xf>
    <xf numFmtId="9" fontId="33" fillId="0" borderId="3" xfId="21" applyFont="1" applyFill="1" applyBorder="1" applyAlignment="1">
      <alignment horizontal="center" vertical="center"/>
    </xf>
    <xf numFmtId="10" fontId="33" fillId="0" borderId="3" xfId="21" applyNumberFormat="1" applyFont="1" applyFill="1" applyBorder="1" applyAlignment="1">
      <alignment horizontal="center" vertical="center" wrapText="1"/>
    </xf>
    <xf numFmtId="9" fontId="33" fillId="0" borderId="1" xfId="21" applyFont="1" applyFill="1" applyBorder="1" applyAlignment="1">
      <alignment horizontal="center" vertical="center"/>
    </xf>
    <xf numFmtId="10" fontId="33" fillId="0" borderId="1" xfId="21" applyNumberFormat="1" applyFont="1" applyFill="1" applyBorder="1" applyAlignment="1">
      <alignment horizontal="center" vertical="center" wrapText="1"/>
    </xf>
    <xf numFmtId="10" fontId="33" fillId="0" borderId="4" xfId="21" applyNumberFormat="1" applyFont="1" applyFill="1" applyBorder="1" applyAlignment="1">
      <alignment horizontal="center" vertical="center" wrapText="1"/>
    </xf>
    <xf numFmtId="0" fontId="73" fillId="0" borderId="0" xfId="16" applyFont="1" applyBorder="1" applyAlignment="1">
      <alignment vertical="center"/>
    </xf>
    <xf numFmtId="172" fontId="12" fillId="17" borderId="1" xfId="0" applyNumberFormat="1" applyFont="1" applyFill="1" applyBorder="1" applyAlignment="1">
      <alignment vertical="center"/>
    </xf>
    <xf numFmtId="9" fontId="4" fillId="17" borderId="1" xfId="0" applyNumberFormat="1" applyFont="1" applyFill="1" applyBorder="1" applyAlignment="1">
      <alignment horizontal="center" vertical="center"/>
    </xf>
    <xf numFmtId="172" fontId="12" fillId="18" borderId="1" xfId="0" applyNumberFormat="1" applyFont="1" applyFill="1" applyBorder="1" applyAlignment="1">
      <alignment vertical="center"/>
    </xf>
    <xf numFmtId="10" fontId="4" fillId="18" borderId="1" xfId="0" applyNumberFormat="1" applyFont="1" applyFill="1" applyBorder="1" applyAlignment="1">
      <alignment horizontal="center" vertical="center"/>
    </xf>
    <xf numFmtId="172" fontId="76" fillId="17" borderId="1" xfId="0" applyNumberFormat="1" applyFont="1" applyFill="1" applyBorder="1" applyAlignment="1">
      <alignment vertical="center"/>
    </xf>
    <xf numFmtId="172" fontId="76" fillId="18" borderId="1" xfId="0" applyNumberFormat="1" applyFont="1" applyFill="1" applyBorder="1" applyAlignment="1">
      <alignment vertical="center"/>
    </xf>
    <xf numFmtId="172" fontId="4" fillId="18" borderId="1" xfId="0" applyNumberFormat="1" applyFont="1" applyFill="1" applyBorder="1" applyAlignment="1">
      <alignment horizontal="center" vertical="center"/>
    </xf>
    <xf numFmtId="10" fontId="4" fillId="17" borderId="1" xfId="0" applyNumberFormat="1" applyFont="1" applyFill="1" applyBorder="1" applyAlignment="1">
      <alignment horizontal="center" vertical="center"/>
    </xf>
    <xf numFmtId="172" fontId="4" fillId="17" borderId="1" xfId="0" applyNumberFormat="1" applyFont="1" applyFill="1" applyBorder="1" applyAlignment="1">
      <alignment horizontal="center" vertical="center"/>
    </xf>
    <xf numFmtId="10" fontId="2" fillId="17" borderId="1" xfId="16" applyNumberFormat="1" applyFont="1" applyFill="1" applyBorder="1" applyAlignment="1">
      <alignment horizontal="center" vertical="center" wrapText="1"/>
    </xf>
    <xf numFmtId="0" fontId="2" fillId="17" borderId="1" xfId="16" applyFont="1" applyFill="1" applyBorder="1" applyAlignment="1">
      <alignment horizontal="center" vertical="center" wrapText="1"/>
    </xf>
    <xf numFmtId="0" fontId="27" fillId="0" borderId="0" xfId="0" applyFont="1"/>
    <xf numFmtId="0" fontId="4" fillId="0" borderId="1" xfId="0" applyFont="1" applyFill="1" applyBorder="1" applyAlignment="1">
      <alignment horizontal="left" vertical="top" wrapText="1"/>
    </xf>
    <xf numFmtId="9" fontId="2" fillId="0" borderId="1" xfId="24" applyFont="1" applyFill="1" applyBorder="1" applyAlignment="1">
      <alignment horizontal="center" vertical="center" wrapText="1"/>
    </xf>
    <xf numFmtId="9" fontId="2" fillId="0" borderId="1" xfId="24" applyFont="1" applyFill="1" applyBorder="1" applyAlignment="1">
      <alignment horizontal="center" vertical="center"/>
    </xf>
    <xf numFmtId="42" fontId="2" fillId="0" borderId="1" xfId="2866" applyFont="1" applyFill="1" applyBorder="1" applyAlignment="1">
      <alignment horizontal="center" vertical="center"/>
    </xf>
    <xf numFmtId="4" fontId="4" fillId="0" borderId="1" xfId="24" applyNumberFormat="1" applyFont="1" applyFill="1" applyBorder="1" applyAlignment="1">
      <alignment horizontal="center" vertical="center" wrapText="1"/>
    </xf>
    <xf numFmtId="4" fontId="2" fillId="0" borderId="1" xfId="0" applyNumberFormat="1" applyFont="1" applyBorder="1" applyAlignment="1">
      <alignment horizontal="center" vertical="center"/>
    </xf>
    <xf numFmtId="4" fontId="2" fillId="0" borderId="1" xfId="24" applyNumberFormat="1" applyFont="1" applyFill="1" applyBorder="1" applyAlignment="1">
      <alignment horizontal="center" vertical="center"/>
    </xf>
    <xf numFmtId="4" fontId="4" fillId="0" borderId="1" xfId="0" applyNumberFormat="1" applyFont="1" applyBorder="1" applyAlignment="1">
      <alignment horizontal="center" vertical="center"/>
    </xf>
    <xf numFmtId="0" fontId="18" fillId="17" borderId="8" xfId="0" applyFont="1" applyFill="1" applyBorder="1" applyAlignment="1">
      <alignment horizontal="left" vertical="center" wrapText="1"/>
    </xf>
    <xf numFmtId="42" fontId="2" fillId="17" borderId="1" xfId="0" applyNumberFormat="1" applyFont="1" applyFill="1" applyBorder="1" applyAlignment="1">
      <alignment horizontal="center" vertical="center" wrapText="1"/>
    </xf>
    <xf numFmtId="0" fontId="18" fillId="17" borderId="62" xfId="0" applyFont="1" applyFill="1" applyBorder="1" applyAlignment="1">
      <alignment horizontal="left" vertical="center" wrapText="1"/>
    </xf>
    <xf numFmtId="0" fontId="21" fillId="0" borderId="0" xfId="0" applyFont="1" applyAlignment="1">
      <alignment horizontal="center" vertical="center"/>
    </xf>
    <xf numFmtId="0" fontId="2" fillId="17" borderId="4" xfId="19" applyFont="1" applyFill="1" applyBorder="1" applyAlignment="1">
      <alignment horizontal="center" vertical="center" wrapText="1"/>
    </xf>
    <xf numFmtId="10" fontId="4" fillId="17" borderId="4" xfId="16" applyNumberForma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0" fontId="4" fillId="0" borderId="1" xfId="21" applyNumberFormat="1" applyFont="1" applyFill="1" applyBorder="1" applyAlignment="1">
      <alignment horizontal="center" vertical="center" wrapText="1"/>
    </xf>
    <xf numFmtId="0" fontId="34" fillId="0" borderId="1" xfId="0" applyFont="1" applyFill="1" applyBorder="1" applyAlignment="1">
      <alignment horizontal="left" vertical="top" wrapText="1"/>
    </xf>
    <xf numFmtId="0" fontId="4" fillId="0" borderId="11" xfId="0" applyFont="1" applyFill="1" applyBorder="1" applyAlignment="1">
      <alignment horizontal="left" vertical="top" wrapText="1"/>
    </xf>
    <xf numFmtId="9" fontId="4" fillId="0" borderId="4" xfId="21" applyFont="1" applyFill="1" applyBorder="1" applyAlignment="1">
      <alignment horizontal="center" vertical="center"/>
    </xf>
    <xf numFmtId="10" fontId="4" fillId="0" borderId="4" xfId="21" applyNumberFormat="1" applyFont="1" applyFill="1" applyBorder="1" applyAlignment="1">
      <alignment horizontal="center" vertical="center" wrapText="1"/>
    </xf>
    <xf numFmtId="181" fontId="16" fillId="17" borderId="3" xfId="0" applyNumberFormat="1" applyFont="1" applyFill="1" applyBorder="1" applyAlignment="1" applyProtection="1">
      <alignment horizontal="left" vertical="top" wrapText="1"/>
      <protection locked="0"/>
    </xf>
    <xf numFmtId="181" fontId="4" fillId="25" borderId="3" xfId="10" applyNumberFormat="1" applyFont="1" applyFill="1" applyBorder="1" applyAlignment="1">
      <alignment horizontal="center" vertical="center" wrapText="1"/>
    </xf>
    <xf numFmtId="181" fontId="4" fillId="25" borderId="10" xfId="10" applyNumberFormat="1" applyFont="1" applyFill="1" applyBorder="1" applyAlignment="1">
      <alignment horizontal="center" vertical="center" wrapText="1"/>
    </xf>
    <xf numFmtId="181" fontId="21" fillId="17" borderId="23" xfId="0" applyNumberFormat="1" applyFont="1" applyFill="1" applyBorder="1" applyAlignment="1">
      <alignment horizontal="center" wrapText="1"/>
    </xf>
    <xf numFmtId="181" fontId="21" fillId="17" borderId="24" xfId="0" applyNumberFormat="1" applyFont="1" applyFill="1" applyBorder="1" applyAlignment="1">
      <alignment horizontal="center" wrapText="1"/>
    </xf>
    <xf numFmtId="181" fontId="21" fillId="17" borderId="24" xfId="0" applyNumberFormat="1" applyFont="1" applyFill="1" applyBorder="1" applyAlignment="1">
      <alignment wrapText="1"/>
    </xf>
    <xf numFmtId="181" fontId="21" fillId="17" borderId="38" xfId="0" applyNumberFormat="1" applyFont="1" applyFill="1" applyBorder="1" applyAlignment="1">
      <alignment wrapText="1"/>
    </xf>
    <xf numFmtId="181" fontId="0" fillId="0" borderId="0" xfId="0" applyNumberFormat="1" applyFill="1" applyAlignment="1">
      <alignment horizontal="center"/>
    </xf>
    <xf numFmtId="181" fontId="16" fillId="18" borderId="1" xfId="0" applyNumberFormat="1" applyFont="1" applyFill="1" applyBorder="1" applyAlignment="1" applyProtection="1">
      <alignment horizontal="left" vertical="top" wrapText="1"/>
      <protection locked="0"/>
    </xf>
    <xf numFmtId="181" fontId="25" fillId="25" borderId="1" xfId="0" applyNumberFormat="1" applyFont="1" applyFill="1" applyBorder="1" applyAlignment="1">
      <alignment horizontal="center" vertical="center"/>
    </xf>
    <xf numFmtId="181" fontId="4" fillId="25" borderId="11" xfId="9" applyNumberFormat="1" applyFont="1" applyFill="1" applyBorder="1" applyAlignment="1">
      <alignment horizontal="center" vertical="center"/>
    </xf>
    <xf numFmtId="181" fontId="21" fillId="17" borderId="26" xfId="0" applyNumberFormat="1" applyFont="1" applyFill="1" applyBorder="1" applyAlignment="1">
      <alignment horizontal="center" wrapText="1"/>
    </xf>
    <xf numFmtId="181" fontId="21" fillId="17" borderId="0" xfId="0" applyNumberFormat="1" applyFont="1" applyFill="1" applyBorder="1" applyAlignment="1">
      <alignment horizontal="center" wrapText="1"/>
    </xf>
    <xf numFmtId="181" fontId="21" fillId="17" borderId="0" xfId="0" applyNumberFormat="1" applyFont="1" applyFill="1" applyBorder="1" applyAlignment="1">
      <alignment wrapText="1"/>
    </xf>
    <xf numFmtId="181" fontId="21" fillId="17" borderId="27" xfId="0" applyNumberFormat="1" applyFont="1" applyFill="1" applyBorder="1" applyAlignment="1">
      <alignment wrapText="1"/>
    </xf>
    <xf numFmtId="181" fontId="16" fillId="17" borderId="4" xfId="0" applyNumberFormat="1" applyFont="1" applyFill="1" applyBorder="1" applyAlignment="1" applyProtection="1">
      <alignment horizontal="left" vertical="top" wrapText="1"/>
      <protection locked="0"/>
    </xf>
    <xf numFmtId="181" fontId="2" fillId="25" borderId="4" xfId="0" applyNumberFormat="1" applyFont="1" applyFill="1" applyBorder="1" applyAlignment="1">
      <alignment horizontal="center" vertical="center" wrapText="1"/>
    </xf>
    <xf numFmtId="181" fontId="4" fillId="25" borderId="4" xfId="0" applyNumberFormat="1" applyFont="1" applyFill="1" applyBorder="1" applyAlignment="1">
      <alignment horizontal="center" vertical="center" wrapText="1"/>
    </xf>
    <xf numFmtId="181" fontId="4" fillId="25" borderId="12" xfId="0" applyNumberFormat="1" applyFont="1" applyFill="1" applyBorder="1" applyAlignment="1">
      <alignment horizontal="center" vertical="center" wrapText="1"/>
    </xf>
    <xf numFmtId="181" fontId="21" fillId="17" borderId="28" xfId="0" applyNumberFormat="1" applyFont="1" applyFill="1" applyBorder="1" applyAlignment="1">
      <alignment horizontal="center" wrapText="1"/>
    </xf>
    <xf numFmtId="181" fontId="21" fillId="17" borderId="29" xfId="0" applyNumberFormat="1" applyFont="1" applyFill="1" applyBorder="1" applyAlignment="1">
      <alignment horizontal="center" wrapText="1"/>
    </xf>
    <xf numFmtId="181" fontId="21" fillId="17" borderId="29" xfId="0" applyNumberFormat="1" applyFont="1" applyFill="1" applyBorder="1" applyAlignment="1">
      <alignment wrapText="1"/>
    </xf>
    <xf numFmtId="181" fontId="21" fillId="17" borderId="39" xfId="0" applyNumberFormat="1" applyFont="1" applyFill="1" applyBorder="1" applyAlignment="1">
      <alignment wrapText="1"/>
    </xf>
    <xf numFmtId="0" fontId="4" fillId="26" borderId="18" xfId="0" applyFont="1" applyFill="1" applyBorder="1" applyAlignment="1">
      <alignment horizontal="center" vertical="center"/>
    </xf>
    <xf numFmtId="0" fontId="4" fillId="26" borderId="1" xfId="0" applyFont="1" applyFill="1" applyBorder="1" applyAlignment="1">
      <alignment horizontal="center" vertical="center"/>
    </xf>
    <xf numFmtId="2" fontId="4" fillId="0" borderId="1" xfId="21"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3" xfId="0" applyFont="1" applyFill="1" applyBorder="1" applyAlignment="1">
      <alignment horizontal="center" vertical="center"/>
    </xf>
    <xf numFmtId="185" fontId="4" fillId="0" borderId="1" xfId="3" applyNumberFormat="1" applyFont="1" applyFill="1" applyBorder="1" applyAlignment="1">
      <alignment horizontal="center" vertical="center"/>
    </xf>
    <xf numFmtId="0" fontId="4" fillId="0" borderId="4" xfId="0" applyFont="1" applyFill="1" applyBorder="1" applyAlignment="1">
      <alignment horizontal="center" vertical="center"/>
    </xf>
    <xf numFmtId="3" fontId="4" fillId="0" borderId="1" xfId="21" applyNumberFormat="1" applyFont="1" applyFill="1" applyBorder="1" applyAlignment="1">
      <alignment horizontal="center" vertical="center" wrapText="1"/>
    </xf>
    <xf numFmtId="9" fontId="16" fillId="0" borderId="1" xfId="21" applyFont="1" applyFill="1" applyBorder="1" applyAlignment="1">
      <alignment horizontal="center" vertical="center" wrapText="1"/>
    </xf>
    <xf numFmtId="9" fontId="10" fillId="0" borderId="1" xfId="21" applyFont="1" applyFill="1" applyBorder="1" applyAlignment="1">
      <alignment horizontal="center" vertical="center" wrapText="1"/>
    </xf>
    <xf numFmtId="9" fontId="64" fillId="0" borderId="1" xfId="21" applyFont="1" applyFill="1" applyBorder="1" applyAlignment="1">
      <alignment horizontal="center" vertical="center" wrapText="1"/>
    </xf>
    <xf numFmtId="9" fontId="62" fillId="0" borderId="1" xfId="21" applyFont="1" applyFill="1" applyBorder="1" applyAlignment="1">
      <alignment horizontal="center" vertical="center"/>
    </xf>
    <xf numFmtId="9" fontId="30" fillId="0" borderId="1" xfId="21" applyFont="1" applyFill="1" applyBorder="1" applyAlignment="1">
      <alignment horizontal="center" vertical="center"/>
    </xf>
    <xf numFmtId="9" fontId="61" fillId="0" borderId="1" xfId="21" applyFont="1" applyFill="1" applyBorder="1" applyAlignment="1">
      <alignment horizontal="center" vertical="center" wrapText="1"/>
    </xf>
    <xf numFmtId="9" fontId="61" fillId="0" borderId="1" xfId="21" applyFont="1" applyFill="1" applyBorder="1" applyAlignment="1">
      <alignment horizontal="center" vertical="center"/>
    </xf>
    <xf numFmtId="42" fontId="2" fillId="25" borderId="1" xfId="2866" applyFont="1" applyFill="1" applyBorder="1" applyAlignment="1">
      <alignment horizontal="center" vertical="center" wrapText="1"/>
    </xf>
    <xf numFmtId="42" fontId="33" fillId="25" borderId="1" xfId="2866" applyFont="1" applyFill="1" applyBorder="1" applyAlignment="1">
      <alignment horizontal="center" vertical="center" wrapText="1"/>
    </xf>
    <xf numFmtId="42" fontId="71" fillId="25" borderId="1" xfId="2866" applyFont="1" applyFill="1" applyBorder="1" applyAlignment="1">
      <alignment horizontal="center" vertical="center"/>
    </xf>
    <xf numFmtId="3" fontId="10" fillId="0" borderId="29" xfId="0" applyNumberFormat="1" applyFont="1" applyFill="1" applyBorder="1" applyAlignment="1">
      <alignment horizontal="left" vertical="center" wrapText="1"/>
    </xf>
    <xf numFmtId="181" fontId="0" fillId="0" borderId="0" xfId="0" applyNumberFormat="1" applyFill="1"/>
    <xf numFmtId="42" fontId="5" fillId="3" borderId="0" xfId="0" applyNumberFormat="1" applyFont="1" applyFill="1" applyAlignment="1">
      <alignment horizont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xf>
    <xf numFmtId="0" fontId="2" fillId="17" borderId="3" xfId="0" applyFont="1" applyFill="1" applyBorder="1" applyAlignment="1">
      <alignment horizontal="center" vertical="center" wrapText="1"/>
    </xf>
    <xf numFmtId="0" fontId="4" fillId="0" borderId="3" xfId="0" applyFont="1" applyFill="1" applyBorder="1" applyAlignment="1">
      <alignment horizontal="left" vertical="top" wrapText="1"/>
    </xf>
    <xf numFmtId="0" fontId="25" fillId="0" borderId="3" xfId="0" applyFont="1" applyFill="1" applyBorder="1" applyAlignment="1">
      <alignment horizontal="left" vertical="top" wrapText="1"/>
    </xf>
    <xf numFmtId="0" fontId="25" fillId="0" borderId="10" xfId="0" applyFont="1" applyFill="1" applyBorder="1" applyAlignment="1">
      <alignment horizontal="left" vertical="top" wrapText="1"/>
    </xf>
    <xf numFmtId="0" fontId="4" fillId="0" borderId="11" xfId="0" applyFont="1" applyFill="1" applyBorder="1" applyAlignment="1">
      <alignment horizontal="center" vertical="center" wrapText="1"/>
    </xf>
    <xf numFmtId="0" fontId="25" fillId="0" borderId="1" xfId="0" applyFont="1" applyFill="1" applyBorder="1" applyAlignment="1">
      <alignment horizontal="left" vertical="top" wrapText="1"/>
    </xf>
    <xf numFmtId="0" fontId="78" fillId="0" borderId="11" xfId="2868"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4" xfId="0" applyFont="1" applyFill="1" applyBorder="1" applyAlignment="1">
      <alignment horizontal="center" vertical="center" wrapText="1"/>
    </xf>
    <xf numFmtId="0" fontId="78" fillId="0" borderId="12" xfId="2868"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5" xfId="0" applyFont="1" applyBorder="1" applyAlignment="1">
      <alignment horizontal="center" vertical="center" wrapText="1"/>
    </xf>
    <xf numFmtId="0" fontId="4" fillId="0" borderId="35" xfId="0" applyFont="1" applyBorder="1" applyAlignment="1">
      <alignment horizontal="center" vertical="center"/>
    </xf>
    <xf numFmtId="3" fontId="4" fillId="0" borderId="35" xfId="24" applyNumberFormat="1" applyFont="1" applyFill="1" applyBorder="1" applyAlignment="1">
      <alignment horizontal="center" vertical="center"/>
    </xf>
    <xf numFmtId="1" fontId="25" fillId="0" borderId="35" xfId="0" applyNumberFormat="1" applyFont="1" applyFill="1" applyBorder="1" applyAlignment="1">
      <alignment horizontal="center" vertical="center"/>
    </xf>
    <xf numFmtId="1" fontId="25" fillId="0" borderId="35" xfId="3" applyNumberFormat="1" applyFont="1" applyFill="1" applyBorder="1" applyAlignment="1">
      <alignment horizontal="center" vertical="center"/>
    </xf>
    <xf numFmtId="0" fontId="25" fillId="0" borderId="35" xfId="0" applyFont="1" applyFill="1" applyBorder="1" applyAlignment="1">
      <alignment horizontal="center" vertical="center"/>
    </xf>
    <xf numFmtId="1" fontId="4" fillId="0" borderId="35" xfId="5" applyNumberFormat="1" applyFont="1" applyFill="1" applyBorder="1" applyAlignment="1">
      <alignment horizontal="center" vertical="center"/>
    </xf>
    <xf numFmtId="169" fontId="25" fillId="0" borderId="35" xfId="3" applyNumberFormat="1" applyFont="1" applyFill="1" applyBorder="1" applyAlignment="1">
      <alignment horizontal="center" vertical="center"/>
    </xf>
    <xf numFmtId="1" fontId="4" fillId="0" borderId="35" xfId="0" applyNumberFormat="1" applyFont="1" applyFill="1" applyBorder="1" applyAlignment="1">
      <alignment horizontal="center" vertical="center" wrapText="1"/>
    </xf>
    <xf numFmtId="3" fontId="4" fillId="0" borderId="35" xfId="0" applyNumberFormat="1" applyFont="1" applyFill="1" applyBorder="1" applyAlignment="1">
      <alignment horizontal="center" vertical="center" wrapText="1"/>
    </xf>
    <xf numFmtId="9" fontId="4" fillId="0" borderId="35" xfId="21" applyFont="1" applyFill="1" applyBorder="1" applyAlignment="1">
      <alignment horizontal="center" vertical="center"/>
    </xf>
    <xf numFmtId="10" fontId="4" fillId="0" borderId="35" xfId="21" applyNumberFormat="1" applyFont="1" applyFill="1" applyBorder="1" applyAlignment="1">
      <alignment horizontal="center" vertical="center" wrapText="1"/>
    </xf>
    <xf numFmtId="10" fontId="33" fillId="0" borderId="35" xfId="21" applyNumberFormat="1" applyFont="1" applyFill="1" applyBorder="1" applyAlignment="1">
      <alignment horizontal="center" vertical="center" wrapText="1"/>
    </xf>
    <xf numFmtId="9" fontId="75" fillId="0" borderId="3" xfId="21" applyFont="1" applyFill="1" applyBorder="1" applyAlignment="1">
      <alignment horizontal="center" vertical="center" wrapText="1"/>
    </xf>
    <xf numFmtId="184" fontId="4" fillId="0" borderId="1" xfId="2866" applyNumberFormat="1" applyFont="1" applyFill="1" applyBorder="1" applyAlignment="1">
      <alignment horizontal="center" vertical="center" wrapText="1"/>
    </xf>
    <xf numFmtId="2" fontId="4" fillId="0" borderId="1" xfId="2866" applyNumberFormat="1" applyFont="1" applyFill="1" applyBorder="1" applyAlignment="1">
      <alignment horizontal="center" vertical="center" wrapText="1"/>
    </xf>
    <xf numFmtId="3" fontId="4" fillId="0" borderId="1" xfId="2866" applyNumberFormat="1" applyFont="1" applyFill="1" applyBorder="1" applyAlignment="1">
      <alignment horizontal="center" vertical="center" wrapText="1"/>
    </xf>
    <xf numFmtId="172" fontId="4" fillId="0" borderId="1" xfId="21" applyNumberFormat="1" applyFont="1" applyFill="1" applyBorder="1" applyAlignment="1">
      <alignment horizontal="center" vertical="center" wrapText="1"/>
    </xf>
    <xf numFmtId="9" fontId="33" fillId="25" borderId="3" xfId="21" applyFont="1" applyFill="1" applyBorder="1" applyAlignment="1">
      <alignment horizontal="center" vertical="center"/>
    </xf>
    <xf numFmtId="10" fontId="33" fillId="25" borderId="3" xfId="21" applyNumberFormat="1" applyFont="1" applyFill="1" applyBorder="1" applyAlignment="1">
      <alignment horizontal="center" vertical="center" wrapText="1"/>
    </xf>
    <xf numFmtId="10" fontId="33" fillId="25" borderId="1" xfId="21" applyNumberFormat="1" applyFont="1" applyFill="1" applyBorder="1" applyAlignment="1">
      <alignment horizontal="center" vertical="center" wrapText="1"/>
    </xf>
    <xf numFmtId="9" fontId="33" fillId="25" borderId="1" xfId="21" applyFont="1" applyFill="1" applyBorder="1" applyAlignment="1">
      <alignment horizontal="center" vertical="center"/>
    </xf>
    <xf numFmtId="9" fontId="33" fillId="25" borderId="4" xfId="21" applyFont="1" applyFill="1" applyBorder="1" applyAlignment="1">
      <alignment horizontal="center" vertical="center"/>
    </xf>
    <xf numFmtId="10" fontId="33" fillId="25" borderId="4" xfId="21" applyNumberFormat="1" applyFont="1" applyFill="1" applyBorder="1" applyAlignment="1">
      <alignment horizontal="center" vertical="center" wrapText="1"/>
    </xf>
    <xf numFmtId="10" fontId="4" fillId="0" borderId="1" xfId="16" applyNumberFormat="1" applyFill="1" applyBorder="1" applyAlignment="1">
      <alignment horizontal="center" vertical="center" wrapText="1"/>
    </xf>
    <xf numFmtId="10" fontId="33" fillId="0" borderId="1" xfId="16"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3" fillId="0" borderId="1" xfId="0" applyFont="1" applyBorder="1" applyAlignment="1">
      <alignment horizontal="center" vertical="center"/>
    </xf>
    <xf numFmtId="0" fontId="4" fillId="17" borderId="4" xfId="16" applyFill="1" applyBorder="1" applyAlignment="1">
      <alignment horizontal="center" vertical="center" wrapText="1"/>
    </xf>
    <xf numFmtId="9" fontId="4" fillId="0" borderId="1" xfId="24" applyFont="1" applyFill="1" applyBorder="1" applyAlignment="1" applyProtection="1">
      <alignment horizontal="left" vertical="center" wrapText="1"/>
      <protection locked="0"/>
    </xf>
    <xf numFmtId="42" fontId="4" fillId="0" borderId="1" xfId="2866" applyFont="1" applyFill="1" applyBorder="1" applyAlignment="1" applyProtection="1">
      <alignment horizontal="left" vertical="center" wrapText="1"/>
      <protection locked="0"/>
    </xf>
    <xf numFmtId="4" fontId="4" fillId="0" borderId="1" xfId="0" applyNumberFormat="1" applyFont="1" applyBorder="1" applyAlignment="1" applyProtection="1">
      <alignment horizontal="left" vertical="center" wrapText="1"/>
      <protection locked="0"/>
    </xf>
    <xf numFmtId="9" fontId="2" fillId="0" borderId="1" xfId="24" applyFont="1" applyFill="1" applyBorder="1" applyAlignment="1" applyProtection="1">
      <alignment horizontal="left" vertical="center" wrapText="1"/>
      <protection locked="0"/>
    </xf>
    <xf numFmtId="42" fontId="2" fillId="0" borderId="1" xfId="2866" applyFont="1" applyFill="1" applyBorder="1" applyAlignment="1" applyProtection="1">
      <alignment horizontal="left" vertical="center" wrapText="1"/>
      <protection locked="0"/>
    </xf>
    <xf numFmtId="0" fontId="43" fillId="0" borderId="1" xfId="0" applyFont="1" applyBorder="1" applyAlignment="1">
      <alignment horizontal="center" vertical="center"/>
    </xf>
    <xf numFmtId="0" fontId="43" fillId="0" borderId="1" xfId="0" applyFont="1" applyBorder="1" applyAlignment="1">
      <alignment horizontal="center" vertical="center"/>
    </xf>
    <xf numFmtId="0" fontId="43" fillId="0" borderId="0" xfId="0" applyFont="1" applyAlignment="1">
      <alignment horizontal="center" vertical="center"/>
    </xf>
    <xf numFmtId="0" fontId="18" fillId="0" borderId="0" xfId="0" applyFont="1" applyAlignment="1">
      <alignment horizontal="center" vertical="center" wrapText="1"/>
    </xf>
    <xf numFmtId="0" fontId="55" fillId="18" borderId="1" xfId="0" applyFont="1" applyFill="1" applyBorder="1" applyAlignment="1">
      <alignment horizontal="center" vertical="center"/>
    </xf>
    <xf numFmtId="186" fontId="55" fillId="19" borderId="1" xfId="5" applyNumberFormat="1" applyFont="1" applyFill="1" applyBorder="1" applyAlignment="1">
      <alignment horizontal="center" vertical="center" wrapText="1"/>
    </xf>
    <xf numFmtId="0" fontId="33" fillId="0" borderId="1" xfId="0" applyFont="1" applyBorder="1" applyAlignment="1">
      <alignment horizontal="center" vertical="center" wrapText="1"/>
    </xf>
    <xf numFmtId="164" fontId="33" fillId="0" borderId="1" xfId="2869" applyFont="1" applyBorder="1" applyAlignment="1">
      <alignment horizontal="center" vertical="center"/>
    </xf>
    <xf numFmtId="186" fontId="33" fillId="0" borderId="1" xfId="5" applyNumberFormat="1" applyFont="1" applyBorder="1" applyAlignment="1">
      <alignment horizontal="center" vertical="center"/>
    </xf>
    <xf numFmtId="0" fontId="33" fillId="0" borderId="0" xfId="0" applyFont="1" applyAlignment="1">
      <alignment horizontal="center" vertical="center"/>
    </xf>
    <xf numFmtId="0" fontId="33" fillId="0" borderId="5" xfId="0" applyFont="1" applyBorder="1" applyAlignment="1">
      <alignment horizontal="center" vertical="center" wrapText="1"/>
    </xf>
    <xf numFmtId="9" fontId="33" fillId="0" borderId="1" xfId="24" applyFont="1" applyBorder="1" applyAlignment="1">
      <alignment horizontal="center" vertical="center"/>
    </xf>
    <xf numFmtId="0" fontId="21" fillId="0" borderId="1" xfId="0" applyFont="1" applyBorder="1" applyAlignment="1">
      <alignment horizontal="center" vertical="center" wrapText="1"/>
    </xf>
    <xf numFmtId="164" fontId="21" fillId="0" borderId="1" xfId="2869" applyFont="1" applyFill="1" applyBorder="1" applyAlignment="1">
      <alignment horizontal="center" vertical="center"/>
    </xf>
    <xf numFmtId="9" fontId="21" fillId="0" borderId="1" xfId="24" applyFont="1" applyFill="1" applyBorder="1" applyAlignment="1">
      <alignment horizontal="center" vertical="center"/>
    </xf>
    <xf numFmtId="164" fontId="80" fillId="0" borderId="1" xfId="2869" applyFont="1" applyFill="1" applyBorder="1" applyAlignment="1">
      <alignment horizontal="center" vertical="center"/>
    </xf>
    <xf numFmtId="172" fontId="21" fillId="0" borderId="1" xfId="24" applyNumberFormat="1" applyFont="1" applyFill="1" applyBorder="1" applyAlignment="1">
      <alignment horizontal="center" vertical="center"/>
    </xf>
    <xf numFmtId="42" fontId="21" fillId="0" borderId="1" xfId="2866" applyFont="1" applyFill="1" applyBorder="1" applyAlignment="1">
      <alignment horizontal="center" vertical="center"/>
    </xf>
    <xf numFmtId="42" fontId="80" fillId="0" borderId="1" xfId="2866" applyFont="1" applyFill="1" applyBorder="1" applyAlignment="1">
      <alignment horizontal="center" vertical="center"/>
    </xf>
    <xf numFmtId="9" fontId="33" fillId="0" borderId="1" xfId="0" applyNumberFormat="1" applyFont="1" applyBorder="1" applyAlignment="1">
      <alignment horizontal="center" vertical="center" wrapText="1"/>
    </xf>
    <xf numFmtId="10" fontId="33" fillId="0" borderId="1" xfId="24" applyNumberFormat="1" applyFont="1" applyBorder="1" applyAlignment="1">
      <alignment horizontal="center" vertical="center" wrapText="1"/>
    </xf>
    <xf numFmtId="0" fontId="33" fillId="0" borderId="0" xfId="0" applyFont="1" applyAlignment="1">
      <alignment horizontal="center" vertical="center" wrapText="1"/>
    </xf>
    <xf numFmtId="4" fontId="33" fillId="0" borderId="1" xfId="0" applyNumberFormat="1" applyFont="1" applyBorder="1" applyAlignment="1">
      <alignment horizontal="center" vertical="center" wrapText="1"/>
    </xf>
    <xf numFmtId="3" fontId="33" fillId="0" borderId="1" xfId="0" applyNumberFormat="1" applyFont="1" applyBorder="1" applyAlignment="1">
      <alignment horizontal="center" vertical="center" wrapText="1"/>
    </xf>
    <xf numFmtId="0" fontId="33" fillId="0" borderId="1" xfId="0" applyFont="1" applyBorder="1" applyAlignment="1">
      <alignment wrapText="1"/>
    </xf>
    <xf numFmtId="0" fontId="33" fillId="0" borderId="0" xfId="0" applyFont="1"/>
    <xf numFmtId="1" fontId="33" fillId="0" borderId="1" xfId="0" applyNumberFormat="1" applyFont="1" applyBorder="1" applyAlignment="1">
      <alignment horizontal="center" vertical="center" wrapText="1"/>
    </xf>
    <xf numFmtId="0" fontId="33" fillId="0" borderId="1" xfId="0" applyFont="1" applyBorder="1" applyAlignment="1">
      <alignment horizontal="left" wrapText="1"/>
    </xf>
    <xf numFmtId="0" fontId="33" fillId="0" borderId="54" xfId="0" applyFont="1" applyBorder="1" applyAlignment="1">
      <alignment horizontal="left" wrapText="1"/>
    </xf>
    <xf numFmtId="2" fontId="33" fillId="0" borderId="1" xfId="0" applyNumberFormat="1" applyFont="1" applyBorder="1" applyAlignment="1">
      <alignment horizontal="center" vertical="center" wrapText="1"/>
    </xf>
    <xf numFmtId="0" fontId="33" fillId="0" borderId="1" xfId="0" applyFont="1" applyBorder="1" applyAlignment="1">
      <alignment horizontal="left" vertical="top" wrapText="1"/>
    </xf>
    <xf numFmtId="0" fontId="0" fillId="0" borderId="1" xfId="0" applyBorder="1" applyAlignment="1">
      <alignment wrapText="1"/>
    </xf>
    <xf numFmtId="184" fontId="33" fillId="0" borderId="1" xfId="0" applyNumberFormat="1" applyFont="1" applyBorder="1" applyAlignment="1">
      <alignment horizontal="center" vertical="center" wrapText="1"/>
    </xf>
    <xf numFmtId="164" fontId="33" fillId="0" borderId="0" xfId="2869" applyFont="1" applyBorder="1" applyAlignment="1">
      <alignment horizontal="center" vertical="center"/>
    </xf>
    <xf numFmtId="9" fontId="33" fillId="0" borderId="7" xfId="24" applyFont="1" applyBorder="1" applyAlignment="1">
      <alignment horizontal="center" vertical="center"/>
    </xf>
    <xf numFmtId="4" fontId="33" fillId="0" borderId="1" xfId="0" applyNumberFormat="1" applyFont="1" applyBorder="1" applyAlignment="1">
      <alignment horizontal="center" vertical="center"/>
    </xf>
    <xf numFmtId="3" fontId="33" fillId="0" borderId="1" xfId="0" applyNumberFormat="1" applyFont="1" applyBorder="1" applyAlignment="1">
      <alignment horizontal="center" vertical="center"/>
    </xf>
    <xf numFmtId="9" fontId="33" fillId="0" borderId="1" xfId="0" applyNumberFormat="1" applyFont="1" applyBorder="1" applyAlignment="1">
      <alignment horizontal="center" vertical="center"/>
    </xf>
    <xf numFmtId="4" fontId="33" fillId="0" borderId="0" xfId="0" applyNumberFormat="1" applyFont="1" applyAlignment="1">
      <alignment horizontal="center" vertical="center"/>
    </xf>
    <xf numFmtId="9" fontId="33" fillId="0" borderId="1" xfId="24" applyFont="1" applyFill="1" applyBorder="1" applyAlignment="1">
      <alignment horizontal="center" vertical="center"/>
    </xf>
    <xf numFmtId="0" fontId="10" fillId="17" borderId="57" xfId="0" applyFont="1" applyFill="1" applyBorder="1" applyAlignment="1">
      <alignment horizontal="left" vertical="center" wrapText="1"/>
    </xf>
    <xf numFmtId="0" fontId="10" fillId="17" borderId="4" xfId="0" applyFont="1" applyFill="1" applyBorder="1" applyAlignment="1">
      <alignment horizontal="left" vertical="center" wrapText="1"/>
    </xf>
    <xf numFmtId="0" fontId="29" fillId="0" borderId="17" xfId="0" applyFont="1" applyFill="1" applyBorder="1" applyAlignment="1">
      <alignment horizontal="center"/>
    </xf>
    <xf numFmtId="0" fontId="29" fillId="0" borderId="3" xfId="0" applyFont="1" applyFill="1" applyBorder="1" applyAlignment="1">
      <alignment horizontal="center"/>
    </xf>
    <xf numFmtId="0" fontId="29" fillId="0" borderId="18" xfId="0" applyFont="1" applyFill="1" applyBorder="1" applyAlignment="1">
      <alignment horizontal="center"/>
    </xf>
    <xf numFmtId="0" fontId="29" fillId="0" borderId="1" xfId="0" applyFont="1" applyFill="1" applyBorder="1" applyAlignment="1">
      <alignment horizontal="center"/>
    </xf>
    <xf numFmtId="0" fontId="69" fillId="17" borderId="3" xfId="0" applyFont="1" applyFill="1" applyBorder="1" applyAlignment="1">
      <alignment horizontal="center" vertical="center" wrapText="1"/>
    </xf>
    <xf numFmtId="0" fontId="69" fillId="17" borderId="10" xfId="0" applyFont="1" applyFill="1" applyBorder="1" applyAlignment="1">
      <alignment horizontal="center" vertical="center" wrapText="1"/>
    </xf>
    <xf numFmtId="0" fontId="70" fillId="17" borderId="1" xfId="0" applyFont="1" applyFill="1" applyBorder="1" applyAlignment="1">
      <alignment horizontal="center"/>
    </xf>
    <xf numFmtId="0" fontId="70" fillId="17" borderId="11" xfId="0" applyFont="1" applyFill="1" applyBorder="1" applyAlignment="1">
      <alignment horizontal="center"/>
    </xf>
    <xf numFmtId="0" fontId="28" fillId="3" borderId="1" xfId="0" applyFont="1" applyFill="1" applyBorder="1" applyAlignment="1">
      <alignment vertical="center" wrapText="1"/>
    </xf>
    <xf numFmtId="0" fontId="28" fillId="3" borderId="1" xfId="0" applyFont="1" applyFill="1" applyBorder="1" applyAlignment="1">
      <alignment horizontal="left" vertical="center" wrapText="1"/>
    </xf>
    <xf numFmtId="0" fontId="28" fillId="3" borderId="11" xfId="0" applyFont="1" applyFill="1" applyBorder="1" applyAlignment="1">
      <alignment horizontal="left" vertical="center" wrapText="1"/>
    </xf>
    <xf numFmtId="0" fontId="22" fillId="4" borderId="1" xfId="0" applyFont="1" applyFill="1" applyBorder="1" applyAlignment="1">
      <alignment horizontal="center" vertical="center"/>
    </xf>
    <xf numFmtId="0" fontId="64" fillId="17" borderId="17" xfId="0" applyFont="1" applyFill="1" applyBorder="1" applyAlignment="1">
      <alignment horizontal="center" vertical="center" wrapText="1"/>
    </xf>
    <xf numFmtId="0" fontId="64" fillId="17" borderId="3" xfId="0" applyFont="1" applyFill="1" applyBorder="1" applyAlignment="1">
      <alignment horizontal="center" vertical="center" wrapText="1"/>
    </xf>
    <xf numFmtId="0" fontId="64" fillId="17" borderId="18" xfId="0" applyFont="1" applyFill="1" applyBorder="1" applyAlignment="1">
      <alignment horizontal="center" vertical="center" wrapText="1"/>
    </xf>
    <xf numFmtId="0" fontId="64" fillId="17"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1" fillId="22" borderId="3"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11" fillId="22" borderId="4" xfId="0" applyFont="1" applyFill="1" applyBorder="1" applyAlignment="1">
      <alignment horizontal="center" vertical="center" wrapText="1"/>
    </xf>
    <xf numFmtId="0" fontId="11" fillId="24" borderId="3" xfId="0" applyFont="1" applyFill="1" applyBorder="1" applyAlignment="1">
      <alignment horizontal="center" vertical="center" wrapText="1"/>
    </xf>
    <xf numFmtId="0" fontId="11" fillId="24" borderId="1" xfId="0" applyFont="1" applyFill="1" applyBorder="1" applyAlignment="1">
      <alignment horizontal="center" vertical="center" wrapText="1"/>
    </xf>
    <xf numFmtId="0" fontId="11" fillId="24" borderId="4"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0" fillId="17" borderId="18" xfId="0" applyFont="1" applyFill="1" applyBorder="1" applyAlignment="1">
      <alignment horizontal="left" vertical="center" wrapText="1"/>
    </xf>
    <xf numFmtId="0" fontId="10" fillId="17"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2" fillId="4" borderId="1" xfId="0" applyFont="1" applyFill="1" applyBorder="1" applyAlignment="1">
      <alignment horizontal="center" vertical="center" wrapText="1"/>
    </xf>
    <xf numFmtId="0" fontId="64" fillId="22" borderId="1" xfId="0" applyFont="1" applyFill="1" applyBorder="1" applyAlignment="1">
      <alignment horizontal="center" vertical="center"/>
    </xf>
    <xf numFmtId="0" fontId="11" fillId="18" borderId="3"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18" borderId="4" xfId="0" applyFont="1" applyFill="1" applyBorder="1" applyAlignment="1">
      <alignment horizontal="center" vertical="center" wrapText="1"/>
    </xf>
    <xf numFmtId="0" fontId="5" fillId="22" borderId="3"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5" fillId="22" borderId="4"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0" fillId="0" borderId="0" xfId="0" applyFill="1" applyBorder="1" applyAlignment="1">
      <alignment horizontal="center" vertical="center"/>
    </xf>
    <xf numFmtId="0" fontId="33" fillId="0" borderId="1" xfId="0" applyFont="1" applyFill="1" applyBorder="1" applyAlignment="1">
      <alignment horizontal="justify" vertical="top" wrapText="1"/>
    </xf>
    <xf numFmtId="0" fontId="3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10" fillId="17" borderId="18"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57" xfId="0" applyFont="1" applyFill="1" applyBorder="1" applyAlignment="1">
      <alignment horizontal="center" vertical="center" wrapText="1"/>
    </xf>
    <xf numFmtId="0" fontId="10" fillId="17" borderId="4" xfId="0" applyFont="1" applyFill="1" applyBorder="1" applyAlignment="1">
      <alignment horizontal="center" vertical="center" wrapText="1"/>
    </xf>
    <xf numFmtId="0" fontId="5" fillId="17" borderId="17"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28" fillId="17" borderId="3" xfId="0" applyFont="1" applyFill="1" applyBorder="1" applyAlignment="1">
      <alignment horizontal="center" vertical="center" wrapText="1"/>
    </xf>
    <xf numFmtId="0" fontId="28" fillId="17" borderId="10" xfId="0" applyFont="1" applyFill="1" applyBorder="1" applyAlignment="1">
      <alignment horizontal="center" vertical="center" wrapText="1"/>
    </xf>
    <xf numFmtId="0" fontId="73" fillId="17" borderId="1" xfId="0" applyFont="1" applyFill="1" applyBorder="1" applyAlignment="1">
      <alignment horizontal="center" vertical="center" wrapText="1"/>
    </xf>
    <xf numFmtId="0" fontId="73" fillId="17" borderId="11" xfId="0" applyFont="1" applyFill="1" applyBorder="1" applyAlignment="1">
      <alignment horizontal="center" vertical="center" wrapText="1"/>
    </xf>
    <xf numFmtId="0" fontId="28" fillId="0" borderId="1" xfId="0" applyFont="1" applyFill="1" applyBorder="1" applyAlignment="1">
      <alignment horizontal="left" vertical="center"/>
    </xf>
    <xf numFmtId="0" fontId="5" fillId="17" borderId="3" xfId="0" applyFont="1" applyFill="1" applyBorder="1" applyAlignment="1">
      <alignment horizontal="center" vertical="center"/>
    </xf>
    <xf numFmtId="0" fontId="5" fillId="22" borderId="1" xfId="0" applyFont="1" applyFill="1" applyBorder="1" applyAlignment="1">
      <alignment horizontal="center" vertical="center"/>
    </xf>
    <xf numFmtId="0" fontId="28" fillId="0" borderId="11" xfId="0" applyFont="1" applyFill="1" applyBorder="1" applyAlignment="1">
      <alignment horizontal="left" vertical="center"/>
    </xf>
    <xf numFmtId="0" fontId="10" fillId="0" borderId="62"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65" xfId="0" applyFont="1" applyFill="1" applyBorder="1" applyAlignment="1">
      <alignment horizontal="left" vertical="center" wrapText="1"/>
    </xf>
    <xf numFmtId="0" fontId="5" fillId="17" borderId="10"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24" borderId="3" xfId="0" applyFont="1" applyFill="1" applyBorder="1" applyAlignment="1">
      <alignment horizontal="center" vertical="center" wrapText="1"/>
    </xf>
    <xf numFmtId="0" fontId="5" fillId="24" borderId="1" xfId="0" applyFont="1" applyFill="1" applyBorder="1" applyAlignment="1">
      <alignment horizontal="center" vertical="center" wrapText="1"/>
    </xf>
    <xf numFmtId="0" fontId="5" fillId="24" borderId="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2" fillId="0" borderId="0" xfId="0" applyFont="1" applyFill="1" applyBorder="1" applyAlignment="1">
      <alignment horizontal="center" vertical="center" wrapText="1"/>
    </xf>
    <xf numFmtId="182" fontId="0" fillId="0" borderId="0" xfId="0" applyNumberFormat="1" applyFill="1" applyBorder="1" applyAlignment="1">
      <alignment horizontal="left" vertical="center"/>
    </xf>
    <xf numFmtId="0" fontId="0" fillId="0" borderId="0" xfId="0" applyFill="1" applyBorder="1" applyAlignment="1">
      <alignment horizontal="left" vertical="center"/>
    </xf>
    <xf numFmtId="181" fontId="3" fillId="17" borderId="17" xfId="0" applyNumberFormat="1" applyFont="1" applyFill="1" applyBorder="1" applyAlignment="1" applyProtection="1">
      <alignment horizontal="center" vertical="center" wrapText="1"/>
      <protection locked="0"/>
    </xf>
    <xf numFmtId="181" fontId="3" fillId="17" borderId="3" xfId="0" applyNumberFormat="1" applyFont="1" applyFill="1" applyBorder="1" applyAlignment="1" applyProtection="1">
      <alignment horizontal="center" vertical="center" wrapText="1"/>
      <protection locked="0"/>
    </xf>
    <xf numFmtId="181" fontId="3" fillId="17" borderId="18" xfId="0" applyNumberFormat="1" applyFont="1" applyFill="1" applyBorder="1" applyAlignment="1" applyProtection="1">
      <alignment horizontal="center" vertical="center" wrapText="1"/>
      <protection locked="0"/>
    </xf>
    <xf numFmtId="181" fontId="3" fillId="17" borderId="1" xfId="0" applyNumberFormat="1" applyFont="1" applyFill="1" applyBorder="1" applyAlignment="1" applyProtection="1">
      <alignment horizontal="center" vertical="center" wrapText="1"/>
      <protection locked="0"/>
    </xf>
    <xf numFmtId="181" fontId="3" fillId="17" borderId="57" xfId="0" applyNumberFormat="1" applyFont="1" applyFill="1" applyBorder="1" applyAlignment="1" applyProtection="1">
      <alignment horizontal="center" vertical="center" wrapText="1"/>
      <protection locked="0"/>
    </xf>
    <xf numFmtId="181" fontId="3" fillId="17" borderId="4" xfId="0" applyNumberFormat="1" applyFont="1" applyFill="1" applyBorder="1" applyAlignment="1" applyProtection="1">
      <alignment horizontal="center" vertical="center" wrapText="1"/>
      <protection locked="0"/>
    </xf>
    <xf numFmtId="0" fontId="33" fillId="0" borderId="3" xfId="0" applyFont="1" applyFill="1" applyBorder="1" applyAlignment="1">
      <alignment horizontal="left" vertical="center" wrapText="1"/>
    </xf>
    <xf numFmtId="0" fontId="21" fillId="0" borderId="0"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7" fillId="0" borderId="11" xfId="0" applyFont="1" applyFill="1" applyBorder="1" applyAlignment="1">
      <alignment horizontal="center" vertical="center" wrapText="1"/>
    </xf>
    <xf numFmtId="10" fontId="4" fillId="0" borderId="1" xfId="0" applyNumberFormat="1" applyFont="1" applyFill="1" applyBorder="1" applyAlignment="1" applyProtection="1">
      <alignment horizontal="center" vertical="center" wrapText="1"/>
      <protection locked="0"/>
    </xf>
    <xf numFmtId="0" fontId="33" fillId="0" borderId="1" xfId="16" applyFont="1" applyFill="1" applyBorder="1" applyAlignment="1">
      <alignment horizontal="left" vertical="top" wrapText="1"/>
    </xf>
    <xf numFmtId="0" fontId="33" fillId="0" borderId="1" xfId="16" applyFont="1" applyFill="1" applyBorder="1" applyAlignment="1">
      <alignment horizontal="left" vertical="top"/>
    </xf>
    <xf numFmtId="0" fontId="2" fillId="17" borderId="1" xfId="16"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4" fillId="0" borderId="1" xfId="16" applyBorder="1" applyAlignment="1">
      <alignment horizontal="center" vertical="center" wrapText="1"/>
    </xf>
    <xf numFmtId="0" fontId="4" fillId="0" borderId="1" xfId="16" applyFill="1" applyBorder="1" applyAlignment="1">
      <alignment horizontal="center" vertical="center" wrapText="1"/>
    </xf>
    <xf numFmtId="0" fontId="4" fillId="0" borderId="1" xfId="16" applyFill="1" applyBorder="1" applyAlignment="1">
      <alignment horizontal="justify" vertical="top" wrapText="1"/>
    </xf>
    <xf numFmtId="10" fontId="2" fillId="0" borderId="1" xfId="0" applyNumberFormat="1" applyFont="1" applyBorder="1" applyAlignment="1" applyProtection="1">
      <alignment horizontal="center" vertical="center" wrapText="1"/>
      <protection locked="0"/>
    </xf>
    <xf numFmtId="0" fontId="33" fillId="0" borderId="1" xfId="16" applyFont="1" applyFill="1" applyBorder="1" applyAlignment="1">
      <alignment horizontal="justify" vertical="top" wrapText="1"/>
    </xf>
    <xf numFmtId="0" fontId="33" fillId="0" borderId="1" xfId="16" applyFont="1" applyFill="1" applyBorder="1" applyAlignment="1">
      <alignment horizontal="justify" vertical="top"/>
    </xf>
    <xf numFmtId="0" fontId="4" fillId="0" borderId="1" xfId="16" applyFill="1" applyBorder="1" applyAlignment="1">
      <alignment horizontal="justify" vertical="center" wrapText="1"/>
    </xf>
    <xf numFmtId="0" fontId="4" fillId="0" borderId="1" xfId="16" applyFill="1" applyBorder="1" applyAlignment="1">
      <alignment horizontal="left" vertical="top" wrapText="1"/>
    </xf>
    <xf numFmtId="0" fontId="4" fillId="0" borderId="1" xfId="0" applyFont="1" applyFill="1" applyBorder="1" applyAlignment="1">
      <alignment horizontal="left" vertical="top" wrapText="1"/>
    </xf>
    <xf numFmtId="0" fontId="4" fillId="3" borderId="1" xfId="16" applyFill="1" applyBorder="1" applyAlignment="1">
      <alignment horizontal="center" vertical="center" wrapText="1"/>
    </xf>
    <xf numFmtId="0" fontId="4" fillId="0" borderId="1" xfId="16" applyFill="1" applyBorder="1" applyAlignment="1">
      <alignment vertical="top" wrapText="1"/>
    </xf>
    <xf numFmtId="0" fontId="4" fillId="0" borderId="1" xfId="16" applyFill="1" applyBorder="1" applyAlignment="1">
      <alignment horizontal="left" vertical="center" wrapText="1"/>
    </xf>
    <xf numFmtId="0" fontId="2" fillId="3" borderId="1" xfId="0" applyFont="1" applyFill="1" applyBorder="1" applyAlignment="1" applyProtection="1">
      <alignment horizontal="center" vertical="center" wrapText="1"/>
      <protection locked="0"/>
    </xf>
    <xf numFmtId="0" fontId="27" fillId="0" borderId="23" xfId="0" applyFont="1" applyFill="1" applyBorder="1" applyAlignment="1">
      <alignment horizontal="center"/>
    </xf>
    <xf numFmtId="0" fontId="27" fillId="0" borderId="24" xfId="0" applyFont="1" applyFill="1" applyBorder="1" applyAlignment="1">
      <alignment horizontal="center"/>
    </xf>
    <xf numFmtId="0" fontId="27" fillId="0" borderId="26" xfId="0" applyFont="1" applyFill="1" applyBorder="1" applyAlignment="1">
      <alignment horizontal="center"/>
    </xf>
    <xf numFmtId="0" fontId="27" fillId="0" borderId="0" xfId="0" applyFont="1" applyFill="1" applyBorder="1" applyAlignment="1">
      <alignment horizontal="center"/>
    </xf>
    <xf numFmtId="0" fontId="27" fillId="0" borderId="28" xfId="0" applyFont="1" applyFill="1" applyBorder="1" applyAlignment="1">
      <alignment horizontal="center"/>
    </xf>
    <xf numFmtId="0" fontId="27" fillId="0" borderId="29" xfId="0" applyFont="1" applyFill="1" applyBorder="1" applyAlignment="1">
      <alignment horizontal="center"/>
    </xf>
    <xf numFmtId="0" fontId="28" fillId="17" borderId="17" xfId="0" applyFont="1" applyFill="1" applyBorder="1" applyAlignment="1">
      <alignment horizontal="center" vertical="center" wrapText="1"/>
    </xf>
    <xf numFmtId="0" fontId="73" fillId="17" borderId="18" xfId="0" applyFont="1" applyFill="1" applyBorder="1" applyAlignment="1">
      <alignment horizontal="left" vertical="center" wrapText="1"/>
    </xf>
    <xf numFmtId="0" fontId="73" fillId="17" borderId="1" xfId="0" applyFont="1" applyFill="1" applyBorder="1" applyAlignment="1">
      <alignment horizontal="left" vertical="center" wrapText="1"/>
    </xf>
    <xf numFmtId="0" fontId="73" fillId="17" borderId="11" xfId="0" applyFont="1" applyFill="1" applyBorder="1" applyAlignment="1">
      <alignment horizontal="left"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15" fillId="17" borderId="3"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10" fillId="17" borderId="42"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5"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17" xfId="16" applyFont="1" applyFill="1" applyBorder="1" applyAlignment="1">
      <alignment horizontal="center" vertical="center" wrapText="1"/>
    </xf>
    <xf numFmtId="0" fontId="2" fillId="17" borderId="57" xfId="16" applyFont="1" applyFill="1" applyBorder="1" applyAlignment="1">
      <alignment horizontal="center" vertical="center" wrapText="1"/>
    </xf>
    <xf numFmtId="0" fontId="28" fillId="3" borderId="42" xfId="0" applyFont="1" applyFill="1" applyBorder="1" applyAlignment="1">
      <alignment horizontal="left" vertical="center" wrapText="1"/>
    </xf>
    <xf numFmtId="0" fontId="28" fillId="3" borderId="30" xfId="0" applyFont="1" applyFill="1" applyBorder="1" applyAlignment="1">
      <alignment horizontal="left" vertical="center" wrapText="1"/>
    </xf>
    <xf numFmtId="0" fontId="28" fillId="3" borderId="43" xfId="0" applyFont="1" applyFill="1" applyBorder="1" applyAlignment="1">
      <alignment horizontal="left" vertical="center" wrapText="1"/>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22" fillId="4" borderId="8"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8"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5" xfId="0" applyFont="1" applyFill="1" applyBorder="1" applyAlignment="1">
      <alignment horizontal="left" vertical="top"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58" fillId="17" borderId="1" xfId="0" applyFont="1" applyFill="1" applyBorder="1" applyAlignment="1">
      <alignment horizontal="center" vertical="center"/>
    </xf>
    <xf numFmtId="0" fontId="28"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0" fillId="17" borderId="45" xfId="0" applyFont="1" applyFill="1" applyBorder="1" applyAlignment="1">
      <alignment horizontal="left" vertical="center"/>
    </xf>
    <xf numFmtId="0" fontId="10" fillId="17" borderId="46" xfId="0" applyFont="1" applyFill="1" applyBorder="1" applyAlignment="1">
      <alignment horizontal="left" vertical="center"/>
    </xf>
    <xf numFmtId="0" fontId="10" fillId="17" borderId="47"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49" xfId="0" applyFont="1" applyFill="1" applyBorder="1" applyAlignment="1">
      <alignment horizontal="left" vertical="center"/>
    </xf>
    <xf numFmtId="0" fontId="10" fillId="3" borderId="50" xfId="0" applyFont="1" applyFill="1" applyBorder="1" applyAlignment="1">
      <alignment horizontal="left" vertical="center"/>
    </xf>
    <xf numFmtId="0" fontId="10" fillId="17" borderId="45" xfId="0" applyFont="1" applyFill="1" applyBorder="1" applyAlignment="1">
      <alignment horizontal="left" vertical="center" wrapText="1"/>
    </xf>
    <xf numFmtId="0" fontId="10" fillId="17" borderId="46" xfId="0" applyFont="1" applyFill="1" applyBorder="1" applyAlignment="1">
      <alignment horizontal="left" vertical="center" wrapText="1"/>
    </xf>
    <xf numFmtId="0" fontId="10" fillId="17" borderId="47"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30" fillId="17" borderId="28" xfId="19" applyFont="1" applyFill="1" applyBorder="1" applyAlignment="1">
      <alignment horizontal="left" vertical="center" wrapText="1"/>
    </xf>
    <xf numFmtId="0" fontId="30" fillId="17" borderId="29" xfId="19" applyFont="1" applyFill="1" applyBorder="1" applyAlignment="1">
      <alignment horizontal="left" vertical="center" wrapText="1"/>
    </xf>
    <xf numFmtId="0" fontId="30" fillId="17" borderId="39" xfId="19" applyFont="1" applyFill="1" applyBorder="1" applyAlignment="1">
      <alignment horizontal="left" vertical="center" wrapText="1"/>
    </xf>
    <xf numFmtId="0" fontId="11" fillId="15" borderId="52" xfId="0" applyFont="1" applyFill="1" applyBorder="1" applyAlignment="1">
      <alignment horizontal="left" vertical="center" wrapText="1"/>
    </xf>
    <xf numFmtId="0" fontId="11" fillId="15" borderId="49"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30" fillId="0" borderId="45" xfId="19" applyFont="1" applyBorder="1" applyAlignment="1">
      <alignment horizontal="center" vertical="center" wrapText="1"/>
    </xf>
    <xf numFmtId="0" fontId="30" fillId="0" borderId="46" xfId="19" applyFont="1" applyBorder="1" applyAlignment="1">
      <alignment horizontal="center" vertical="center" wrapText="1"/>
    </xf>
    <xf numFmtId="0" fontId="30" fillId="0" borderId="47" xfId="19" applyFont="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2" xfId="0" applyFont="1" applyFill="1" applyBorder="1" applyAlignment="1">
      <alignment horizontal="center" vertical="center" wrapText="1"/>
    </xf>
    <xf numFmtId="3"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3" fontId="2" fillId="0" borderId="1" xfId="0" applyNumberFormat="1" applyFont="1" applyBorder="1" applyAlignment="1">
      <alignment horizontal="center" vertical="center" wrapText="1"/>
    </xf>
    <xf numFmtId="0" fontId="33" fillId="0" borderId="1" xfId="0" applyFont="1" applyBorder="1" applyAlignment="1">
      <alignment horizontal="center" vertical="center"/>
    </xf>
    <xf numFmtId="3"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vertical="center" wrapText="1"/>
    </xf>
    <xf numFmtId="3" fontId="4" fillId="0" borderId="2" xfId="0" applyNumberFormat="1" applyFont="1" applyBorder="1" applyAlignment="1">
      <alignment horizontal="center" vertical="center"/>
    </xf>
    <xf numFmtId="3" fontId="4" fillId="0" borderId="2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4" fillId="16" borderId="8" xfId="0" applyFont="1" applyFill="1" applyBorder="1" applyAlignment="1">
      <alignment horizontal="center" vertical="center"/>
    </xf>
    <xf numFmtId="0" fontId="44" fillId="16" borderId="6" xfId="0" applyFont="1" applyFill="1" applyBorder="1" applyAlignment="1">
      <alignment horizontal="center" vertical="center"/>
    </xf>
    <xf numFmtId="0" fontId="44" fillId="16" borderId="7" xfId="0" applyFont="1" applyFill="1" applyBorder="1" applyAlignment="1">
      <alignment horizontal="center" vertical="center"/>
    </xf>
    <xf numFmtId="0" fontId="44" fillId="16" borderId="1" xfId="0" applyFont="1" applyFill="1" applyBorder="1" applyAlignment="1">
      <alignment horizontal="center" vertical="center" wrapText="1"/>
    </xf>
    <xf numFmtId="0" fontId="43" fillId="0" borderId="8"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 xfId="0" applyFont="1" applyBorder="1" applyAlignment="1">
      <alignment horizontal="center" vertical="center"/>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57" xfId="0" applyFont="1" applyFill="1" applyBorder="1" applyAlignment="1">
      <alignment horizontal="center" vertical="center" wrapText="1"/>
    </xf>
    <xf numFmtId="0" fontId="15" fillId="17" borderId="4" xfId="0" applyFont="1" applyFill="1" applyBorder="1" applyAlignment="1">
      <alignment horizontal="center" vertical="center" wrapText="1"/>
    </xf>
    <xf numFmtId="42" fontId="2" fillId="17" borderId="2" xfId="0" applyNumberFormat="1" applyFont="1" applyFill="1" applyBorder="1" applyAlignment="1">
      <alignment horizontal="center" vertical="center" wrapText="1"/>
    </xf>
    <xf numFmtId="42" fontId="2" fillId="17" borderId="22" xfId="0" applyNumberFormat="1" applyFont="1" applyFill="1" applyBorder="1" applyAlignment="1">
      <alignment horizontal="center" vertical="center" wrapText="1"/>
    </xf>
    <xf numFmtId="42" fontId="2" fillId="17" borderId="5" xfId="0" applyNumberFormat="1" applyFont="1" applyFill="1" applyBorder="1" applyAlignment="1">
      <alignment horizontal="center" vertical="center" wrapText="1"/>
    </xf>
    <xf numFmtId="0" fontId="2" fillId="17" borderId="51" xfId="0" applyFont="1" applyFill="1" applyBorder="1" applyAlignment="1">
      <alignment horizontal="center" vertical="center" wrapText="1"/>
    </xf>
    <xf numFmtId="0" fontId="2" fillId="17" borderId="66" xfId="0" applyFont="1" applyFill="1" applyBorder="1" applyAlignment="1">
      <alignment horizontal="center" vertical="center" wrapText="1"/>
    </xf>
    <xf numFmtId="0" fontId="2" fillId="17" borderId="67" xfId="0" applyFont="1" applyFill="1" applyBorder="1" applyAlignment="1">
      <alignment horizontal="center" vertical="center" wrapText="1"/>
    </xf>
    <xf numFmtId="0" fontId="2" fillId="17" borderId="54" xfId="0" applyFont="1" applyFill="1" applyBorder="1" applyAlignment="1">
      <alignment horizontal="center" vertical="center" wrapText="1"/>
    </xf>
    <xf numFmtId="0" fontId="2" fillId="17" borderId="0" xfId="0" applyFont="1" applyFill="1" applyAlignment="1">
      <alignment horizontal="center" vertical="center" wrapText="1"/>
    </xf>
    <xf numFmtId="0" fontId="2" fillId="17" borderId="9" xfId="0" applyFont="1" applyFill="1" applyBorder="1" applyAlignment="1">
      <alignment horizontal="center" vertical="center" wrapText="1"/>
    </xf>
    <xf numFmtId="0" fontId="2" fillId="17" borderId="68" xfId="0" applyFont="1" applyFill="1" applyBorder="1" applyAlignment="1">
      <alignment horizontal="center" vertical="center" wrapText="1"/>
    </xf>
    <xf numFmtId="0" fontId="2" fillId="17" borderId="69" xfId="0" applyFont="1" applyFill="1" applyBorder="1" applyAlignment="1">
      <alignment horizontal="center" vertical="center" wrapText="1"/>
    </xf>
    <xf numFmtId="0" fontId="2" fillId="17" borderId="70" xfId="0" applyFont="1" applyFill="1" applyBorder="1" applyAlignment="1">
      <alignment horizontal="center" vertical="center" wrapText="1"/>
    </xf>
    <xf numFmtId="0" fontId="54" fillId="18" borderId="8" xfId="0" applyFont="1" applyFill="1" applyBorder="1" applyAlignment="1">
      <alignment horizontal="center"/>
    </xf>
    <xf numFmtId="0" fontId="54" fillId="18" borderId="6" xfId="0" applyFont="1" applyFill="1" applyBorder="1" applyAlignment="1">
      <alignment horizontal="center"/>
    </xf>
    <xf numFmtId="0" fontId="54" fillId="18" borderId="7" xfId="0" applyFont="1" applyFill="1" applyBorder="1" applyAlignment="1">
      <alignment horizont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33" fillId="0" borderId="51" xfId="0" applyFont="1" applyBorder="1" applyAlignment="1">
      <alignment horizontal="center" vertical="center"/>
    </xf>
    <xf numFmtId="0" fontId="33" fillId="0" borderId="54" xfId="0" applyFont="1" applyBorder="1" applyAlignment="1">
      <alignment horizontal="center" vertical="center"/>
    </xf>
    <xf numFmtId="0" fontId="33" fillId="0" borderId="22" xfId="0" applyFont="1" applyBorder="1" applyAlignment="1">
      <alignment horizontal="center" vertical="center"/>
    </xf>
    <xf numFmtId="0" fontId="33" fillId="0" borderId="5" xfId="0" applyFont="1" applyBorder="1" applyAlignment="1">
      <alignment horizontal="center" vertical="center"/>
    </xf>
    <xf numFmtId="0" fontId="33" fillId="0" borderId="2" xfId="0" applyFont="1" applyBorder="1" applyAlignment="1">
      <alignment horizontal="center" vertical="center"/>
    </xf>
    <xf numFmtId="0" fontId="0" fillId="0" borderId="67" xfId="0" applyBorder="1" applyAlignment="1">
      <alignment horizontal="center" vertical="center"/>
    </xf>
    <xf numFmtId="0" fontId="0" fillId="0" borderId="9" xfId="0" applyBorder="1" applyAlignment="1">
      <alignment horizontal="center" vertical="center"/>
    </xf>
    <xf numFmtId="0" fontId="0" fillId="0" borderId="70" xfId="0"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5" xfId="0" applyFont="1" applyBorder="1" applyAlignment="1">
      <alignment horizontal="center" vertical="center" wrapText="1"/>
    </xf>
    <xf numFmtId="9" fontId="33" fillId="0" borderId="1" xfId="0" applyNumberFormat="1" applyFont="1" applyBorder="1" applyAlignment="1">
      <alignment horizontal="center" vertical="center" wrapText="1"/>
    </xf>
    <xf numFmtId="0" fontId="54" fillId="18" borderId="8" xfId="0" applyFont="1" applyFill="1" applyBorder="1" applyAlignment="1">
      <alignment horizontal="center" vertical="center"/>
    </xf>
    <xf numFmtId="0" fontId="54" fillId="18" borderId="6" xfId="0" applyFont="1" applyFill="1" applyBorder="1" applyAlignment="1">
      <alignment horizontal="center" vertical="center"/>
    </xf>
    <xf numFmtId="0" fontId="54" fillId="18" borderId="7" xfId="0" applyFont="1" applyFill="1" applyBorder="1" applyAlignment="1">
      <alignment horizontal="center" vertical="center"/>
    </xf>
    <xf numFmtId="0" fontId="54" fillId="18"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79" fillId="17" borderId="1" xfId="0" applyFont="1" applyFill="1" applyBorder="1" applyAlignment="1">
      <alignment horizontal="left" vertical="center"/>
    </xf>
    <xf numFmtId="0" fontId="79" fillId="0" borderId="1" xfId="0" applyFont="1" applyBorder="1" applyAlignment="1">
      <alignment horizontal="left" vertical="top"/>
    </xf>
    <xf numFmtId="0" fontId="0" fillId="0" borderId="1" xfId="0" applyBorder="1" applyAlignment="1">
      <alignment horizontal="center"/>
    </xf>
    <xf numFmtId="0" fontId="50" fillId="17" borderId="1" xfId="0" applyFont="1" applyFill="1" applyBorder="1" applyAlignment="1">
      <alignment horizontal="center" vertical="center"/>
    </xf>
    <xf numFmtId="0" fontId="51" fillId="17" borderId="1" xfId="0" applyFont="1" applyFill="1" applyBorder="1" applyAlignment="1">
      <alignment horizontal="center" vertical="center" wrapText="1"/>
    </xf>
    <xf numFmtId="0" fontId="51" fillId="17" borderId="1" xfId="0" applyFont="1" applyFill="1" applyBorder="1" applyAlignment="1">
      <alignment horizontal="center" vertical="center"/>
    </xf>
    <xf numFmtId="0" fontId="52" fillId="0" borderId="1" xfId="0" applyFont="1" applyBorder="1" applyAlignment="1">
      <alignment horizontal="center"/>
    </xf>
    <xf numFmtId="0" fontId="51" fillId="0" borderId="1" xfId="0" applyFont="1" applyBorder="1" applyAlignment="1">
      <alignment horizontal="center"/>
    </xf>
    <xf numFmtId="0" fontId="43" fillId="0" borderId="8"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54" fillId="18" borderId="41" xfId="0" applyFont="1" applyFill="1" applyBorder="1" applyAlignment="1">
      <alignment horizontal="center"/>
    </xf>
    <xf numFmtId="0" fontId="54" fillId="18" borderId="32" xfId="0" applyFont="1" applyFill="1" applyBorder="1" applyAlignment="1">
      <alignment horizontal="center"/>
    </xf>
    <xf numFmtId="0" fontId="54" fillId="18" borderId="33" xfId="0" applyFont="1" applyFill="1" applyBorder="1" applyAlignment="1">
      <alignment horizontal="center"/>
    </xf>
    <xf numFmtId="0" fontId="54" fillId="18" borderId="41" xfId="0" applyFont="1" applyFill="1" applyBorder="1" applyAlignment="1">
      <alignment horizontal="center" vertical="center"/>
    </xf>
    <xf numFmtId="0" fontId="54" fillId="18" borderId="32" xfId="0" applyFont="1" applyFill="1" applyBorder="1" applyAlignment="1">
      <alignment horizontal="center" vertical="center"/>
    </xf>
    <xf numFmtId="0" fontId="54" fillId="18" borderId="33" xfId="0" applyFont="1" applyFill="1" applyBorder="1" applyAlignment="1">
      <alignment horizontal="center" vertical="center"/>
    </xf>
    <xf numFmtId="182" fontId="0" fillId="0" borderId="3" xfId="9" applyNumberFormat="1" applyFont="1" applyBorder="1" applyAlignment="1">
      <alignment horizontal="center" vertical="center"/>
    </xf>
    <xf numFmtId="182" fontId="0" fillId="0" borderId="1" xfId="9" applyNumberFormat="1" applyFont="1" applyBorder="1" applyAlignment="1">
      <alignment horizontal="center" vertical="center"/>
    </xf>
    <xf numFmtId="182" fontId="0" fillId="0" borderId="4" xfId="9" applyNumberFormat="1" applyFont="1" applyBorder="1" applyAlignment="1">
      <alignment horizontal="center" vertical="center"/>
    </xf>
    <xf numFmtId="0" fontId="0" fillId="20" borderId="59" xfId="0" applyFill="1" applyBorder="1" applyAlignment="1">
      <alignment horizontal="center" vertical="center"/>
    </xf>
    <xf numFmtId="0" fontId="0" fillId="20" borderId="61" xfId="0" applyFill="1" applyBorder="1" applyAlignment="1">
      <alignment horizontal="center" vertical="center"/>
    </xf>
    <xf numFmtId="0" fontId="0" fillId="20" borderId="63" xfId="0"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4" xfId="0" applyBorder="1" applyAlignment="1">
      <alignment horizontal="center" vertical="center"/>
    </xf>
    <xf numFmtId="0" fontId="44" fillId="16" borderId="8" xfId="0" applyFont="1" applyFill="1" applyBorder="1" applyAlignment="1">
      <alignment horizontal="center" vertical="center" wrapText="1"/>
    </xf>
    <xf numFmtId="0" fontId="44" fillId="16" borderId="6" xfId="0" applyFont="1" applyFill="1" applyBorder="1" applyAlignment="1">
      <alignment horizontal="center" vertical="center" wrapText="1"/>
    </xf>
    <xf numFmtId="0" fontId="0" fillId="4" borderId="35"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35" xfId="0" applyBorder="1" applyAlignment="1">
      <alignment horizontal="center" vertical="center" wrapText="1"/>
    </xf>
    <xf numFmtId="0" fontId="0" fillId="0" borderId="22" xfId="0" applyBorder="1" applyAlignment="1">
      <alignment horizontal="center" vertical="center" wrapText="1"/>
    </xf>
    <xf numFmtId="0" fontId="0" fillId="0" borderId="36" xfId="0" applyBorder="1" applyAlignment="1">
      <alignment horizontal="center" vertical="center" wrapText="1"/>
    </xf>
    <xf numFmtId="0" fontId="56" fillId="0" borderId="35" xfId="0" applyFont="1" applyBorder="1" applyAlignment="1">
      <alignment horizontal="center" wrapText="1"/>
    </xf>
    <xf numFmtId="0" fontId="56" fillId="0" borderId="22" xfId="0" applyFont="1" applyBorder="1" applyAlignment="1">
      <alignment horizontal="center" wrapText="1"/>
    </xf>
    <xf numFmtId="0" fontId="56" fillId="0" borderId="36" xfId="0" applyFont="1" applyBorder="1" applyAlignment="1">
      <alignment horizontal="center" wrapText="1"/>
    </xf>
    <xf numFmtId="0" fontId="56" fillId="0" borderId="35" xfId="0" applyFont="1" applyBorder="1" applyAlignment="1">
      <alignment horizontal="center" vertical="center"/>
    </xf>
    <xf numFmtId="0" fontId="56" fillId="0" borderId="22" xfId="0" applyFont="1" applyBorder="1" applyAlignment="1">
      <alignment horizontal="center" vertical="center"/>
    </xf>
    <xf numFmtId="0" fontId="56" fillId="0" borderId="36" xfId="0" applyFont="1" applyBorder="1" applyAlignment="1">
      <alignment horizontal="center" vertical="center"/>
    </xf>
    <xf numFmtId="0" fontId="54" fillId="18" borderId="23" xfId="0" applyFont="1" applyFill="1" applyBorder="1" applyAlignment="1">
      <alignment horizontal="center"/>
    </xf>
    <xf numFmtId="0" fontId="54" fillId="18" borderId="24" xfId="0" applyFont="1" applyFill="1" applyBorder="1" applyAlignment="1">
      <alignment horizontal="center"/>
    </xf>
    <xf numFmtId="0" fontId="54" fillId="18" borderId="38" xfId="0" applyFont="1" applyFill="1" applyBorder="1" applyAlignment="1">
      <alignment horizontal="center"/>
    </xf>
    <xf numFmtId="0" fontId="0" fillId="0" borderId="2" xfId="0" applyBorder="1" applyAlignment="1">
      <alignment horizontal="center" vertical="center" wrapText="1"/>
    </xf>
    <xf numFmtId="0" fontId="56" fillId="0" borderId="35" xfId="0" applyFont="1" applyBorder="1" applyAlignment="1">
      <alignment horizontal="center" vertical="top" wrapText="1"/>
    </xf>
    <xf numFmtId="0" fontId="56" fillId="0" borderId="22" xfId="0" applyFont="1" applyBorder="1" applyAlignment="1">
      <alignment horizontal="center" vertical="top" wrapText="1"/>
    </xf>
    <xf numFmtId="0" fontId="56" fillId="0" borderId="36" xfId="0" applyFont="1" applyBorder="1" applyAlignment="1">
      <alignment horizontal="center" vertical="top"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58"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4" fillId="18" borderId="17" xfId="0" applyFont="1" applyFill="1" applyBorder="1" applyAlignment="1">
      <alignment horizontal="center" vertical="center"/>
    </xf>
    <xf numFmtId="0" fontId="54" fillId="18" borderId="3" xfId="0" applyFont="1" applyFill="1" applyBorder="1" applyAlignment="1">
      <alignment horizontal="center" vertical="center"/>
    </xf>
    <xf numFmtId="0" fontId="54" fillId="18" borderId="10" xfId="0" applyFont="1" applyFill="1" applyBorder="1" applyAlignment="1">
      <alignment horizontal="center" vertical="center"/>
    </xf>
    <xf numFmtId="0" fontId="54" fillId="18" borderId="24" xfId="0" applyFont="1" applyFill="1" applyBorder="1" applyAlignment="1">
      <alignment horizontal="center" vertical="center"/>
    </xf>
    <xf numFmtId="0" fontId="54"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56" fillId="0" borderId="13" xfId="0" applyFont="1" applyFill="1" applyBorder="1" applyAlignment="1">
      <alignment horizontal="center" vertical="center"/>
    </xf>
    <xf numFmtId="0" fontId="56" fillId="0" borderId="14" xfId="0" applyFont="1" applyFill="1" applyBorder="1" applyAlignment="1">
      <alignment horizontal="center" vertical="center"/>
    </xf>
    <xf numFmtId="0" fontId="56" fillId="0" borderId="15" xfId="0" applyFont="1" applyFill="1" applyBorder="1" applyAlignment="1">
      <alignment horizontal="center" vertical="center"/>
    </xf>
    <xf numFmtId="42" fontId="0" fillId="0" borderId="25" xfId="0" applyNumberFormat="1" applyFill="1" applyBorder="1" applyAlignment="1">
      <alignment horizontal="center" vertical="center"/>
    </xf>
    <xf numFmtId="42" fontId="0" fillId="0" borderId="9" xfId="0" applyNumberFormat="1" applyFill="1" applyBorder="1" applyAlignment="1">
      <alignment horizontal="center" vertical="center"/>
    </xf>
    <xf numFmtId="42" fontId="0" fillId="0" borderId="34" xfId="0" applyNumberFormat="1" applyFill="1" applyBorder="1" applyAlignment="1">
      <alignment horizontal="center" vertical="center"/>
    </xf>
    <xf numFmtId="42" fontId="0" fillId="0" borderId="35" xfId="0" applyNumberFormat="1" applyFill="1" applyBorder="1" applyAlignment="1">
      <alignment horizontal="center" vertical="center"/>
    </xf>
    <xf numFmtId="42" fontId="0" fillId="0" borderId="22" xfId="0" applyNumberFormat="1" applyFill="1" applyBorder="1" applyAlignment="1">
      <alignment horizontal="center" vertical="center"/>
    </xf>
    <xf numFmtId="42" fontId="0" fillId="0" borderId="36" xfId="0" applyNumberFormat="1" applyFill="1" applyBorder="1" applyAlignment="1">
      <alignment horizontal="center" vertical="center"/>
    </xf>
    <xf numFmtId="42" fontId="0" fillId="0" borderId="60" xfId="0" applyNumberFormat="1" applyFill="1" applyBorder="1" applyAlignment="1">
      <alignment horizontal="center" vertical="center"/>
    </xf>
    <xf numFmtId="0" fontId="0" fillId="0" borderId="54" xfId="0" applyFill="1" applyBorder="1" applyAlignment="1">
      <alignment horizontal="center" vertical="center"/>
    </xf>
    <xf numFmtId="0" fontId="0" fillId="0" borderId="58" xfId="0" applyFill="1" applyBorder="1" applyAlignment="1">
      <alignment horizontal="center" vertical="center"/>
    </xf>
    <xf numFmtId="0" fontId="0" fillId="0" borderId="48" xfId="0" applyFill="1" applyBorder="1" applyAlignment="1">
      <alignment horizontal="center"/>
    </xf>
    <xf numFmtId="0" fontId="0" fillId="0" borderId="53" xfId="0" applyFill="1" applyBorder="1" applyAlignment="1">
      <alignment horizontal="center"/>
    </xf>
    <xf numFmtId="0" fontId="0" fillId="0" borderId="64" xfId="0" applyFill="1" applyBorder="1" applyAlignment="1">
      <alignment horizontal="center"/>
    </xf>
    <xf numFmtId="0" fontId="56" fillId="0" borderId="13" xfId="0" applyFont="1" applyBorder="1" applyAlignment="1">
      <alignment horizontal="center" vertical="center"/>
    </xf>
    <xf numFmtId="0" fontId="56" fillId="0" borderId="14" xfId="0" applyFont="1" applyBorder="1" applyAlignment="1">
      <alignment horizontal="center" vertical="center"/>
    </xf>
    <xf numFmtId="42" fontId="0" fillId="0" borderId="35" xfId="2866" applyFont="1" applyFill="1" applyBorder="1" applyAlignment="1">
      <alignment horizontal="center" vertical="center"/>
    </xf>
    <xf numFmtId="42" fontId="0" fillId="0" borderId="22" xfId="2866" applyFont="1" applyFill="1" applyBorder="1" applyAlignment="1">
      <alignment horizontal="center" vertical="center"/>
    </xf>
    <xf numFmtId="0" fontId="0" fillId="0" borderId="35" xfId="0" applyBorder="1" applyAlignment="1">
      <alignment horizontal="center"/>
    </xf>
    <xf numFmtId="0" fontId="0" fillId="0" borderId="22"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35" xfId="0" applyFill="1" applyBorder="1" applyAlignment="1">
      <alignment horizontal="center"/>
    </xf>
    <xf numFmtId="0" fontId="0" fillId="0" borderId="22" xfId="0" applyFill="1" applyBorder="1" applyAlignment="1">
      <alignment horizontal="center"/>
    </xf>
    <xf numFmtId="0" fontId="0" fillId="0" borderId="36" xfId="0" applyFill="1" applyBorder="1" applyAlignment="1">
      <alignment horizontal="center"/>
    </xf>
    <xf numFmtId="0" fontId="0" fillId="0" borderId="55" xfId="0" applyFill="1" applyBorder="1" applyAlignment="1">
      <alignment horizontal="center"/>
    </xf>
    <xf numFmtId="0" fontId="0" fillId="0" borderId="56" xfId="0" applyFill="1" applyBorder="1" applyAlignment="1">
      <alignment horizontal="center"/>
    </xf>
    <xf numFmtId="0" fontId="0" fillId="0" borderId="44" xfId="0" applyFill="1" applyBorder="1" applyAlignment="1">
      <alignment horizontal="center"/>
    </xf>
    <xf numFmtId="0" fontId="56" fillId="0" borderId="15" xfId="0" applyFont="1" applyBorder="1" applyAlignment="1">
      <alignment horizontal="center" vertical="center"/>
    </xf>
    <xf numFmtId="42" fontId="0" fillId="0" borderId="35" xfId="2866" applyFont="1" applyBorder="1" applyAlignment="1">
      <alignment horizontal="center" vertical="center"/>
    </xf>
    <xf numFmtId="42" fontId="0" fillId="0" borderId="22" xfId="2866" applyFont="1" applyBorder="1" applyAlignment="1">
      <alignment horizontal="center" vertical="center"/>
    </xf>
    <xf numFmtId="42" fontId="0" fillId="0" borderId="36" xfId="2866" applyFont="1" applyBorder="1" applyAlignment="1">
      <alignment horizontal="center" vertical="center"/>
    </xf>
    <xf numFmtId="0" fontId="0" fillId="0" borderId="36" xfId="0" applyBorder="1" applyAlignment="1">
      <alignment horizontal="center"/>
    </xf>
    <xf numFmtId="0" fontId="0" fillId="0" borderId="44" xfId="0" applyBorder="1" applyAlignment="1">
      <alignment horizontal="center"/>
    </xf>
    <xf numFmtId="0" fontId="53" fillId="17" borderId="45" xfId="0" applyFont="1" applyFill="1" applyBorder="1" applyAlignment="1">
      <alignment horizontal="left" vertical="center"/>
    </xf>
    <xf numFmtId="0" fontId="53" fillId="17" borderId="47" xfId="0" applyFont="1" applyFill="1" applyBorder="1" applyAlignment="1">
      <alignment horizontal="left" vertical="center"/>
    </xf>
    <xf numFmtId="0" fontId="22" fillId="0" borderId="29" xfId="0" applyFont="1" applyBorder="1" applyAlignment="1">
      <alignment horizontal="left" vertical="center"/>
    </xf>
    <xf numFmtId="0" fontId="22" fillId="0" borderId="39" xfId="0" applyFont="1" applyBorder="1" applyAlignment="1">
      <alignment horizontal="left" vertical="center"/>
    </xf>
    <xf numFmtId="42" fontId="0" fillId="0" borderId="35" xfId="2866" applyFont="1" applyBorder="1" applyAlignment="1">
      <alignment horizontal="center" vertical="center" wrapText="1"/>
    </xf>
    <xf numFmtId="42" fontId="0" fillId="0" borderId="22" xfId="2866" applyFont="1" applyBorder="1" applyAlignment="1">
      <alignment horizontal="center" vertical="center" wrapText="1"/>
    </xf>
    <xf numFmtId="42" fontId="0" fillId="0" borderId="36" xfId="2866"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0" fillId="17" borderId="17" xfId="0" applyFont="1" applyFill="1" applyBorder="1" applyAlignment="1">
      <alignment horizontal="center" vertical="center"/>
    </xf>
    <xf numFmtId="0" fontId="50" fillId="17" borderId="3" xfId="0" applyFont="1" applyFill="1" applyBorder="1" applyAlignment="1">
      <alignment horizontal="center" vertical="center"/>
    </xf>
    <xf numFmtId="0" fontId="50" fillId="17" borderId="10" xfId="0" applyFont="1" applyFill="1" applyBorder="1" applyAlignment="1">
      <alignment horizontal="center" vertical="center"/>
    </xf>
    <xf numFmtId="0" fontId="51" fillId="17" borderId="18" xfId="0" applyFont="1" applyFill="1" applyBorder="1" applyAlignment="1">
      <alignment horizontal="center" vertical="center" wrapText="1"/>
    </xf>
    <xf numFmtId="0" fontId="51" fillId="17" borderId="2" xfId="0" applyFont="1" applyFill="1" applyBorder="1" applyAlignment="1">
      <alignment horizontal="center" vertical="center"/>
    </xf>
    <xf numFmtId="0" fontId="51" fillId="17" borderId="19" xfId="0" applyFont="1" applyFill="1" applyBorder="1" applyAlignment="1">
      <alignment horizontal="center" vertical="center"/>
    </xf>
    <xf numFmtId="0" fontId="52" fillId="0" borderId="42" xfId="0" applyFont="1" applyBorder="1" applyAlignment="1">
      <alignment horizontal="center"/>
    </xf>
    <xf numFmtId="0" fontId="52" fillId="0" borderId="30" xfId="0" applyFont="1" applyBorder="1" applyAlignment="1">
      <alignment horizontal="center"/>
    </xf>
    <xf numFmtId="0" fontId="51" fillId="0" borderId="45" xfId="0" applyFont="1" applyBorder="1" applyAlignment="1">
      <alignment horizontal="center"/>
    </xf>
    <xf numFmtId="0" fontId="51" fillId="0" borderId="46" xfId="0" applyFont="1" applyBorder="1" applyAlignment="1">
      <alignment horizontal="center"/>
    </xf>
    <xf numFmtId="0" fontId="51" fillId="0" borderId="47" xfId="0" applyFont="1" applyBorder="1" applyAlignment="1">
      <alignment horizontal="center"/>
    </xf>
    <xf numFmtId="0" fontId="53" fillId="17" borderId="23" xfId="0" applyFont="1" applyFill="1" applyBorder="1" applyAlignment="1">
      <alignment horizontal="left" vertical="center"/>
    </xf>
    <xf numFmtId="0" fontId="53" fillId="17" borderId="38" xfId="0" applyFont="1" applyFill="1" applyBorder="1" applyAlignment="1">
      <alignment horizontal="left" vertical="center"/>
    </xf>
    <xf numFmtId="0" fontId="22" fillId="0" borderId="46" xfId="0" applyFont="1" applyBorder="1" applyAlignment="1">
      <alignment horizontal="left" vertical="center"/>
    </xf>
    <xf numFmtId="0" fontId="22" fillId="0" borderId="47" xfId="0" applyFont="1" applyBorder="1" applyAlignment="1">
      <alignment horizontal="left" vertical="center"/>
    </xf>
    <xf numFmtId="0" fontId="3"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4" xfId="0" applyBorder="1" applyAlignment="1">
      <alignment horizontal="center" vertical="center" wrapText="1"/>
    </xf>
    <xf numFmtId="0" fontId="56" fillId="0" borderId="1" xfId="0" applyFont="1" applyBorder="1" applyAlignment="1">
      <alignment horizontal="center" vertical="center"/>
    </xf>
    <xf numFmtId="0" fontId="56" fillId="0" borderId="4" xfId="0" applyFont="1" applyBorder="1" applyAlignment="1">
      <alignment horizontal="center" vertical="center"/>
    </xf>
    <xf numFmtId="0" fontId="0" fillId="4" borderId="2" xfId="0" applyFill="1" applyBorder="1" applyAlignment="1">
      <alignment horizontal="center" vertical="center" wrapText="1"/>
    </xf>
    <xf numFmtId="0" fontId="56" fillId="0" borderId="2" xfId="0" applyFont="1" applyBorder="1" applyAlignment="1">
      <alignment horizontal="center" vertical="center"/>
    </xf>
    <xf numFmtId="0" fontId="56" fillId="0" borderId="1" xfId="0" applyFont="1" applyBorder="1" applyAlignment="1">
      <alignment horizontal="center" wrapText="1"/>
    </xf>
    <xf numFmtId="0" fontId="56" fillId="0" borderId="4" xfId="0" applyFont="1" applyBorder="1" applyAlignment="1">
      <alignment horizontal="center" wrapText="1"/>
    </xf>
  </cellXfs>
  <cellStyles count="2870">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xfId="2868" builtinId="8"/>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5" builtinId="6"/>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6" builtinId="7"/>
    <cellStyle name="Moneda [0] 10" xfId="2869" xr:uid="{88892BBE-4076-4ACF-B58C-F14EF603B699}"/>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2" xfId="1588" xr:uid="{00000000-0005-0000-0000-000028060000}"/>
    <cellStyle name="Moneda 3 15 3" xfId="1589" xr:uid="{00000000-0005-0000-0000-000029060000}"/>
    <cellStyle name="Moneda 3 16" xfId="1590" xr:uid="{00000000-0005-0000-0000-00002A060000}"/>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5" xfId="2845" xr:uid="{00000000-0005-0000-0000-00001A0B0000}"/>
    <cellStyle name="Normal 6 2" xfId="2846" xr:uid="{00000000-0005-0000-0000-00001B0B0000}"/>
    <cellStyle name="Normal_CADENA DE VALOR" xfId="2867" xr:uid="{00000000-0005-0000-0000-00001C0B0000}"/>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0"/>
  <tableStyles count="0" defaultTableStyle="TableStyleMedium9" defaultPivotStyle="PivotStyleLight16"/>
  <colors>
    <mruColors>
      <color rgb="FF00FF00"/>
      <color rgb="FF75DBFF"/>
      <color rgb="FF0099FF"/>
      <color rgb="FF0066FF"/>
      <color rgb="FF7BB800"/>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77994</xdr:colOff>
      <xdr:row>0</xdr:row>
      <xdr:rowOff>307126</xdr:rowOff>
    </xdr:from>
    <xdr:to>
      <xdr:col>5</xdr:col>
      <xdr:colOff>331305</xdr:colOff>
      <xdr:row>2</xdr:row>
      <xdr:rowOff>283268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994" y="307126"/>
          <a:ext cx="3090104" cy="1177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262113</xdr:colOff>
      <xdr:row>0</xdr:row>
      <xdr:rowOff>207818</xdr:rowOff>
    </xdr:from>
    <xdr:to>
      <xdr:col>4</xdr:col>
      <xdr:colOff>410882</xdr:colOff>
      <xdr:row>2</xdr:row>
      <xdr:rowOff>294024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113" y="207818"/>
          <a:ext cx="2520681" cy="8332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333375</xdr:colOff>
      <xdr:row>0</xdr:row>
      <xdr:rowOff>206375</xdr:rowOff>
    </xdr:from>
    <xdr:to>
      <xdr:col>2</xdr:col>
      <xdr:colOff>1143000</xdr:colOff>
      <xdr:row>2</xdr:row>
      <xdr:rowOff>182390</xdr:rowOff>
    </xdr:to>
    <xdr:pic>
      <xdr:nvPicPr>
        <xdr:cNvPr id="2" name="Imagen 1">
          <a:extLst>
            <a:ext uri="{FF2B5EF4-FFF2-40B4-BE49-F238E27FC236}">
              <a16:creationId xmlns:a16="http://schemas.microsoft.com/office/drawing/2014/main" id="{BE21CD5C-6F69-4163-A563-ED1C494B6A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 y="206375"/>
          <a:ext cx="3000375" cy="833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697617</xdr:colOff>
      <xdr:row>2</xdr:row>
      <xdr:rowOff>152599</xdr:rowOff>
    </xdr:to>
    <xdr:pic>
      <xdr:nvPicPr>
        <xdr:cNvPr id="2" name="Imagen 1">
          <a:extLst>
            <a:ext uri="{FF2B5EF4-FFF2-40B4-BE49-F238E27FC236}">
              <a16:creationId xmlns:a16="http://schemas.microsoft.com/office/drawing/2014/main" id="{8598533D-31DB-4FAB-B7B9-EDBDC6A20AC7}"/>
            </a:ext>
          </a:extLst>
        </xdr:cNvPr>
        <xdr:cNvPicPr>
          <a:picLocks noChangeAspect="1"/>
        </xdr:cNvPicPr>
      </xdr:nvPicPr>
      <xdr:blipFill>
        <a:blip xmlns:r="http://schemas.openxmlformats.org/officeDocument/2006/relationships" r:embed="rId1"/>
        <a:stretch>
          <a:fillRect/>
        </a:stretch>
      </xdr:blipFill>
      <xdr:spPr>
        <a:xfrm>
          <a:off x="0" y="0"/>
          <a:ext cx="2999492" cy="8352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1896939</xdr:colOff>
      <xdr:row>2</xdr:row>
      <xdr:rowOff>28912</xdr:rowOff>
    </xdr:to>
    <xdr:pic>
      <xdr:nvPicPr>
        <xdr:cNvPr id="2" name="Imagen 1">
          <a:extLst>
            <a:ext uri="{FF2B5EF4-FFF2-40B4-BE49-F238E27FC236}">
              <a16:creationId xmlns:a16="http://schemas.microsoft.com/office/drawing/2014/main" id="{928B9338-74CC-4306-A6E3-02B6C8946528}"/>
            </a:ext>
          </a:extLst>
        </xdr:cNvPr>
        <xdr:cNvPicPr>
          <a:picLocks noChangeAspect="1"/>
        </xdr:cNvPicPr>
      </xdr:nvPicPr>
      <xdr:blipFill>
        <a:blip xmlns:r="http://schemas.openxmlformats.org/officeDocument/2006/relationships" r:embed="rId1"/>
        <a:stretch>
          <a:fillRect/>
        </a:stretch>
      </xdr:blipFill>
      <xdr:spPr>
        <a:xfrm>
          <a:off x="0" y="0"/>
          <a:ext cx="2989139" cy="8290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CA%20ORTIZ/Downloads/SEGPLAN%20-%20SCAAV%2006.2021%20(01.07.202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ictormbarrera/Documents/1.%20SCAAV/5.%20SCAAV%202021/2.%20SEGPLAN%202021/2.1.%20SEGPLAN/05%20-%202021/SEGPLAN%20P%207778%20-%2004.2021%20(03.05.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GELICA%20ORTIZ/Downloads/SEGPLAN%20-%20SCAAV%2006.2021%20(25.07.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efreshError="1">
        <row r="10">
          <cell r="AB10">
            <v>1</v>
          </cell>
          <cell r="AC10">
            <v>1</v>
          </cell>
          <cell r="AD10">
            <v>0.86</v>
          </cell>
          <cell r="AE10">
            <v>1</v>
          </cell>
          <cell r="AF10">
            <v>0.75</v>
          </cell>
          <cell r="AG10">
            <v>1</v>
          </cell>
          <cell r="AH10">
            <v>0.8</v>
          </cell>
          <cell r="AI10">
            <v>1</v>
          </cell>
          <cell r="AJ10">
            <v>1</v>
          </cell>
          <cell r="AK10">
            <v>1</v>
          </cell>
          <cell r="AL10">
            <v>1</v>
          </cell>
          <cell r="AN10">
            <v>1</v>
          </cell>
        </row>
        <row r="11">
          <cell r="AB11">
            <v>1564678000</v>
          </cell>
          <cell r="AC11">
            <v>0</v>
          </cell>
          <cell r="AD11">
            <v>0</v>
          </cell>
          <cell r="AE11">
            <v>188232000</v>
          </cell>
          <cell r="AF11">
            <v>188232000</v>
          </cell>
          <cell r="AG11">
            <v>348992000</v>
          </cell>
          <cell r="AH11">
            <v>348992000</v>
          </cell>
          <cell r="AI11">
            <v>127479857</v>
          </cell>
          <cell r="AJ11">
            <v>127479857</v>
          </cell>
          <cell r="AK11">
            <v>0</v>
          </cell>
          <cell r="AL11">
            <v>0</v>
          </cell>
          <cell r="AN11">
            <v>206477896</v>
          </cell>
        </row>
        <row r="13">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row>
        <row r="14">
          <cell r="AB14">
            <v>349704142</v>
          </cell>
          <cell r="AC14">
            <v>62876122</v>
          </cell>
          <cell r="AD14">
            <v>62876122</v>
          </cell>
          <cell r="AE14">
            <v>54302358</v>
          </cell>
          <cell r="AF14">
            <v>54302358</v>
          </cell>
          <cell r="AG14">
            <v>104432327</v>
          </cell>
          <cell r="AH14">
            <v>104432327</v>
          </cell>
          <cell r="AI14">
            <v>5682842</v>
          </cell>
          <cell r="AJ14">
            <v>5682842</v>
          </cell>
          <cell r="AK14">
            <v>80059278</v>
          </cell>
          <cell r="AL14">
            <v>80059278</v>
          </cell>
          <cell r="AN14">
            <v>19233596</v>
          </cell>
        </row>
        <row r="17">
          <cell r="AC17">
            <v>0.2</v>
          </cell>
          <cell r="AD17">
            <v>0.2</v>
          </cell>
          <cell r="AE17">
            <v>0.25</v>
          </cell>
          <cell r="AF17">
            <v>0.25</v>
          </cell>
          <cell r="AG17">
            <v>0.55000000000000004</v>
          </cell>
          <cell r="AH17">
            <v>0.55000000000000004</v>
          </cell>
          <cell r="AI17">
            <v>0.6</v>
          </cell>
          <cell r="AJ17">
            <v>0.6</v>
          </cell>
          <cell r="AK17">
            <v>0.7</v>
          </cell>
          <cell r="AL17">
            <v>0.7</v>
          </cell>
          <cell r="AN17">
            <v>0.7</v>
          </cell>
        </row>
        <row r="18">
          <cell r="AC18">
            <v>0</v>
          </cell>
          <cell r="AD18">
            <v>0</v>
          </cell>
          <cell r="AE18">
            <v>582050000</v>
          </cell>
          <cell r="AF18">
            <v>582050000</v>
          </cell>
          <cell r="AG18">
            <v>539567000</v>
          </cell>
          <cell r="AH18">
            <v>539567000</v>
          </cell>
          <cell r="AI18">
            <v>94112000</v>
          </cell>
          <cell r="AJ18">
            <v>94112000</v>
          </cell>
          <cell r="AK18">
            <v>0</v>
          </cell>
          <cell r="AL18">
            <v>0</v>
          </cell>
          <cell r="AN18">
            <v>0</v>
          </cell>
        </row>
        <row r="19">
          <cell r="AJ19">
            <v>88785267</v>
          </cell>
          <cell r="AK19">
            <v>122743101</v>
          </cell>
          <cell r="AL19">
            <v>119244734</v>
          </cell>
          <cell r="AM19">
            <v>0</v>
          </cell>
          <cell r="AN19">
            <v>175067700</v>
          </cell>
          <cell r="AO19">
            <v>0</v>
          </cell>
        </row>
        <row r="20">
          <cell r="AC20">
            <v>0</v>
          </cell>
          <cell r="AD20">
            <v>0</v>
          </cell>
          <cell r="AE20">
            <v>0</v>
          </cell>
          <cell r="AF20">
            <v>0</v>
          </cell>
          <cell r="AG20">
            <v>0</v>
          </cell>
          <cell r="AH20">
            <v>0</v>
          </cell>
          <cell r="AI20">
            <v>0</v>
          </cell>
          <cell r="AJ20">
            <v>0</v>
          </cell>
          <cell r="AK20">
            <v>0</v>
          </cell>
          <cell r="AL20">
            <v>0</v>
          </cell>
          <cell r="AN20">
            <v>0</v>
          </cell>
        </row>
        <row r="21">
          <cell r="AC21">
            <v>62045867</v>
          </cell>
          <cell r="AD21">
            <v>62045867</v>
          </cell>
          <cell r="AE21">
            <v>68053533</v>
          </cell>
          <cell r="AF21">
            <v>68053533</v>
          </cell>
          <cell r="AG21">
            <v>10948200</v>
          </cell>
          <cell r="AH21">
            <v>10948200</v>
          </cell>
          <cell r="AI21">
            <v>8101667</v>
          </cell>
          <cell r="AJ21">
            <v>8101667</v>
          </cell>
          <cell r="AK21">
            <v>15903967</v>
          </cell>
          <cell r="AL21">
            <v>15903967</v>
          </cell>
          <cell r="AN21">
            <v>5571367</v>
          </cell>
        </row>
        <row r="24">
          <cell r="AC24">
            <v>0.17</v>
          </cell>
          <cell r="AD24">
            <v>0.15</v>
          </cell>
          <cell r="AE24">
            <v>0.17</v>
          </cell>
          <cell r="AF24">
            <v>0.11</v>
          </cell>
          <cell r="AG24">
            <v>0.17</v>
          </cell>
          <cell r="AH24">
            <v>0.1</v>
          </cell>
          <cell r="AI24">
            <v>0.17</v>
          </cell>
          <cell r="AJ24">
            <v>0.15</v>
          </cell>
          <cell r="AK24">
            <v>0.14000000000000001</v>
          </cell>
          <cell r="AL24">
            <v>0.14000000000000001</v>
          </cell>
        </row>
        <row r="25">
          <cell r="AC25">
            <v>0</v>
          </cell>
          <cell r="AD25">
            <v>0</v>
          </cell>
          <cell r="AF25">
            <v>408790000</v>
          </cell>
          <cell r="AH25">
            <v>1385154150</v>
          </cell>
          <cell r="AJ25">
            <v>148840000</v>
          </cell>
          <cell r="AK25">
            <v>0</v>
          </cell>
          <cell r="AL25">
            <v>5000000</v>
          </cell>
          <cell r="AM25">
            <v>0</v>
          </cell>
          <cell r="AN25">
            <v>244731564</v>
          </cell>
          <cell r="AO25">
            <v>0</v>
          </cell>
        </row>
        <row r="27">
          <cell r="AC27">
            <v>0</v>
          </cell>
          <cell r="AD27">
            <v>0</v>
          </cell>
          <cell r="AE27">
            <v>0</v>
          </cell>
          <cell r="AF27">
            <v>0</v>
          </cell>
          <cell r="AG27">
            <v>0</v>
          </cell>
          <cell r="AH27">
            <v>0</v>
          </cell>
          <cell r="AI27">
            <v>0</v>
          </cell>
          <cell r="AJ27">
            <v>0</v>
          </cell>
          <cell r="AK27">
            <v>0</v>
          </cell>
          <cell r="AL27">
            <v>0</v>
          </cell>
          <cell r="AN27">
            <v>0</v>
          </cell>
        </row>
        <row r="28">
          <cell r="AC28">
            <v>91072667</v>
          </cell>
          <cell r="AD28">
            <v>91072667</v>
          </cell>
          <cell r="AE28">
            <v>114404900</v>
          </cell>
          <cell r="AF28">
            <v>114404900</v>
          </cell>
          <cell r="AG28">
            <v>43650195</v>
          </cell>
          <cell r="AH28">
            <v>43650195</v>
          </cell>
          <cell r="AI28">
            <v>52211433</v>
          </cell>
          <cell r="AJ28">
            <v>52211433</v>
          </cell>
          <cell r="AK28">
            <v>38507889</v>
          </cell>
          <cell r="AL28">
            <v>38507889</v>
          </cell>
          <cell r="AN28">
            <v>91626500</v>
          </cell>
        </row>
        <row r="31">
          <cell r="AJ31">
            <v>116</v>
          </cell>
          <cell r="AK31">
            <v>127</v>
          </cell>
          <cell r="AL31">
            <v>76</v>
          </cell>
          <cell r="AM31">
            <v>94</v>
          </cell>
          <cell r="AN31">
            <v>115</v>
          </cell>
          <cell r="AO31">
            <v>94</v>
          </cell>
        </row>
        <row r="37">
          <cell r="AJ37">
            <v>0</v>
          </cell>
          <cell r="AK37">
            <v>0</v>
          </cell>
          <cell r="AL37">
            <v>0</v>
          </cell>
          <cell r="AM37">
            <v>0</v>
          </cell>
          <cell r="AN37">
            <v>150000000</v>
          </cell>
          <cell r="AO37">
            <v>0</v>
          </cell>
        </row>
        <row r="38">
          <cell r="AC38">
            <v>1</v>
          </cell>
          <cell r="AD38">
            <v>1</v>
          </cell>
          <cell r="AE38">
            <v>1</v>
          </cell>
          <cell r="AF38">
            <v>1</v>
          </cell>
          <cell r="AG38">
            <v>1</v>
          </cell>
          <cell r="AH38">
            <v>1</v>
          </cell>
          <cell r="AI38">
            <v>1</v>
          </cell>
          <cell r="AJ38">
            <v>1</v>
          </cell>
          <cell r="AK38">
            <v>1</v>
          </cell>
          <cell r="AL38">
            <v>1</v>
          </cell>
          <cell r="AN38">
            <v>1</v>
          </cell>
        </row>
        <row r="39">
          <cell r="AC39">
            <v>0</v>
          </cell>
          <cell r="AD39">
            <v>0</v>
          </cell>
          <cell r="AE39">
            <v>34584000</v>
          </cell>
          <cell r="AF39">
            <v>34584000</v>
          </cell>
          <cell r="AG39">
            <v>308422000</v>
          </cell>
          <cell r="AH39">
            <v>308422000</v>
          </cell>
          <cell r="AI39">
            <v>1738634</v>
          </cell>
          <cell r="AJ39">
            <v>1738634</v>
          </cell>
          <cell r="AK39">
            <v>14241944</v>
          </cell>
          <cell r="AL39">
            <v>9241944</v>
          </cell>
          <cell r="AN39">
            <v>101779714</v>
          </cell>
        </row>
        <row r="41">
          <cell r="AC41">
            <v>0</v>
          </cell>
          <cell r="AD41">
            <v>0</v>
          </cell>
          <cell r="AE41">
            <v>0</v>
          </cell>
          <cell r="AF41">
            <v>0</v>
          </cell>
          <cell r="AG41">
            <v>0</v>
          </cell>
          <cell r="AH41">
            <v>0</v>
          </cell>
          <cell r="AI41">
            <v>0</v>
          </cell>
          <cell r="AJ41">
            <v>0</v>
          </cell>
          <cell r="AK41">
            <v>0</v>
          </cell>
          <cell r="AL41">
            <v>0</v>
          </cell>
          <cell r="AN41">
            <v>0</v>
          </cell>
        </row>
        <row r="42">
          <cell r="AC42">
            <v>15431000</v>
          </cell>
          <cell r="AD42">
            <v>15431000</v>
          </cell>
          <cell r="AE42">
            <v>26156334</v>
          </cell>
          <cell r="AF42">
            <v>26156334</v>
          </cell>
          <cell r="AG42">
            <v>10660833</v>
          </cell>
          <cell r="AH42">
            <v>10660833</v>
          </cell>
          <cell r="AI42">
            <v>15349934</v>
          </cell>
          <cell r="AJ42">
            <v>15349934</v>
          </cell>
          <cell r="AK42">
            <v>1480833</v>
          </cell>
          <cell r="AL42">
            <v>1480833</v>
          </cell>
          <cell r="AN42">
            <v>4986645</v>
          </cell>
        </row>
        <row r="43">
          <cell r="AJ43">
            <v>1</v>
          </cell>
          <cell r="AK43">
            <v>1</v>
          </cell>
          <cell r="AL43">
            <v>1</v>
          </cell>
          <cell r="AM43">
            <v>1</v>
          </cell>
          <cell r="AN43">
            <v>1</v>
          </cell>
          <cell r="AO43">
            <v>1</v>
          </cell>
        </row>
        <row r="45">
          <cell r="AC45">
            <v>51</v>
          </cell>
          <cell r="AD45">
            <v>278</v>
          </cell>
          <cell r="AE45">
            <v>66</v>
          </cell>
          <cell r="AF45">
            <v>211</v>
          </cell>
          <cell r="AG45">
            <v>66</v>
          </cell>
          <cell r="AH45">
            <v>837</v>
          </cell>
          <cell r="AI45">
            <v>473</v>
          </cell>
          <cell r="AJ45">
            <v>488</v>
          </cell>
          <cell r="AK45">
            <v>2050</v>
          </cell>
          <cell r="AL45">
            <v>892</v>
          </cell>
          <cell r="AN45">
            <v>798</v>
          </cell>
        </row>
        <row r="46">
          <cell r="AC46">
            <v>0</v>
          </cell>
          <cell r="AD46">
            <v>0</v>
          </cell>
          <cell r="AE46">
            <v>385283000</v>
          </cell>
          <cell r="AF46">
            <v>385283000</v>
          </cell>
          <cell r="AG46">
            <v>752696000</v>
          </cell>
          <cell r="AH46">
            <v>752696000</v>
          </cell>
          <cell r="AI46">
            <v>0</v>
          </cell>
          <cell r="AJ46">
            <v>0</v>
          </cell>
          <cell r="AK46">
            <v>24066000</v>
          </cell>
          <cell r="AL46">
            <v>24066000</v>
          </cell>
          <cell r="AN46">
            <v>0</v>
          </cell>
        </row>
        <row r="48">
          <cell r="AC48">
            <v>0</v>
          </cell>
          <cell r="AD48">
            <v>0</v>
          </cell>
          <cell r="AE48">
            <v>0</v>
          </cell>
          <cell r="AF48">
            <v>0</v>
          </cell>
          <cell r="AG48">
            <v>0</v>
          </cell>
          <cell r="AH48">
            <v>0</v>
          </cell>
          <cell r="AI48">
            <v>0</v>
          </cell>
          <cell r="AJ48">
            <v>0</v>
          </cell>
          <cell r="AK48">
            <v>0</v>
          </cell>
          <cell r="AL48">
            <v>0</v>
          </cell>
          <cell r="AN48">
            <v>0</v>
          </cell>
        </row>
        <row r="49">
          <cell r="AC49">
            <v>62610500</v>
          </cell>
          <cell r="AD49">
            <v>62610500</v>
          </cell>
          <cell r="AE49">
            <v>113705833</v>
          </cell>
          <cell r="AF49">
            <v>113705833</v>
          </cell>
          <cell r="AG49">
            <v>41010499</v>
          </cell>
          <cell r="AH49">
            <v>41010499</v>
          </cell>
          <cell r="AI49">
            <v>24710465</v>
          </cell>
          <cell r="AJ49">
            <v>24710465</v>
          </cell>
          <cell r="AK49">
            <v>3094000</v>
          </cell>
          <cell r="AL49">
            <v>3094000</v>
          </cell>
          <cell r="AM49">
            <v>0</v>
          </cell>
          <cell r="AN49">
            <v>14803433</v>
          </cell>
          <cell r="AO49">
            <v>0</v>
          </cell>
        </row>
        <row r="52">
          <cell r="AC52">
            <v>1</v>
          </cell>
          <cell r="AD52">
            <v>1</v>
          </cell>
          <cell r="AE52">
            <v>1</v>
          </cell>
          <cell r="AF52">
            <v>1</v>
          </cell>
          <cell r="AG52">
            <v>1</v>
          </cell>
          <cell r="AH52">
            <v>1</v>
          </cell>
          <cell r="AI52">
            <v>1</v>
          </cell>
          <cell r="AJ52">
            <v>0.64</v>
          </cell>
          <cell r="AK52">
            <v>1</v>
          </cell>
          <cell r="AL52">
            <v>0.877</v>
          </cell>
        </row>
        <row r="53">
          <cell r="AC53">
            <v>0</v>
          </cell>
          <cell r="AD53">
            <v>0</v>
          </cell>
          <cell r="AE53">
            <v>326043000</v>
          </cell>
          <cell r="AF53">
            <v>326043000</v>
          </cell>
          <cell r="AG53">
            <v>89595000</v>
          </cell>
          <cell r="AH53">
            <v>89595000</v>
          </cell>
          <cell r="AI53">
            <v>100480000</v>
          </cell>
          <cell r="AJ53">
            <v>100480000</v>
          </cell>
          <cell r="AK53">
            <v>0</v>
          </cell>
          <cell r="AL53">
            <v>0</v>
          </cell>
          <cell r="AN53">
            <v>0</v>
          </cell>
        </row>
        <row r="55">
          <cell r="AC55">
            <v>0</v>
          </cell>
          <cell r="AD55">
            <v>0</v>
          </cell>
          <cell r="AE55">
            <v>0</v>
          </cell>
          <cell r="AF55">
            <v>0</v>
          </cell>
          <cell r="AG55">
            <v>0</v>
          </cell>
          <cell r="AH55">
            <v>0</v>
          </cell>
          <cell r="AI55">
            <v>0</v>
          </cell>
          <cell r="AJ55">
            <v>0</v>
          </cell>
          <cell r="AK55">
            <v>0</v>
          </cell>
          <cell r="AL55">
            <v>0</v>
          </cell>
          <cell r="AM55">
            <v>0</v>
          </cell>
          <cell r="AN55">
            <v>0</v>
          </cell>
          <cell r="AO55">
            <v>0</v>
          </cell>
        </row>
        <row r="56">
          <cell r="AC56">
            <v>56494567</v>
          </cell>
          <cell r="AD56">
            <v>56494567</v>
          </cell>
          <cell r="AE56">
            <v>56557034</v>
          </cell>
          <cell r="AF56">
            <v>56557034</v>
          </cell>
          <cell r="AG56">
            <v>7384000</v>
          </cell>
          <cell r="AH56">
            <v>7384000</v>
          </cell>
          <cell r="AI56">
            <v>3121667</v>
          </cell>
          <cell r="AJ56">
            <v>3121667</v>
          </cell>
          <cell r="AK56">
            <v>3746000</v>
          </cell>
          <cell r="AL56">
            <v>3746000</v>
          </cell>
          <cell r="AN56">
            <v>3870867</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efreshError="1">
        <row r="10">
          <cell r="BD10">
            <v>1</v>
          </cell>
          <cell r="BE10">
            <v>1</v>
          </cell>
        </row>
        <row r="17">
          <cell r="BD17">
            <v>8</v>
          </cell>
          <cell r="BE17">
            <v>3</v>
          </cell>
        </row>
        <row r="24">
          <cell r="BD24">
            <v>1.9999999999999998</v>
          </cell>
          <cell r="BE24">
            <v>1</v>
          </cell>
        </row>
        <row r="31">
          <cell r="BD31">
            <v>893</v>
          </cell>
          <cell r="BE31">
            <v>463</v>
          </cell>
        </row>
        <row r="38">
          <cell r="BD38">
            <v>1</v>
          </cell>
          <cell r="BE38">
            <v>1</v>
          </cell>
        </row>
        <row r="45">
          <cell r="BD45">
            <v>4707</v>
          </cell>
          <cell r="BE45">
            <v>3504</v>
          </cell>
        </row>
        <row r="52">
          <cell r="BD52">
            <v>1</v>
          </cell>
          <cell r="BE52">
            <v>0.91600000000000004</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mcab.ambientebogota.gov.co/" TargetMode="External"/><Relationship Id="rId1" Type="http://schemas.openxmlformats.org/officeDocument/2006/relationships/hyperlink" Target="http://rmcab.ambientebogota.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30"/>
  <sheetViews>
    <sheetView showGridLines="0" topLeftCell="AO10" zoomScale="62" zoomScaleNormal="62" zoomScaleSheetLayoutView="70" zoomScalePageLayoutView="60" workbookViewId="0">
      <selection activeCell="C12" sqref="C12"/>
    </sheetView>
  </sheetViews>
  <sheetFormatPr baseColWidth="10" defaultColWidth="10.7109375" defaultRowHeight="46.5" customHeight="1" x14ac:dyDescent="0.25"/>
  <cols>
    <col min="1" max="1" width="12.140625" style="1" hidden="1" customWidth="1"/>
    <col min="2" max="2" width="13.28515625" style="1" hidden="1" customWidth="1"/>
    <col min="3" max="3" width="8.7109375" style="1" customWidth="1"/>
    <col min="4" max="4" width="26.28515625" style="1" customWidth="1"/>
    <col min="5" max="5" width="7.42578125" style="1" customWidth="1"/>
    <col min="6" max="6" width="17" style="1" customWidth="1"/>
    <col min="7" max="7" width="12.7109375" style="1" customWidth="1"/>
    <col min="8" max="8" width="17.5703125" style="1" customWidth="1"/>
    <col min="9" max="9" width="16.28515625" style="13" customWidth="1"/>
    <col min="10" max="10" width="20.7109375" style="17" hidden="1" customWidth="1"/>
    <col min="11" max="24" width="15.7109375" style="17" hidden="1" customWidth="1"/>
    <col min="25" max="30" width="20.7109375" style="17" customWidth="1"/>
    <col min="31" max="42" width="15.7109375" style="17" customWidth="1"/>
    <col min="43" max="54" width="15.7109375" style="17" hidden="1" customWidth="1"/>
    <col min="55" max="59" width="20.7109375" style="17" customWidth="1"/>
    <col min="60" max="60" width="17.42578125" style="17" customWidth="1"/>
    <col min="61" max="84" width="15.7109375" style="17" hidden="1" customWidth="1"/>
    <col min="85" max="89" width="20.7109375" style="17" hidden="1" customWidth="1"/>
    <col min="90" max="90" width="20.7109375" style="17" customWidth="1"/>
    <col min="91" max="114" width="15.7109375" style="17" hidden="1" customWidth="1"/>
    <col min="115" max="119" width="20.7109375" style="17" hidden="1" customWidth="1"/>
    <col min="120" max="120" width="20.7109375" style="17" customWidth="1"/>
    <col min="121" max="144" width="15.7109375" style="17" hidden="1" customWidth="1"/>
    <col min="145" max="149" width="20.7109375" style="17" hidden="1" customWidth="1"/>
    <col min="150" max="150" width="22.42578125" style="1" customWidth="1"/>
    <col min="151" max="151" width="20.7109375" style="1" customWidth="1"/>
    <col min="152" max="152" width="24.28515625" style="1" customWidth="1"/>
    <col min="153" max="153" width="21.42578125" style="1" customWidth="1"/>
    <col min="154" max="154" width="18.42578125" style="1" customWidth="1"/>
    <col min="155" max="155" width="41.85546875" style="1" customWidth="1"/>
    <col min="156" max="156" width="32.85546875" style="1" customWidth="1"/>
    <col min="157" max="157" width="34.28515625" style="1" customWidth="1"/>
    <col min="158" max="158" width="29.42578125" style="1" customWidth="1"/>
    <col min="159" max="159" width="33.140625" style="1" customWidth="1"/>
    <col min="160" max="16384" width="10.7109375" style="1"/>
  </cols>
  <sheetData>
    <row r="1" spans="1:159" s="19" customFormat="1" ht="46.5" customHeight="1" x14ac:dyDescent="0.5">
      <c r="A1" s="633"/>
      <c r="B1" s="634"/>
      <c r="C1" s="634"/>
      <c r="D1" s="634"/>
      <c r="E1" s="634"/>
      <c r="F1" s="634"/>
      <c r="G1" s="637" t="s">
        <v>39</v>
      </c>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c r="AW1" s="637"/>
      <c r="AX1" s="637"/>
      <c r="AY1" s="637"/>
      <c r="AZ1" s="637"/>
      <c r="BA1" s="637"/>
      <c r="BB1" s="637"/>
      <c r="BC1" s="637"/>
      <c r="BD1" s="637"/>
      <c r="BE1" s="637"/>
      <c r="BF1" s="637"/>
      <c r="BG1" s="637"/>
      <c r="BH1" s="637"/>
      <c r="BI1" s="637"/>
      <c r="BJ1" s="637"/>
      <c r="BK1" s="637"/>
      <c r="BL1" s="637"/>
      <c r="BM1" s="637"/>
      <c r="BN1" s="637"/>
      <c r="BO1" s="637"/>
      <c r="BP1" s="637"/>
      <c r="BQ1" s="637"/>
      <c r="BR1" s="637"/>
      <c r="BS1" s="637"/>
      <c r="BT1" s="637"/>
      <c r="BU1" s="637"/>
      <c r="BV1" s="637"/>
      <c r="BW1" s="637"/>
      <c r="BX1" s="637"/>
      <c r="BY1" s="637"/>
      <c r="BZ1" s="637"/>
      <c r="CA1" s="637"/>
      <c r="CB1" s="637"/>
      <c r="CC1" s="637"/>
      <c r="CD1" s="637"/>
      <c r="CE1" s="637"/>
      <c r="CF1" s="637"/>
      <c r="CG1" s="637"/>
      <c r="CH1" s="637"/>
      <c r="CI1" s="637"/>
      <c r="CJ1" s="637"/>
      <c r="CK1" s="637"/>
      <c r="CL1" s="637"/>
      <c r="CM1" s="637"/>
      <c r="CN1" s="637"/>
      <c r="CO1" s="637"/>
      <c r="CP1" s="637"/>
      <c r="CQ1" s="637"/>
      <c r="CR1" s="637"/>
      <c r="CS1" s="637"/>
      <c r="CT1" s="637"/>
      <c r="CU1" s="637"/>
      <c r="CV1" s="637"/>
      <c r="CW1" s="637"/>
      <c r="CX1" s="637"/>
      <c r="CY1" s="637"/>
      <c r="CZ1" s="637"/>
      <c r="DA1" s="637"/>
      <c r="DB1" s="637"/>
      <c r="DC1" s="637"/>
      <c r="DD1" s="637"/>
      <c r="DE1" s="637"/>
      <c r="DF1" s="637"/>
      <c r="DG1" s="637"/>
      <c r="DH1" s="637"/>
      <c r="DI1" s="637"/>
      <c r="DJ1" s="637"/>
      <c r="DK1" s="637"/>
      <c r="DL1" s="637"/>
      <c r="DM1" s="637"/>
      <c r="DN1" s="637"/>
      <c r="DO1" s="637"/>
      <c r="DP1" s="637"/>
      <c r="DQ1" s="637"/>
      <c r="DR1" s="637"/>
      <c r="DS1" s="637"/>
      <c r="DT1" s="637"/>
      <c r="DU1" s="637"/>
      <c r="DV1" s="637"/>
      <c r="DW1" s="637"/>
      <c r="DX1" s="637"/>
      <c r="DY1" s="637"/>
      <c r="DZ1" s="637"/>
      <c r="EA1" s="637"/>
      <c r="EB1" s="637"/>
      <c r="EC1" s="637"/>
      <c r="ED1" s="637"/>
      <c r="EE1" s="637"/>
      <c r="EF1" s="637"/>
      <c r="EG1" s="637"/>
      <c r="EH1" s="637"/>
      <c r="EI1" s="637"/>
      <c r="EJ1" s="637"/>
      <c r="EK1" s="637"/>
      <c r="EL1" s="637"/>
      <c r="EM1" s="637"/>
      <c r="EN1" s="637"/>
      <c r="EO1" s="637"/>
      <c r="EP1" s="637"/>
      <c r="EQ1" s="637"/>
      <c r="ER1" s="637"/>
      <c r="ES1" s="637"/>
      <c r="ET1" s="637"/>
      <c r="EU1" s="637"/>
      <c r="EV1" s="637"/>
      <c r="EW1" s="637"/>
      <c r="EX1" s="637"/>
      <c r="EY1" s="637"/>
      <c r="EZ1" s="637"/>
      <c r="FA1" s="637"/>
      <c r="FB1" s="637"/>
      <c r="FC1" s="638"/>
    </row>
    <row r="2" spans="1:159" s="19" customFormat="1" ht="46.5" customHeight="1" x14ac:dyDescent="0.6">
      <c r="A2" s="635"/>
      <c r="B2" s="636"/>
      <c r="C2" s="636"/>
      <c r="D2" s="636"/>
      <c r="E2" s="636"/>
      <c r="F2" s="636"/>
      <c r="G2" s="639" t="s">
        <v>345</v>
      </c>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639"/>
      <c r="BK2" s="639"/>
      <c r="BL2" s="639"/>
      <c r="BM2" s="639"/>
      <c r="BN2" s="639"/>
      <c r="BO2" s="639"/>
      <c r="BP2" s="639"/>
      <c r="BQ2" s="639"/>
      <c r="BR2" s="639"/>
      <c r="BS2" s="639"/>
      <c r="BT2" s="639"/>
      <c r="BU2" s="639"/>
      <c r="BV2" s="639"/>
      <c r="BW2" s="639"/>
      <c r="BX2" s="639"/>
      <c r="BY2" s="639"/>
      <c r="BZ2" s="639"/>
      <c r="CA2" s="639"/>
      <c r="CB2" s="639"/>
      <c r="CC2" s="639"/>
      <c r="CD2" s="639"/>
      <c r="CE2" s="639"/>
      <c r="CF2" s="639"/>
      <c r="CG2" s="639"/>
      <c r="CH2" s="639"/>
      <c r="CI2" s="639"/>
      <c r="CJ2" s="639"/>
      <c r="CK2" s="639"/>
      <c r="CL2" s="639"/>
      <c r="CM2" s="639"/>
      <c r="CN2" s="639"/>
      <c r="CO2" s="639"/>
      <c r="CP2" s="639"/>
      <c r="CQ2" s="639"/>
      <c r="CR2" s="639"/>
      <c r="CS2" s="639"/>
      <c r="CT2" s="639"/>
      <c r="CU2" s="639"/>
      <c r="CV2" s="639"/>
      <c r="CW2" s="639"/>
      <c r="CX2" s="639"/>
      <c r="CY2" s="639"/>
      <c r="CZ2" s="639"/>
      <c r="DA2" s="639"/>
      <c r="DB2" s="639"/>
      <c r="DC2" s="639"/>
      <c r="DD2" s="639"/>
      <c r="DE2" s="639"/>
      <c r="DF2" s="639"/>
      <c r="DG2" s="639"/>
      <c r="DH2" s="639"/>
      <c r="DI2" s="639"/>
      <c r="DJ2" s="639"/>
      <c r="DK2" s="639"/>
      <c r="DL2" s="639"/>
      <c r="DM2" s="639"/>
      <c r="DN2" s="639"/>
      <c r="DO2" s="639"/>
      <c r="DP2" s="639"/>
      <c r="DQ2" s="639"/>
      <c r="DR2" s="639"/>
      <c r="DS2" s="639"/>
      <c r="DT2" s="639"/>
      <c r="DU2" s="639"/>
      <c r="DV2" s="639"/>
      <c r="DW2" s="639"/>
      <c r="DX2" s="639"/>
      <c r="DY2" s="639"/>
      <c r="DZ2" s="639"/>
      <c r="EA2" s="639"/>
      <c r="EB2" s="639"/>
      <c r="EC2" s="639"/>
      <c r="ED2" s="639"/>
      <c r="EE2" s="639"/>
      <c r="EF2" s="639"/>
      <c r="EG2" s="639"/>
      <c r="EH2" s="639"/>
      <c r="EI2" s="639"/>
      <c r="EJ2" s="639"/>
      <c r="EK2" s="639"/>
      <c r="EL2" s="639"/>
      <c r="EM2" s="639"/>
      <c r="EN2" s="639"/>
      <c r="EO2" s="639"/>
      <c r="EP2" s="639"/>
      <c r="EQ2" s="639"/>
      <c r="ER2" s="639"/>
      <c r="ES2" s="639"/>
      <c r="ET2" s="639"/>
      <c r="EU2" s="639"/>
      <c r="EV2" s="639"/>
      <c r="EW2" s="639"/>
      <c r="EX2" s="639"/>
      <c r="EY2" s="639"/>
      <c r="EZ2" s="639"/>
      <c r="FA2" s="639"/>
      <c r="FB2" s="639"/>
      <c r="FC2" s="640"/>
    </row>
    <row r="3" spans="1:159" s="18" customFormat="1" ht="46.5" customHeight="1" x14ac:dyDescent="0.4">
      <c r="A3" s="635"/>
      <c r="B3" s="636"/>
      <c r="C3" s="636"/>
      <c r="D3" s="636"/>
      <c r="E3" s="636"/>
      <c r="F3" s="636"/>
      <c r="G3" s="641" t="s">
        <v>48</v>
      </c>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1"/>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1"/>
      <c r="BX3" s="641"/>
      <c r="BY3" s="641"/>
      <c r="BZ3" s="641"/>
      <c r="CA3" s="641"/>
      <c r="CB3" s="641"/>
      <c r="CC3" s="641"/>
      <c r="CD3" s="641"/>
      <c r="CE3" s="641"/>
      <c r="CF3" s="641"/>
      <c r="CG3" s="641"/>
      <c r="CH3" s="641"/>
      <c r="CI3" s="641"/>
      <c r="CJ3" s="641"/>
      <c r="CK3" s="641"/>
      <c r="CL3" s="641"/>
      <c r="CM3" s="641"/>
      <c r="CN3" s="641"/>
      <c r="CO3" s="641"/>
      <c r="CP3" s="641"/>
      <c r="CQ3" s="641"/>
      <c r="CR3" s="641"/>
      <c r="CS3" s="641"/>
      <c r="CT3" s="641"/>
      <c r="CU3" s="641"/>
      <c r="CV3" s="641"/>
      <c r="CW3" s="641"/>
      <c r="CX3" s="641"/>
      <c r="CY3" s="641"/>
      <c r="CZ3" s="641"/>
      <c r="DA3" s="641"/>
      <c r="DB3" s="641"/>
      <c r="DC3" s="641"/>
      <c r="DD3" s="641"/>
      <c r="DE3" s="641"/>
      <c r="DF3" s="641"/>
      <c r="DG3" s="641"/>
      <c r="DH3" s="641"/>
      <c r="DI3" s="641"/>
      <c r="DJ3" s="641"/>
      <c r="DK3" s="641"/>
      <c r="DL3" s="641"/>
      <c r="DM3" s="641"/>
      <c r="DN3" s="641"/>
      <c r="DO3" s="641"/>
      <c r="DP3" s="641"/>
      <c r="DQ3" s="641"/>
      <c r="DR3" s="641"/>
      <c r="DS3" s="641"/>
      <c r="DT3" s="641"/>
      <c r="DU3" s="641"/>
      <c r="DV3" s="641"/>
      <c r="DW3" s="641"/>
      <c r="DX3" s="641"/>
      <c r="DY3" s="641"/>
      <c r="DZ3" s="641"/>
      <c r="EA3" s="641"/>
      <c r="EB3" s="641"/>
      <c r="EC3" s="641"/>
      <c r="ED3" s="641"/>
      <c r="EE3" s="641"/>
      <c r="EF3" s="641"/>
      <c r="EG3" s="641"/>
      <c r="EH3" s="641"/>
      <c r="EI3" s="641"/>
      <c r="EJ3" s="641"/>
      <c r="EK3" s="641"/>
      <c r="EL3" s="641"/>
      <c r="EM3" s="641"/>
      <c r="EN3" s="641"/>
      <c r="EO3" s="641"/>
      <c r="EP3" s="641"/>
      <c r="EQ3" s="641"/>
      <c r="ER3" s="641"/>
      <c r="ES3" s="641"/>
      <c r="ET3" s="642" t="s">
        <v>329</v>
      </c>
      <c r="EU3" s="642"/>
      <c r="EV3" s="642"/>
      <c r="EW3" s="642"/>
      <c r="EX3" s="642"/>
      <c r="EY3" s="642"/>
      <c r="EZ3" s="642"/>
      <c r="FA3" s="642"/>
      <c r="FB3" s="642"/>
      <c r="FC3" s="643"/>
    </row>
    <row r="4" spans="1:159" ht="46.5" customHeight="1" x14ac:dyDescent="0.25">
      <c r="A4" s="662" t="s">
        <v>0</v>
      </c>
      <c r="B4" s="663"/>
      <c r="C4" s="663"/>
      <c r="D4" s="663"/>
      <c r="E4" s="663"/>
      <c r="F4" s="663"/>
      <c r="G4" s="649" t="s">
        <v>352</v>
      </c>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649"/>
      <c r="AX4" s="649"/>
      <c r="AY4" s="649"/>
      <c r="AZ4" s="649"/>
      <c r="BA4" s="649"/>
      <c r="BB4" s="649"/>
      <c r="BC4" s="649"/>
      <c r="BD4" s="649"/>
      <c r="BE4" s="649"/>
      <c r="BF4" s="649"/>
      <c r="BG4" s="649"/>
      <c r="BH4" s="649"/>
      <c r="BI4" s="649"/>
      <c r="BJ4" s="649"/>
      <c r="BK4" s="649"/>
      <c r="BL4" s="649"/>
      <c r="BM4" s="649"/>
      <c r="BN4" s="649"/>
      <c r="BO4" s="649"/>
      <c r="BP4" s="649"/>
      <c r="BQ4" s="649"/>
      <c r="BR4" s="649"/>
      <c r="BS4" s="649"/>
      <c r="BT4" s="649"/>
      <c r="BU4" s="649"/>
      <c r="BV4" s="649"/>
      <c r="BW4" s="649"/>
      <c r="BX4" s="649"/>
      <c r="BY4" s="649"/>
      <c r="BZ4" s="649"/>
      <c r="CA4" s="649"/>
      <c r="CB4" s="649"/>
      <c r="CC4" s="649"/>
      <c r="CD4" s="649"/>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49"/>
      <c r="ED4" s="649"/>
      <c r="EE4" s="649"/>
      <c r="EF4" s="649"/>
      <c r="EG4" s="649"/>
      <c r="EH4" s="649"/>
      <c r="EI4" s="649"/>
      <c r="EJ4" s="649"/>
      <c r="EK4" s="649"/>
      <c r="EL4" s="649"/>
      <c r="EM4" s="649"/>
      <c r="EN4" s="649"/>
      <c r="EO4" s="649"/>
      <c r="EP4" s="649"/>
      <c r="EQ4" s="649"/>
      <c r="ER4" s="649"/>
      <c r="ES4" s="649"/>
      <c r="ET4" s="649"/>
      <c r="EU4" s="649"/>
      <c r="EV4" s="649"/>
      <c r="EW4" s="649"/>
      <c r="EX4" s="649"/>
      <c r="EY4" s="649"/>
      <c r="EZ4" s="649"/>
      <c r="FA4" s="649"/>
      <c r="FB4" s="649"/>
      <c r="FC4" s="650"/>
    </row>
    <row r="5" spans="1:159" ht="46.5" customHeight="1" x14ac:dyDescent="0.25">
      <c r="A5" s="662" t="s">
        <v>2</v>
      </c>
      <c r="B5" s="663"/>
      <c r="C5" s="663"/>
      <c r="D5" s="663"/>
      <c r="E5" s="663"/>
      <c r="F5" s="663"/>
      <c r="G5" s="649" t="s">
        <v>353</v>
      </c>
      <c r="H5" s="649"/>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49"/>
      <c r="AI5" s="649"/>
      <c r="AJ5" s="649"/>
      <c r="AK5" s="649"/>
      <c r="AL5" s="649"/>
      <c r="AM5" s="649"/>
      <c r="AN5" s="649"/>
      <c r="AO5" s="649"/>
      <c r="AP5" s="649"/>
      <c r="AQ5" s="649"/>
      <c r="AR5" s="649"/>
      <c r="AS5" s="649"/>
      <c r="AT5" s="649"/>
      <c r="AU5" s="649"/>
      <c r="AV5" s="649"/>
      <c r="AW5" s="649"/>
      <c r="AX5" s="649"/>
      <c r="AY5" s="649"/>
      <c r="AZ5" s="649"/>
      <c r="BA5" s="649"/>
      <c r="BB5" s="649"/>
      <c r="BC5" s="649"/>
      <c r="BD5" s="649"/>
      <c r="BE5" s="649"/>
      <c r="BF5" s="649"/>
      <c r="BG5" s="649"/>
      <c r="BH5" s="649"/>
      <c r="BI5" s="649"/>
      <c r="BJ5" s="649"/>
      <c r="BK5" s="649"/>
      <c r="BL5" s="649"/>
      <c r="BM5" s="649"/>
      <c r="BN5" s="649"/>
      <c r="BO5" s="649"/>
      <c r="BP5" s="649"/>
      <c r="BQ5" s="649"/>
      <c r="BR5" s="649"/>
      <c r="BS5" s="649"/>
      <c r="BT5" s="649"/>
      <c r="BU5" s="649"/>
      <c r="BV5" s="649"/>
      <c r="BW5" s="649"/>
      <c r="BX5" s="649"/>
      <c r="BY5" s="649"/>
      <c r="BZ5" s="649"/>
      <c r="CA5" s="649"/>
      <c r="CB5" s="649"/>
      <c r="CC5" s="649"/>
      <c r="CD5" s="649"/>
      <c r="CE5" s="649"/>
      <c r="CF5" s="649"/>
      <c r="CG5" s="649"/>
      <c r="CH5" s="649"/>
      <c r="CI5" s="649"/>
      <c r="CJ5" s="649"/>
      <c r="CK5" s="649"/>
      <c r="CL5" s="649"/>
      <c r="CM5" s="649"/>
      <c r="CN5" s="649"/>
      <c r="CO5" s="649"/>
      <c r="CP5" s="649"/>
      <c r="CQ5" s="649"/>
      <c r="CR5" s="649"/>
      <c r="CS5" s="649"/>
      <c r="CT5" s="649"/>
      <c r="CU5" s="649"/>
      <c r="CV5" s="649"/>
      <c r="CW5" s="649"/>
      <c r="CX5" s="649"/>
      <c r="CY5" s="649"/>
      <c r="CZ5" s="649"/>
      <c r="DA5" s="649"/>
      <c r="DB5" s="649"/>
      <c r="DC5" s="649"/>
      <c r="DD5" s="649"/>
      <c r="DE5" s="649"/>
      <c r="DF5" s="649"/>
      <c r="DG5" s="649"/>
      <c r="DH5" s="649"/>
      <c r="DI5" s="649"/>
      <c r="DJ5" s="649"/>
      <c r="DK5" s="649"/>
      <c r="DL5" s="649"/>
      <c r="DM5" s="649"/>
      <c r="DN5" s="649"/>
      <c r="DO5" s="649"/>
      <c r="DP5" s="649"/>
      <c r="DQ5" s="649"/>
      <c r="DR5" s="649"/>
      <c r="DS5" s="649"/>
      <c r="DT5" s="649"/>
      <c r="DU5" s="649"/>
      <c r="DV5" s="649"/>
      <c r="DW5" s="649"/>
      <c r="DX5" s="649"/>
      <c r="DY5" s="649"/>
      <c r="DZ5" s="649"/>
      <c r="EA5" s="649"/>
      <c r="EB5" s="649"/>
      <c r="EC5" s="649"/>
      <c r="ED5" s="649"/>
      <c r="EE5" s="649"/>
      <c r="EF5" s="649"/>
      <c r="EG5" s="649"/>
      <c r="EH5" s="649"/>
      <c r="EI5" s="649"/>
      <c r="EJ5" s="649"/>
      <c r="EK5" s="649"/>
      <c r="EL5" s="649"/>
      <c r="EM5" s="649"/>
      <c r="EN5" s="649"/>
      <c r="EO5" s="649"/>
      <c r="EP5" s="649"/>
      <c r="EQ5" s="649"/>
      <c r="ER5" s="649"/>
      <c r="ES5" s="649"/>
      <c r="ET5" s="649"/>
      <c r="EU5" s="649"/>
      <c r="EV5" s="649"/>
      <c r="EW5" s="649"/>
      <c r="EX5" s="649"/>
      <c r="EY5" s="649"/>
      <c r="EZ5" s="649"/>
      <c r="FA5" s="649"/>
      <c r="FB5" s="649"/>
      <c r="FC5" s="650"/>
    </row>
    <row r="6" spans="1:159" ht="46.5" customHeight="1" x14ac:dyDescent="0.25">
      <c r="A6" s="662" t="s">
        <v>56</v>
      </c>
      <c r="B6" s="663"/>
      <c r="C6" s="663"/>
      <c r="D6" s="663"/>
      <c r="E6" s="663"/>
      <c r="F6" s="663"/>
      <c r="G6" s="649" t="s">
        <v>354</v>
      </c>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49"/>
      <c r="AY6" s="649"/>
      <c r="AZ6" s="649"/>
      <c r="BA6" s="649"/>
      <c r="BB6" s="649"/>
      <c r="BC6" s="649"/>
      <c r="BD6" s="649"/>
      <c r="BE6" s="649"/>
      <c r="BF6" s="649"/>
      <c r="BG6" s="649"/>
      <c r="BH6" s="649"/>
      <c r="BI6" s="649"/>
      <c r="BJ6" s="649"/>
      <c r="BK6" s="649"/>
      <c r="BL6" s="649"/>
      <c r="BM6" s="649"/>
      <c r="BN6" s="649"/>
      <c r="BO6" s="649"/>
      <c r="BP6" s="649"/>
      <c r="BQ6" s="649"/>
      <c r="BR6" s="649"/>
      <c r="BS6" s="649"/>
      <c r="BT6" s="649"/>
      <c r="BU6" s="649"/>
      <c r="BV6" s="649"/>
      <c r="BW6" s="649"/>
      <c r="BX6" s="649"/>
      <c r="BY6" s="649"/>
      <c r="BZ6" s="649"/>
      <c r="CA6" s="649"/>
      <c r="CB6" s="649"/>
      <c r="CC6" s="649"/>
      <c r="CD6" s="649"/>
      <c r="CE6" s="649"/>
      <c r="CF6" s="649"/>
      <c r="CG6" s="649"/>
      <c r="CH6" s="649"/>
      <c r="CI6" s="649"/>
      <c r="CJ6" s="649"/>
      <c r="CK6" s="649"/>
      <c r="CL6" s="649"/>
      <c r="CM6" s="649"/>
      <c r="CN6" s="649"/>
      <c r="CO6" s="649"/>
      <c r="CP6" s="649"/>
      <c r="CQ6" s="649"/>
      <c r="CR6" s="649"/>
      <c r="CS6" s="649"/>
      <c r="CT6" s="649"/>
      <c r="CU6" s="649"/>
      <c r="CV6" s="649"/>
      <c r="CW6" s="649"/>
      <c r="CX6" s="649"/>
      <c r="CY6" s="649"/>
      <c r="CZ6" s="649"/>
      <c r="DA6" s="649"/>
      <c r="DB6" s="649"/>
      <c r="DC6" s="649"/>
      <c r="DD6" s="649"/>
      <c r="DE6" s="649"/>
      <c r="DF6" s="649"/>
      <c r="DG6" s="649"/>
      <c r="DH6" s="649"/>
      <c r="DI6" s="649"/>
      <c r="DJ6" s="649"/>
      <c r="DK6" s="649"/>
      <c r="DL6" s="649"/>
      <c r="DM6" s="649"/>
      <c r="DN6" s="649"/>
      <c r="DO6" s="649"/>
      <c r="DP6" s="649"/>
      <c r="DQ6" s="649"/>
      <c r="DR6" s="649"/>
      <c r="DS6" s="649"/>
      <c r="DT6" s="649"/>
      <c r="DU6" s="649"/>
      <c r="DV6" s="649"/>
      <c r="DW6" s="649"/>
      <c r="DX6" s="649"/>
      <c r="DY6" s="649"/>
      <c r="DZ6" s="649"/>
      <c r="EA6" s="649"/>
      <c r="EB6" s="649"/>
      <c r="EC6" s="649"/>
      <c r="ED6" s="649"/>
      <c r="EE6" s="649"/>
      <c r="EF6" s="649"/>
      <c r="EG6" s="649"/>
      <c r="EH6" s="649"/>
      <c r="EI6" s="649"/>
      <c r="EJ6" s="649"/>
      <c r="EK6" s="649"/>
      <c r="EL6" s="649"/>
      <c r="EM6" s="649"/>
      <c r="EN6" s="649"/>
      <c r="EO6" s="649"/>
      <c r="EP6" s="649"/>
      <c r="EQ6" s="649"/>
      <c r="ER6" s="649"/>
      <c r="ES6" s="649"/>
      <c r="ET6" s="649"/>
      <c r="EU6" s="649"/>
      <c r="EV6" s="649"/>
      <c r="EW6" s="649"/>
      <c r="EX6" s="649"/>
      <c r="EY6" s="649"/>
      <c r="EZ6" s="649"/>
      <c r="FA6" s="649"/>
      <c r="FB6" s="649"/>
      <c r="FC6" s="650"/>
    </row>
    <row r="7" spans="1:159" ht="46.5" customHeight="1" thickBot="1" x14ac:dyDescent="0.3">
      <c r="A7" s="631" t="s">
        <v>1</v>
      </c>
      <c r="B7" s="632"/>
      <c r="C7" s="632"/>
      <c r="D7" s="632"/>
      <c r="E7" s="632"/>
      <c r="F7" s="632"/>
      <c r="G7" s="651" t="s">
        <v>355</v>
      </c>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651"/>
      <c r="AU7" s="651"/>
      <c r="AV7" s="651"/>
      <c r="AW7" s="651"/>
      <c r="AX7" s="651"/>
      <c r="AY7" s="651"/>
      <c r="AZ7" s="651"/>
      <c r="BA7" s="651"/>
      <c r="BB7" s="651"/>
      <c r="BC7" s="651"/>
      <c r="BD7" s="651"/>
      <c r="BE7" s="651"/>
      <c r="BF7" s="651"/>
      <c r="BG7" s="651"/>
      <c r="BH7" s="651"/>
      <c r="BI7" s="651"/>
      <c r="BJ7" s="651"/>
      <c r="BK7" s="651"/>
      <c r="BL7" s="651"/>
      <c r="BM7" s="651"/>
      <c r="BN7" s="651"/>
      <c r="BO7" s="651"/>
      <c r="BP7" s="651"/>
      <c r="BQ7" s="651"/>
      <c r="BR7" s="651"/>
      <c r="BS7" s="651"/>
      <c r="BT7" s="651"/>
      <c r="BU7" s="651"/>
      <c r="BV7" s="651"/>
      <c r="BW7" s="651"/>
      <c r="BX7" s="651"/>
      <c r="BY7" s="651"/>
      <c r="BZ7" s="651"/>
      <c r="CA7" s="651"/>
      <c r="CB7" s="651"/>
      <c r="CC7" s="651"/>
      <c r="CD7" s="651"/>
      <c r="CE7" s="651"/>
      <c r="CF7" s="651"/>
      <c r="CG7" s="651"/>
      <c r="CH7" s="651"/>
      <c r="CI7" s="651"/>
      <c r="CJ7" s="651"/>
      <c r="CK7" s="651"/>
      <c r="CL7" s="651"/>
      <c r="CM7" s="651"/>
      <c r="CN7" s="651"/>
      <c r="CO7" s="651"/>
      <c r="CP7" s="651"/>
      <c r="CQ7" s="651"/>
      <c r="CR7" s="651"/>
      <c r="CS7" s="651"/>
      <c r="CT7" s="651"/>
      <c r="CU7" s="651"/>
      <c r="CV7" s="651"/>
      <c r="CW7" s="651"/>
      <c r="CX7" s="651"/>
      <c r="CY7" s="651"/>
      <c r="CZ7" s="651"/>
      <c r="DA7" s="651"/>
      <c r="DB7" s="651"/>
      <c r="DC7" s="651"/>
      <c r="DD7" s="651"/>
      <c r="DE7" s="651"/>
      <c r="DF7" s="651"/>
      <c r="DG7" s="651"/>
      <c r="DH7" s="651"/>
      <c r="DI7" s="651"/>
      <c r="DJ7" s="651"/>
      <c r="DK7" s="651"/>
      <c r="DL7" s="651"/>
      <c r="DM7" s="651"/>
      <c r="DN7" s="651"/>
      <c r="DO7" s="651"/>
      <c r="DP7" s="651"/>
      <c r="DQ7" s="651"/>
      <c r="DR7" s="651"/>
      <c r="DS7" s="651"/>
      <c r="DT7" s="651"/>
      <c r="DU7" s="651"/>
      <c r="DV7" s="651"/>
      <c r="DW7" s="651"/>
      <c r="DX7" s="651"/>
      <c r="DY7" s="651"/>
      <c r="DZ7" s="651"/>
      <c r="EA7" s="651"/>
      <c r="EB7" s="651"/>
      <c r="EC7" s="651"/>
      <c r="ED7" s="651"/>
      <c r="EE7" s="651"/>
      <c r="EF7" s="651"/>
      <c r="EG7" s="651"/>
      <c r="EH7" s="651"/>
      <c r="EI7" s="651"/>
      <c r="EJ7" s="651"/>
      <c r="EK7" s="651"/>
      <c r="EL7" s="651"/>
      <c r="EM7" s="651"/>
      <c r="EN7" s="651"/>
      <c r="EO7" s="651"/>
      <c r="EP7" s="651"/>
      <c r="EQ7" s="651"/>
      <c r="ER7" s="651"/>
      <c r="ES7" s="651"/>
      <c r="ET7" s="651"/>
      <c r="EU7" s="651"/>
      <c r="EV7" s="651"/>
      <c r="EW7" s="651"/>
      <c r="EX7" s="651"/>
      <c r="EY7" s="651"/>
      <c r="EZ7" s="651"/>
      <c r="FA7" s="651"/>
      <c r="FB7" s="651"/>
      <c r="FC7" s="652"/>
    </row>
    <row r="8" spans="1:159" ht="46.5" customHeight="1" thickBot="1" x14ac:dyDescent="0.3">
      <c r="A8" s="48"/>
      <c r="B8" s="47"/>
      <c r="C8" s="47"/>
      <c r="D8" s="47"/>
      <c r="E8" s="47"/>
      <c r="F8" s="47"/>
      <c r="G8" s="43"/>
      <c r="H8" s="43"/>
      <c r="I8" s="43"/>
      <c r="J8" s="43"/>
      <c r="K8" s="327"/>
      <c r="L8" s="327"/>
      <c r="M8" s="327"/>
      <c r="N8" s="327"/>
      <c r="O8" s="43"/>
      <c r="P8" s="43"/>
      <c r="Q8" s="43"/>
      <c r="R8" s="43"/>
      <c r="S8" s="43"/>
      <c r="T8" s="43"/>
      <c r="U8" s="134"/>
      <c r="V8" s="43"/>
      <c r="W8" s="43"/>
      <c r="X8" s="43"/>
      <c r="Y8" s="134"/>
      <c r="Z8" s="43"/>
      <c r="AA8" s="43"/>
      <c r="AB8" s="43"/>
      <c r="AC8" s="43"/>
      <c r="AD8" s="327"/>
      <c r="AE8" s="327"/>
      <c r="AF8" s="327"/>
      <c r="AG8" s="327"/>
      <c r="AH8" s="327"/>
      <c r="AI8" s="327"/>
      <c r="AJ8" s="327"/>
      <c r="AK8" s="327"/>
      <c r="AL8" s="327"/>
      <c r="AM8" s="327"/>
      <c r="AN8" s="327"/>
      <c r="AO8" s="327"/>
      <c r="AP8" s="539"/>
      <c r="AQ8" s="327"/>
      <c r="AR8" s="327"/>
      <c r="AS8" s="327"/>
      <c r="AT8" s="327"/>
      <c r="AU8" s="327"/>
      <c r="AV8" s="306"/>
      <c r="AW8" s="306"/>
      <c r="AX8" s="306"/>
      <c r="AY8" s="306"/>
      <c r="AZ8" s="306"/>
      <c r="BA8" s="306"/>
      <c r="BB8" s="306"/>
      <c r="BC8" s="306"/>
      <c r="BD8" s="306"/>
      <c r="BE8" s="306"/>
      <c r="BF8" s="306"/>
      <c r="BG8" s="306"/>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row>
    <row r="9" spans="1:159" s="2" customFormat="1" ht="46.5" customHeight="1" x14ac:dyDescent="0.2">
      <c r="A9" s="645" t="s">
        <v>74</v>
      </c>
      <c r="B9" s="646"/>
      <c r="C9" s="646"/>
      <c r="D9" s="646"/>
      <c r="E9" s="646"/>
      <c r="F9" s="646"/>
      <c r="G9" s="646"/>
      <c r="H9" s="646"/>
      <c r="I9" s="646"/>
      <c r="J9" s="646" t="s">
        <v>317</v>
      </c>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6"/>
      <c r="BU9" s="646"/>
      <c r="BV9" s="646"/>
      <c r="BW9" s="646"/>
      <c r="BX9" s="646"/>
      <c r="BY9" s="646"/>
      <c r="BZ9" s="646"/>
      <c r="CA9" s="646"/>
      <c r="CB9" s="646"/>
      <c r="CC9" s="646"/>
      <c r="CD9" s="646"/>
      <c r="CE9" s="646"/>
      <c r="CF9" s="646"/>
      <c r="CG9" s="646"/>
      <c r="CH9" s="646"/>
      <c r="CI9" s="646"/>
      <c r="CJ9" s="646"/>
      <c r="CK9" s="646"/>
      <c r="CL9" s="646"/>
      <c r="CM9" s="646"/>
      <c r="CN9" s="646"/>
      <c r="CO9" s="646"/>
      <c r="CP9" s="646"/>
      <c r="CQ9" s="646"/>
      <c r="CR9" s="646"/>
      <c r="CS9" s="646"/>
      <c r="CT9" s="646"/>
      <c r="CU9" s="646"/>
      <c r="CV9" s="646"/>
      <c r="CW9" s="646"/>
      <c r="CX9" s="646"/>
      <c r="CY9" s="646"/>
      <c r="CZ9" s="646"/>
      <c r="DA9" s="646"/>
      <c r="DB9" s="646"/>
      <c r="DC9" s="646"/>
      <c r="DD9" s="646"/>
      <c r="DE9" s="646"/>
      <c r="DF9" s="646"/>
      <c r="DG9" s="646"/>
      <c r="DH9" s="646"/>
      <c r="DI9" s="646"/>
      <c r="DJ9" s="646"/>
      <c r="DK9" s="646"/>
      <c r="DL9" s="646"/>
      <c r="DM9" s="646"/>
      <c r="DN9" s="646"/>
      <c r="DO9" s="646"/>
      <c r="DP9" s="646"/>
      <c r="DQ9" s="646"/>
      <c r="DR9" s="646"/>
      <c r="DS9" s="646"/>
      <c r="DT9" s="646"/>
      <c r="DU9" s="646"/>
      <c r="DV9" s="646"/>
      <c r="DW9" s="646"/>
      <c r="DX9" s="646"/>
      <c r="DY9" s="646"/>
      <c r="DZ9" s="646"/>
      <c r="EA9" s="646"/>
      <c r="EB9" s="646"/>
      <c r="EC9" s="646"/>
      <c r="ED9" s="646"/>
      <c r="EE9" s="646"/>
      <c r="EF9" s="646"/>
      <c r="EG9" s="646"/>
      <c r="EH9" s="646"/>
      <c r="EI9" s="646"/>
      <c r="EJ9" s="646"/>
      <c r="EK9" s="646"/>
      <c r="EL9" s="646"/>
      <c r="EM9" s="646"/>
      <c r="EN9" s="646"/>
      <c r="EO9" s="646"/>
      <c r="EP9" s="646"/>
      <c r="EQ9" s="646"/>
      <c r="ER9" s="646"/>
      <c r="ES9" s="646"/>
      <c r="ET9" s="673" t="s">
        <v>309</v>
      </c>
      <c r="EU9" s="673" t="s">
        <v>310</v>
      </c>
      <c r="EV9" s="653" t="s">
        <v>311</v>
      </c>
      <c r="EW9" s="656" t="s">
        <v>373</v>
      </c>
      <c r="EX9" s="653" t="s">
        <v>335</v>
      </c>
      <c r="EY9" s="659" t="s">
        <v>336</v>
      </c>
      <c r="EZ9" s="659" t="s">
        <v>337</v>
      </c>
      <c r="FA9" s="659" t="s">
        <v>338</v>
      </c>
      <c r="FB9" s="659" t="s">
        <v>340</v>
      </c>
      <c r="FC9" s="666" t="s">
        <v>339</v>
      </c>
    </row>
    <row r="10" spans="1:159" s="2" customFormat="1" ht="46.5" customHeight="1" x14ac:dyDescent="0.2">
      <c r="A10" s="647" t="s">
        <v>84</v>
      </c>
      <c r="B10" s="648"/>
      <c r="C10" s="648"/>
      <c r="D10" s="648"/>
      <c r="E10" s="648"/>
      <c r="F10" s="648"/>
      <c r="G10" s="648"/>
      <c r="H10" s="648"/>
      <c r="I10" s="648"/>
      <c r="J10" s="672" t="s">
        <v>49</v>
      </c>
      <c r="K10" s="672"/>
      <c r="L10" s="672"/>
      <c r="M10" s="672"/>
      <c r="N10" s="672"/>
      <c r="O10" s="672"/>
      <c r="P10" s="672"/>
      <c r="Q10" s="672"/>
      <c r="R10" s="672"/>
      <c r="S10" s="672"/>
      <c r="T10" s="672"/>
      <c r="U10" s="672"/>
      <c r="V10" s="672"/>
      <c r="W10" s="672"/>
      <c r="X10" s="672"/>
      <c r="Y10" s="672"/>
      <c r="Z10" s="672"/>
      <c r="AA10" s="672"/>
      <c r="AB10" s="672"/>
      <c r="AC10" s="672"/>
      <c r="AD10" s="672" t="s">
        <v>50</v>
      </c>
      <c r="AE10" s="672"/>
      <c r="AF10" s="672"/>
      <c r="AG10" s="672"/>
      <c r="AH10" s="672"/>
      <c r="AI10" s="672"/>
      <c r="AJ10" s="672"/>
      <c r="AK10" s="672"/>
      <c r="AL10" s="672"/>
      <c r="AM10" s="672"/>
      <c r="AN10" s="672"/>
      <c r="AO10" s="672"/>
      <c r="AP10" s="672"/>
      <c r="AQ10" s="672"/>
      <c r="AR10" s="672"/>
      <c r="AS10" s="672"/>
      <c r="AT10" s="672"/>
      <c r="AU10" s="672"/>
      <c r="AV10" s="672"/>
      <c r="AW10" s="672"/>
      <c r="AX10" s="672"/>
      <c r="AY10" s="672"/>
      <c r="AZ10" s="672"/>
      <c r="BA10" s="672"/>
      <c r="BB10" s="672"/>
      <c r="BC10" s="672"/>
      <c r="BD10" s="672"/>
      <c r="BE10" s="672"/>
      <c r="BF10" s="672"/>
      <c r="BG10" s="672"/>
      <c r="BH10" s="672" t="s">
        <v>62</v>
      </c>
      <c r="BI10" s="672"/>
      <c r="BJ10" s="672"/>
      <c r="BK10" s="672"/>
      <c r="BL10" s="672"/>
      <c r="BM10" s="672"/>
      <c r="BN10" s="672"/>
      <c r="BO10" s="672"/>
      <c r="BP10" s="672"/>
      <c r="BQ10" s="672"/>
      <c r="BR10" s="672"/>
      <c r="BS10" s="672"/>
      <c r="BT10" s="672"/>
      <c r="BU10" s="672"/>
      <c r="BV10" s="672"/>
      <c r="BW10" s="672"/>
      <c r="BX10" s="672"/>
      <c r="BY10" s="672"/>
      <c r="BZ10" s="672"/>
      <c r="CA10" s="672"/>
      <c r="CB10" s="672"/>
      <c r="CC10" s="672"/>
      <c r="CD10" s="672"/>
      <c r="CE10" s="672"/>
      <c r="CF10" s="672"/>
      <c r="CG10" s="672"/>
      <c r="CH10" s="672"/>
      <c r="CI10" s="672"/>
      <c r="CJ10" s="672"/>
      <c r="CK10" s="672"/>
      <c r="CL10" s="672" t="s">
        <v>63</v>
      </c>
      <c r="CM10" s="672"/>
      <c r="CN10" s="672"/>
      <c r="CO10" s="672"/>
      <c r="CP10" s="672"/>
      <c r="CQ10" s="672"/>
      <c r="CR10" s="672"/>
      <c r="CS10" s="672"/>
      <c r="CT10" s="672"/>
      <c r="CU10" s="672"/>
      <c r="CV10" s="672"/>
      <c r="CW10" s="672"/>
      <c r="CX10" s="672"/>
      <c r="CY10" s="672"/>
      <c r="CZ10" s="672"/>
      <c r="DA10" s="672"/>
      <c r="DB10" s="672"/>
      <c r="DC10" s="672"/>
      <c r="DD10" s="672"/>
      <c r="DE10" s="672"/>
      <c r="DF10" s="672"/>
      <c r="DG10" s="672"/>
      <c r="DH10" s="672"/>
      <c r="DI10" s="672"/>
      <c r="DJ10" s="672"/>
      <c r="DK10" s="672"/>
      <c r="DL10" s="672"/>
      <c r="DM10" s="672"/>
      <c r="DN10" s="672"/>
      <c r="DO10" s="672"/>
      <c r="DP10" s="672" t="s">
        <v>64</v>
      </c>
      <c r="DQ10" s="672"/>
      <c r="DR10" s="672"/>
      <c r="DS10" s="672"/>
      <c r="DT10" s="672"/>
      <c r="DU10" s="672"/>
      <c r="DV10" s="672"/>
      <c r="DW10" s="672"/>
      <c r="DX10" s="672"/>
      <c r="DY10" s="672"/>
      <c r="DZ10" s="672"/>
      <c r="EA10" s="672"/>
      <c r="EB10" s="672"/>
      <c r="EC10" s="672"/>
      <c r="ED10" s="672"/>
      <c r="EE10" s="672"/>
      <c r="EF10" s="672"/>
      <c r="EG10" s="672"/>
      <c r="EH10" s="672"/>
      <c r="EI10" s="672"/>
      <c r="EJ10" s="672"/>
      <c r="EK10" s="672"/>
      <c r="EL10" s="672"/>
      <c r="EM10" s="672"/>
      <c r="EN10" s="672"/>
      <c r="EO10" s="672"/>
      <c r="EP10" s="672"/>
      <c r="EQ10" s="672"/>
      <c r="ER10" s="672"/>
      <c r="ES10" s="672"/>
      <c r="ET10" s="674"/>
      <c r="EU10" s="674"/>
      <c r="EV10" s="654"/>
      <c r="EW10" s="657"/>
      <c r="EX10" s="654"/>
      <c r="EY10" s="660"/>
      <c r="EZ10" s="660"/>
      <c r="FA10" s="660"/>
      <c r="FB10" s="660"/>
      <c r="FC10" s="667"/>
    </row>
    <row r="11" spans="1:159" s="2" customFormat="1" ht="78.75" customHeight="1" thickBot="1" x14ac:dyDescent="0.25">
      <c r="A11" s="357" t="s">
        <v>75</v>
      </c>
      <c r="B11" s="358" t="s">
        <v>76</v>
      </c>
      <c r="C11" s="358" t="s">
        <v>77</v>
      </c>
      <c r="D11" s="358" t="s">
        <v>78</v>
      </c>
      <c r="E11" s="358" t="s">
        <v>79</v>
      </c>
      <c r="F11" s="358" t="s">
        <v>80</v>
      </c>
      <c r="G11" s="358" t="s">
        <v>81</v>
      </c>
      <c r="H11" s="358" t="s">
        <v>82</v>
      </c>
      <c r="I11" s="359" t="s">
        <v>83</v>
      </c>
      <c r="J11" s="359" t="s">
        <v>326</v>
      </c>
      <c r="K11" s="360" t="s">
        <v>298</v>
      </c>
      <c r="L11" s="358" t="s">
        <v>307</v>
      </c>
      <c r="M11" s="360" t="s">
        <v>299</v>
      </c>
      <c r="N11" s="358" t="s">
        <v>58</v>
      </c>
      <c r="O11" s="360" t="s">
        <v>300</v>
      </c>
      <c r="P11" s="358" t="s">
        <v>59</v>
      </c>
      <c r="Q11" s="360" t="s">
        <v>301</v>
      </c>
      <c r="R11" s="358" t="s">
        <v>60</v>
      </c>
      <c r="S11" s="360" t="s">
        <v>302</v>
      </c>
      <c r="T11" s="358" t="s">
        <v>61</v>
      </c>
      <c r="U11" s="360" t="s">
        <v>303</v>
      </c>
      <c r="V11" s="358" t="s">
        <v>51</v>
      </c>
      <c r="W11" s="360" t="s">
        <v>304</v>
      </c>
      <c r="X11" s="358" t="s">
        <v>308</v>
      </c>
      <c r="Y11" s="363" t="s">
        <v>306</v>
      </c>
      <c r="Z11" s="361" t="s">
        <v>341</v>
      </c>
      <c r="AA11" s="364" t="s">
        <v>342</v>
      </c>
      <c r="AB11" s="362" t="s">
        <v>343</v>
      </c>
      <c r="AC11" s="364" t="s">
        <v>344</v>
      </c>
      <c r="AD11" s="359" t="s">
        <v>326</v>
      </c>
      <c r="AE11" s="360" t="s">
        <v>293</v>
      </c>
      <c r="AF11" s="358" t="s">
        <v>52</v>
      </c>
      <c r="AG11" s="360" t="s">
        <v>294</v>
      </c>
      <c r="AH11" s="358" t="s">
        <v>53</v>
      </c>
      <c r="AI11" s="360" t="s">
        <v>295</v>
      </c>
      <c r="AJ11" s="358" t="s">
        <v>54</v>
      </c>
      <c r="AK11" s="360" t="s">
        <v>296</v>
      </c>
      <c r="AL11" s="358" t="s">
        <v>55</v>
      </c>
      <c r="AM11" s="360" t="s">
        <v>297</v>
      </c>
      <c r="AN11" s="358" t="s">
        <v>57</v>
      </c>
      <c r="AO11" s="360" t="s">
        <v>298</v>
      </c>
      <c r="AP11" s="358" t="s">
        <v>307</v>
      </c>
      <c r="AQ11" s="360" t="s">
        <v>299</v>
      </c>
      <c r="AR11" s="358" t="s">
        <v>58</v>
      </c>
      <c r="AS11" s="360" t="s">
        <v>300</v>
      </c>
      <c r="AT11" s="358" t="s">
        <v>59</v>
      </c>
      <c r="AU11" s="360" t="s">
        <v>301</v>
      </c>
      <c r="AV11" s="358" t="s">
        <v>60</v>
      </c>
      <c r="AW11" s="360" t="s">
        <v>302</v>
      </c>
      <c r="AX11" s="358" t="s">
        <v>61</v>
      </c>
      <c r="AY11" s="360" t="s">
        <v>303</v>
      </c>
      <c r="AZ11" s="358" t="s">
        <v>51</v>
      </c>
      <c r="BA11" s="360" t="s">
        <v>304</v>
      </c>
      <c r="BB11" s="358" t="s">
        <v>308</v>
      </c>
      <c r="BC11" s="363" t="s">
        <v>306</v>
      </c>
      <c r="BD11" s="361" t="s">
        <v>333</v>
      </c>
      <c r="BE11" s="364" t="s">
        <v>332</v>
      </c>
      <c r="BF11" s="362" t="s">
        <v>331</v>
      </c>
      <c r="BG11" s="364" t="s">
        <v>330</v>
      </c>
      <c r="BH11" s="359" t="s">
        <v>326</v>
      </c>
      <c r="BI11" s="360" t="s">
        <v>293</v>
      </c>
      <c r="BJ11" s="358" t="s">
        <v>52</v>
      </c>
      <c r="BK11" s="360" t="s">
        <v>294</v>
      </c>
      <c r="BL11" s="358" t="s">
        <v>53</v>
      </c>
      <c r="BM11" s="360" t="s">
        <v>295</v>
      </c>
      <c r="BN11" s="358" t="s">
        <v>54</v>
      </c>
      <c r="BO11" s="360" t="s">
        <v>296</v>
      </c>
      <c r="BP11" s="358" t="s">
        <v>55</v>
      </c>
      <c r="BQ11" s="360" t="s">
        <v>297</v>
      </c>
      <c r="BR11" s="358" t="s">
        <v>57</v>
      </c>
      <c r="BS11" s="360" t="s">
        <v>298</v>
      </c>
      <c r="BT11" s="358" t="s">
        <v>307</v>
      </c>
      <c r="BU11" s="360" t="s">
        <v>299</v>
      </c>
      <c r="BV11" s="358" t="s">
        <v>58</v>
      </c>
      <c r="BW11" s="360" t="s">
        <v>300</v>
      </c>
      <c r="BX11" s="358" t="s">
        <v>59</v>
      </c>
      <c r="BY11" s="360" t="s">
        <v>301</v>
      </c>
      <c r="BZ11" s="358" t="s">
        <v>60</v>
      </c>
      <c r="CA11" s="360" t="s">
        <v>302</v>
      </c>
      <c r="CB11" s="358" t="s">
        <v>61</v>
      </c>
      <c r="CC11" s="360" t="s">
        <v>303</v>
      </c>
      <c r="CD11" s="358" t="s">
        <v>51</v>
      </c>
      <c r="CE11" s="360" t="s">
        <v>304</v>
      </c>
      <c r="CF11" s="358" t="s">
        <v>308</v>
      </c>
      <c r="CG11" s="363" t="s">
        <v>306</v>
      </c>
      <c r="CH11" s="362" t="s">
        <v>312</v>
      </c>
      <c r="CI11" s="364" t="s">
        <v>313</v>
      </c>
      <c r="CJ11" s="362" t="s">
        <v>314</v>
      </c>
      <c r="CK11" s="364" t="s">
        <v>315</v>
      </c>
      <c r="CL11" s="359" t="s">
        <v>326</v>
      </c>
      <c r="CM11" s="360" t="s">
        <v>293</v>
      </c>
      <c r="CN11" s="358" t="s">
        <v>52</v>
      </c>
      <c r="CO11" s="360" t="s">
        <v>294</v>
      </c>
      <c r="CP11" s="358" t="s">
        <v>53</v>
      </c>
      <c r="CQ11" s="360" t="s">
        <v>295</v>
      </c>
      <c r="CR11" s="358" t="s">
        <v>54</v>
      </c>
      <c r="CS11" s="360" t="s">
        <v>296</v>
      </c>
      <c r="CT11" s="358" t="s">
        <v>55</v>
      </c>
      <c r="CU11" s="360" t="s">
        <v>297</v>
      </c>
      <c r="CV11" s="358" t="s">
        <v>57</v>
      </c>
      <c r="CW11" s="360" t="s">
        <v>298</v>
      </c>
      <c r="CX11" s="358" t="s">
        <v>307</v>
      </c>
      <c r="CY11" s="360" t="s">
        <v>299</v>
      </c>
      <c r="CZ11" s="358" t="s">
        <v>58</v>
      </c>
      <c r="DA11" s="360" t="s">
        <v>300</v>
      </c>
      <c r="DB11" s="358" t="s">
        <v>59</v>
      </c>
      <c r="DC11" s="360" t="s">
        <v>301</v>
      </c>
      <c r="DD11" s="358" t="s">
        <v>60</v>
      </c>
      <c r="DE11" s="360" t="s">
        <v>302</v>
      </c>
      <c r="DF11" s="358" t="s">
        <v>61</v>
      </c>
      <c r="DG11" s="360" t="s">
        <v>303</v>
      </c>
      <c r="DH11" s="358" t="s">
        <v>51</v>
      </c>
      <c r="DI11" s="360" t="s">
        <v>304</v>
      </c>
      <c r="DJ11" s="358" t="s">
        <v>308</v>
      </c>
      <c r="DK11" s="363" t="s">
        <v>306</v>
      </c>
      <c r="DL11" s="361" t="s">
        <v>318</v>
      </c>
      <c r="DM11" s="364" t="s">
        <v>319</v>
      </c>
      <c r="DN11" s="361" t="s">
        <v>320</v>
      </c>
      <c r="DO11" s="364" t="s">
        <v>321</v>
      </c>
      <c r="DP11" s="359" t="s">
        <v>326</v>
      </c>
      <c r="DQ11" s="360" t="s">
        <v>293</v>
      </c>
      <c r="DR11" s="358" t="s">
        <v>52</v>
      </c>
      <c r="DS11" s="360" t="s">
        <v>294</v>
      </c>
      <c r="DT11" s="358" t="s">
        <v>53</v>
      </c>
      <c r="DU11" s="360" t="s">
        <v>295</v>
      </c>
      <c r="DV11" s="358" t="s">
        <v>54</v>
      </c>
      <c r="DW11" s="360" t="s">
        <v>296</v>
      </c>
      <c r="DX11" s="358" t="s">
        <v>55</v>
      </c>
      <c r="DY11" s="360" t="s">
        <v>297</v>
      </c>
      <c r="DZ11" s="358" t="s">
        <v>57</v>
      </c>
      <c r="EA11" s="360" t="s">
        <v>298</v>
      </c>
      <c r="EB11" s="358" t="s">
        <v>307</v>
      </c>
      <c r="EC11" s="360" t="s">
        <v>299</v>
      </c>
      <c r="ED11" s="358" t="s">
        <v>58</v>
      </c>
      <c r="EE11" s="360" t="s">
        <v>300</v>
      </c>
      <c r="EF11" s="358" t="s">
        <v>59</v>
      </c>
      <c r="EG11" s="360" t="s">
        <v>301</v>
      </c>
      <c r="EH11" s="358" t="s">
        <v>60</v>
      </c>
      <c r="EI11" s="360" t="s">
        <v>302</v>
      </c>
      <c r="EJ11" s="358" t="s">
        <v>61</v>
      </c>
      <c r="EK11" s="360" t="s">
        <v>303</v>
      </c>
      <c r="EL11" s="358" t="s">
        <v>51</v>
      </c>
      <c r="EM11" s="360" t="s">
        <v>304</v>
      </c>
      <c r="EN11" s="358" t="s">
        <v>308</v>
      </c>
      <c r="EO11" s="363" t="s">
        <v>306</v>
      </c>
      <c r="EP11" s="361" t="s">
        <v>322</v>
      </c>
      <c r="EQ11" s="364" t="s">
        <v>323</v>
      </c>
      <c r="ER11" s="361" t="s">
        <v>324</v>
      </c>
      <c r="ES11" s="364" t="s">
        <v>325</v>
      </c>
      <c r="ET11" s="675"/>
      <c r="EU11" s="675"/>
      <c r="EV11" s="655"/>
      <c r="EW11" s="658"/>
      <c r="EX11" s="655"/>
      <c r="EY11" s="661"/>
      <c r="EZ11" s="661"/>
      <c r="FA11" s="661"/>
      <c r="FB11" s="661"/>
      <c r="FC11" s="668"/>
    </row>
    <row r="12" spans="1:159" s="377" customFormat="1" ht="162" customHeight="1" x14ac:dyDescent="0.25">
      <c r="A12" s="344">
        <v>2</v>
      </c>
      <c r="B12" s="345">
        <v>35</v>
      </c>
      <c r="C12" s="525">
        <v>268</v>
      </c>
      <c r="D12" s="555" t="s">
        <v>356</v>
      </c>
      <c r="E12" s="556">
        <v>285</v>
      </c>
      <c r="F12" s="557" t="s">
        <v>357</v>
      </c>
      <c r="G12" s="558" t="s">
        <v>358</v>
      </c>
      <c r="H12" s="558" t="s">
        <v>359</v>
      </c>
      <c r="I12" s="559">
        <f>+AC12+BC12+BH12+CL12+DP12</f>
        <v>4000.4</v>
      </c>
      <c r="J12" s="559">
        <v>234</v>
      </c>
      <c r="K12" s="559"/>
      <c r="L12" s="559"/>
      <c r="M12" s="559"/>
      <c r="N12" s="559"/>
      <c r="O12" s="559"/>
      <c r="P12" s="559"/>
      <c r="Q12" s="559"/>
      <c r="R12" s="559"/>
      <c r="S12" s="559"/>
      <c r="T12" s="559"/>
      <c r="U12" s="559"/>
      <c r="V12" s="559"/>
      <c r="W12" s="559">
        <f>234</f>
        <v>234</v>
      </c>
      <c r="X12" s="559">
        <v>195</v>
      </c>
      <c r="Y12" s="560">
        <v>234</v>
      </c>
      <c r="Z12" s="561">
        <v>234</v>
      </c>
      <c r="AA12" s="561">
        <v>195</v>
      </c>
      <c r="AB12" s="561">
        <v>195</v>
      </c>
      <c r="AC12" s="561">
        <v>195</v>
      </c>
      <c r="AD12" s="559">
        <v>798</v>
      </c>
      <c r="AE12" s="559">
        <v>36</v>
      </c>
      <c r="AF12" s="562">
        <v>38</v>
      </c>
      <c r="AG12" s="563">
        <v>64</v>
      </c>
      <c r="AH12" s="562">
        <v>10</v>
      </c>
      <c r="AI12" s="559">
        <v>68</v>
      </c>
      <c r="AJ12" s="562">
        <v>33</v>
      </c>
      <c r="AK12" s="559">
        <v>71</v>
      </c>
      <c r="AL12" s="562">
        <v>44</v>
      </c>
      <c r="AM12" s="559">
        <v>71</v>
      </c>
      <c r="AN12" s="556">
        <v>58</v>
      </c>
      <c r="AO12" s="559">
        <v>103</v>
      </c>
      <c r="AP12" s="556">
        <v>93</v>
      </c>
      <c r="AQ12" s="559">
        <v>63</v>
      </c>
      <c r="AR12" s="562"/>
      <c r="AS12" s="559">
        <v>73</v>
      </c>
      <c r="AT12" s="559"/>
      <c r="AU12" s="559">
        <v>72</v>
      </c>
      <c r="AV12" s="559"/>
      <c r="AW12" s="559">
        <v>71.400000000000006</v>
      </c>
      <c r="AX12" s="559"/>
      <c r="AY12" s="559">
        <v>66</v>
      </c>
      <c r="AZ12" s="559"/>
      <c r="BA12" s="559">
        <v>40</v>
      </c>
      <c r="BB12" s="564"/>
      <c r="BC12" s="565">
        <f>BA12+AY12+AW12+AU12+AS12+AQ12+AO12+AM12+AK12+AI12+AG12+AE12</f>
        <v>798.4</v>
      </c>
      <c r="BD12" s="565">
        <f>+AE12+AG12+AI12+AK12+AM12+AO12</f>
        <v>413</v>
      </c>
      <c r="BE12" s="565">
        <f>+AF12+AH12+AJ12+AL12+AN12+AP12</f>
        <v>276</v>
      </c>
      <c r="BF12" s="565">
        <f>BA12+AY12+AW12+AU12+AS12+AQ12+AO12+AM12+AK12+AI12+AG12+AE12</f>
        <v>798.4</v>
      </c>
      <c r="BG12" s="565">
        <f>AF12+AH12+AJ12+AL12+AN12+AP12</f>
        <v>276</v>
      </c>
      <c r="BH12" s="559">
        <v>1097</v>
      </c>
      <c r="BI12" s="559"/>
      <c r="BJ12" s="559"/>
      <c r="BK12" s="559"/>
      <c r="BL12" s="559"/>
      <c r="BM12" s="559"/>
      <c r="BN12" s="559"/>
      <c r="BO12" s="559"/>
      <c r="BP12" s="559"/>
      <c r="BQ12" s="559"/>
      <c r="BR12" s="559"/>
      <c r="BS12" s="559"/>
      <c r="BT12" s="559"/>
      <c r="BU12" s="559"/>
      <c r="BV12" s="559"/>
      <c r="BW12" s="559"/>
      <c r="BX12" s="559"/>
      <c r="BY12" s="559"/>
      <c r="BZ12" s="559"/>
      <c r="CA12" s="559"/>
      <c r="CB12" s="559"/>
      <c r="CC12" s="559"/>
      <c r="CD12" s="559"/>
      <c r="CE12" s="559"/>
      <c r="CF12" s="559"/>
      <c r="CG12" s="559"/>
      <c r="CH12" s="559"/>
      <c r="CI12" s="559"/>
      <c r="CJ12" s="559"/>
      <c r="CK12" s="559"/>
      <c r="CL12" s="559">
        <v>1428</v>
      </c>
      <c r="CM12" s="559"/>
      <c r="CN12" s="559"/>
      <c r="CO12" s="559"/>
      <c r="CP12" s="559"/>
      <c r="CQ12" s="559"/>
      <c r="CR12" s="559"/>
      <c r="CS12" s="559"/>
      <c r="CT12" s="559"/>
      <c r="CU12" s="559"/>
      <c r="CV12" s="559"/>
      <c r="CW12" s="559"/>
      <c r="CX12" s="559"/>
      <c r="CY12" s="559"/>
      <c r="CZ12" s="559"/>
      <c r="DA12" s="559"/>
      <c r="DB12" s="559"/>
      <c r="DC12" s="559"/>
      <c r="DD12" s="559"/>
      <c r="DE12" s="559"/>
      <c r="DF12" s="559"/>
      <c r="DG12" s="559"/>
      <c r="DH12" s="559"/>
      <c r="DI12" s="559"/>
      <c r="DJ12" s="559"/>
      <c r="DK12" s="559"/>
      <c r="DL12" s="559"/>
      <c r="DM12" s="559"/>
      <c r="DN12" s="559"/>
      <c r="DO12" s="559"/>
      <c r="DP12" s="559">
        <v>482</v>
      </c>
      <c r="DQ12" s="566"/>
      <c r="DR12" s="566"/>
      <c r="DS12" s="566"/>
      <c r="DT12" s="566"/>
      <c r="DU12" s="566"/>
      <c r="DV12" s="566"/>
      <c r="DW12" s="566"/>
      <c r="DX12" s="566"/>
      <c r="DY12" s="566"/>
      <c r="DZ12" s="566"/>
      <c r="EA12" s="566"/>
      <c r="EB12" s="566"/>
      <c r="EC12" s="566"/>
      <c r="ED12" s="566"/>
      <c r="EE12" s="566"/>
      <c r="EF12" s="566"/>
      <c r="EG12" s="566"/>
      <c r="EH12" s="566"/>
      <c r="EI12" s="566"/>
      <c r="EJ12" s="566"/>
      <c r="EK12" s="566"/>
      <c r="EL12" s="566"/>
      <c r="EM12" s="566"/>
      <c r="EN12" s="566"/>
      <c r="EO12" s="566"/>
      <c r="EP12" s="566"/>
      <c r="EQ12" s="566"/>
      <c r="ER12" s="566"/>
      <c r="ES12" s="566"/>
      <c r="ET12" s="567">
        <f>+AP12/AO12</f>
        <v>0.90291262135922334</v>
      </c>
      <c r="EU12" s="567">
        <f>+BE12/BD12</f>
        <v>0.66828087167070216</v>
      </c>
      <c r="EV12" s="568">
        <f>+BE12/BF12</f>
        <v>0.34569138276553107</v>
      </c>
      <c r="EW12" s="569">
        <f>+(AC12+BG12)/(AB12+BF12)</f>
        <v>0.47412925307026377</v>
      </c>
      <c r="EX12" s="569">
        <f>+(AC12+BG12)/I12</f>
        <v>0.11773822617738226</v>
      </c>
      <c r="EY12" s="546" t="s">
        <v>526</v>
      </c>
      <c r="EZ12" s="546" t="s">
        <v>527</v>
      </c>
      <c r="FA12" s="546" t="s">
        <v>508</v>
      </c>
      <c r="FB12" s="547" t="s">
        <v>463</v>
      </c>
      <c r="FC12" s="548" t="s">
        <v>464</v>
      </c>
    </row>
    <row r="13" spans="1:159" s="377" customFormat="1" ht="46.5" customHeight="1" x14ac:dyDescent="0.25">
      <c r="A13" s="379">
        <v>2</v>
      </c>
      <c r="B13" s="136">
        <v>35</v>
      </c>
      <c r="C13" s="136">
        <v>269</v>
      </c>
      <c r="D13" s="542" t="s">
        <v>360</v>
      </c>
      <c r="E13" s="136">
        <v>286</v>
      </c>
      <c r="F13" s="543" t="s">
        <v>357</v>
      </c>
      <c r="G13" s="338" t="s">
        <v>358</v>
      </c>
      <c r="H13" s="338" t="s">
        <v>359</v>
      </c>
      <c r="I13" s="339">
        <f>+AC13+BC13+BH13+CL13+DP13</f>
        <v>4700</v>
      </c>
      <c r="J13" s="339">
        <v>426</v>
      </c>
      <c r="K13" s="339"/>
      <c r="L13" s="339"/>
      <c r="M13" s="339"/>
      <c r="N13" s="339"/>
      <c r="O13" s="339"/>
      <c r="P13" s="339"/>
      <c r="Q13" s="339"/>
      <c r="R13" s="339"/>
      <c r="S13" s="339"/>
      <c r="T13" s="339"/>
      <c r="U13" s="339"/>
      <c r="V13" s="339"/>
      <c r="W13" s="339">
        <f>426+65</f>
        <v>491</v>
      </c>
      <c r="X13" s="339">
        <v>491</v>
      </c>
      <c r="Y13" s="443">
        <v>491</v>
      </c>
      <c r="Z13" s="385">
        <v>491</v>
      </c>
      <c r="AA13" s="385">
        <v>491</v>
      </c>
      <c r="AB13" s="385">
        <v>491</v>
      </c>
      <c r="AC13" s="385">
        <v>491</v>
      </c>
      <c r="AD13" s="339">
        <v>893</v>
      </c>
      <c r="AE13" s="339">
        <v>15</v>
      </c>
      <c r="AF13" s="366">
        <v>36</v>
      </c>
      <c r="AG13" s="343">
        <v>18</v>
      </c>
      <c r="AH13" s="366">
        <v>16</v>
      </c>
      <c r="AI13" s="339">
        <v>90</v>
      </c>
      <c r="AJ13" s="366">
        <v>104</v>
      </c>
      <c r="AK13" s="339">
        <v>97</v>
      </c>
      <c r="AL13" s="366">
        <v>116</v>
      </c>
      <c r="AM13" s="339">
        <v>127</v>
      </c>
      <c r="AN13" s="136">
        <v>76</v>
      </c>
      <c r="AO13" s="339">
        <v>94</v>
      </c>
      <c r="AP13" s="136">
        <v>115</v>
      </c>
      <c r="AQ13" s="339">
        <v>94</v>
      </c>
      <c r="AR13" s="366"/>
      <c r="AS13" s="339">
        <v>94</v>
      </c>
      <c r="AT13" s="339"/>
      <c r="AU13" s="339">
        <v>89</v>
      </c>
      <c r="AV13" s="339"/>
      <c r="AW13" s="339">
        <v>89</v>
      </c>
      <c r="AX13" s="339"/>
      <c r="AY13" s="339">
        <v>86</v>
      </c>
      <c r="AZ13" s="339"/>
      <c r="BA13" s="339">
        <v>0</v>
      </c>
      <c r="BB13" s="367"/>
      <c r="BC13" s="444">
        <f>BA13+AY13+AW13+AU13+AS13+AQ13+AO13+AM13+AK13+AI13+AG13+AE13</f>
        <v>893</v>
      </c>
      <c r="BD13" s="444">
        <f>+AE13+AG13+AI13+AK13+AM13+AO13</f>
        <v>441</v>
      </c>
      <c r="BE13" s="444">
        <f>+AF13+AH13+AJ13+AL13+AN13+AP13</f>
        <v>463</v>
      </c>
      <c r="BF13" s="444">
        <f>BA13+AY13+AW13+AU13+AS13+AQ13+AO13+AM13+AK13+AI13+AG13+AE13</f>
        <v>893</v>
      </c>
      <c r="BG13" s="444">
        <f>AF13+AH13+AJ13+AL13+AN13+AP13</f>
        <v>463</v>
      </c>
      <c r="BH13" s="339">
        <v>1272</v>
      </c>
      <c r="BI13" s="339"/>
      <c r="BJ13" s="339"/>
      <c r="BK13" s="339"/>
      <c r="BL13" s="339"/>
      <c r="BM13" s="339"/>
      <c r="BN13" s="339"/>
      <c r="BO13" s="339"/>
      <c r="BP13" s="339"/>
      <c r="BQ13" s="339"/>
      <c r="BR13" s="339"/>
      <c r="BS13" s="339"/>
      <c r="BT13" s="339"/>
      <c r="BU13" s="339"/>
      <c r="BV13" s="339"/>
      <c r="BW13" s="339"/>
      <c r="BX13" s="339"/>
      <c r="BY13" s="339"/>
      <c r="BZ13" s="339"/>
      <c r="CA13" s="339"/>
      <c r="CB13" s="339"/>
      <c r="CC13" s="339"/>
      <c r="CD13" s="339"/>
      <c r="CE13" s="339"/>
      <c r="CF13" s="339"/>
      <c r="CG13" s="339"/>
      <c r="CH13" s="339"/>
      <c r="CI13" s="339"/>
      <c r="CJ13" s="339"/>
      <c r="CK13" s="339"/>
      <c r="CL13" s="339">
        <v>1589</v>
      </c>
      <c r="CM13" s="339"/>
      <c r="CN13" s="339"/>
      <c r="CO13" s="339"/>
      <c r="CP13" s="339"/>
      <c r="CQ13" s="339"/>
      <c r="CR13" s="339"/>
      <c r="CS13" s="339"/>
      <c r="CT13" s="339"/>
      <c r="CU13" s="339"/>
      <c r="CV13" s="339"/>
      <c r="CW13" s="339"/>
      <c r="CX13" s="339"/>
      <c r="CY13" s="339"/>
      <c r="CZ13" s="339"/>
      <c r="DA13" s="339"/>
      <c r="DB13" s="339"/>
      <c r="DC13" s="339"/>
      <c r="DD13" s="339"/>
      <c r="DE13" s="339"/>
      <c r="DF13" s="339"/>
      <c r="DG13" s="339"/>
      <c r="DH13" s="339"/>
      <c r="DI13" s="339"/>
      <c r="DJ13" s="339"/>
      <c r="DK13" s="339"/>
      <c r="DL13" s="339"/>
      <c r="DM13" s="339"/>
      <c r="DN13" s="339"/>
      <c r="DO13" s="339"/>
      <c r="DP13" s="339">
        <v>455</v>
      </c>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294"/>
      <c r="EP13" s="294"/>
      <c r="EQ13" s="294"/>
      <c r="ER13" s="294"/>
      <c r="ES13" s="294"/>
      <c r="ET13" s="383">
        <f>+AP13/AO13</f>
        <v>1.2234042553191489</v>
      </c>
      <c r="EU13" s="383">
        <f>+BE13/BD13</f>
        <v>1.0498866213151927</v>
      </c>
      <c r="EV13" s="492">
        <f t="shared" ref="EV13:EV19" si="0">+BE13/BF13</f>
        <v>0.51847704367301228</v>
      </c>
      <c r="EW13" s="462">
        <f>+(AC13+BG13)/(AB13+BF13)</f>
        <v>0.68930635838150289</v>
      </c>
      <c r="EX13" s="462">
        <f>+(AC13+BG13)/I13</f>
        <v>0.20297872340425532</v>
      </c>
      <c r="EY13" s="477" t="s">
        <v>528</v>
      </c>
      <c r="EZ13" s="542" t="s">
        <v>454</v>
      </c>
      <c r="FA13" s="542" t="s">
        <v>454</v>
      </c>
      <c r="FB13" s="542" t="s">
        <v>466</v>
      </c>
      <c r="FC13" s="549" t="s">
        <v>467</v>
      </c>
    </row>
    <row r="14" spans="1:159" s="377" customFormat="1" ht="46.5" customHeight="1" x14ac:dyDescent="0.25">
      <c r="A14" s="348">
        <v>2</v>
      </c>
      <c r="B14" s="338">
        <v>35</v>
      </c>
      <c r="C14" s="136">
        <v>270</v>
      </c>
      <c r="D14" s="542" t="s">
        <v>361</v>
      </c>
      <c r="E14" s="136">
        <v>287</v>
      </c>
      <c r="F14" s="523" t="s">
        <v>362</v>
      </c>
      <c r="G14" s="338" t="s">
        <v>363</v>
      </c>
      <c r="H14" s="338" t="s">
        <v>364</v>
      </c>
      <c r="I14" s="340">
        <f>+J14</f>
        <v>1</v>
      </c>
      <c r="J14" s="340">
        <v>1</v>
      </c>
      <c r="K14" s="340"/>
      <c r="L14" s="340"/>
      <c r="M14" s="340"/>
      <c r="N14" s="340"/>
      <c r="O14" s="340"/>
      <c r="P14" s="340"/>
      <c r="Q14" s="340"/>
      <c r="R14" s="340"/>
      <c r="S14" s="340"/>
      <c r="T14" s="340"/>
      <c r="U14" s="340"/>
      <c r="V14" s="340"/>
      <c r="W14" s="340">
        <v>1</v>
      </c>
      <c r="X14" s="340">
        <v>1</v>
      </c>
      <c r="Y14" s="369">
        <v>1</v>
      </c>
      <c r="Z14" s="369">
        <v>1</v>
      </c>
      <c r="AA14" s="369">
        <v>1</v>
      </c>
      <c r="AB14" s="369">
        <v>1</v>
      </c>
      <c r="AC14" s="369">
        <v>1</v>
      </c>
      <c r="AD14" s="340">
        <v>1</v>
      </c>
      <c r="AE14" s="340">
        <v>1</v>
      </c>
      <c r="AF14" s="340">
        <v>1</v>
      </c>
      <c r="AG14" s="340">
        <v>1</v>
      </c>
      <c r="AH14" s="340">
        <v>1</v>
      </c>
      <c r="AI14" s="340">
        <v>1</v>
      </c>
      <c r="AJ14" s="340">
        <v>1</v>
      </c>
      <c r="AK14" s="340">
        <v>1</v>
      </c>
      <c r="AL14" s="340">
        <v>1</v>
      </c>
      <c r="AM14" s="340">
        <v>1</v>
      </c>
      <c r="AN14" s="383">
        <v>1</v>
      </c>
      <c r="AO14" s="340">
        <v>1</v>
      </c>
      <c r="AP14" s="383">
        <v>1</v>
      </c>
      <c r="AQ14" s="340">
        <v>1</v>
      </c>
      <c r="AR14" s="368"/>
      <c r="AS14" s="340">
        <v>1</v>
      </c>
      <c r="AT14" s="368"/>
      <c r="AU14" s="340">
        <v>1</v>
      </c>
      <c r="AV14" s="367"/>
      <c r="AW14" s="340">
        <v>1</v>
      </c>
      <c r="AX14" s="367"/>
      <c r="AY14" s="340">
        <v>1</v>
      </c>
      <c r="AZ14" s="367"/>
      <c r="BA14" s="340">
        <v>1</v>
      </c>
      <c r="BB14" s="367"/>
      <c r="BC14" s="380">
        <f t="shared" ref="BC14:BC19" si="1">+AD14</f>
        <v>1</v>
      </c>
      <c r="BD14" s="380">
        <f t="shared" ref="BD14:BD17" si="2">+AL14</f>
        <v>1</v>
      </c>
      <c r="BE14" s="380">
        <f t="shared" ref="BE14:BE17" si="3">+AN14</f>
        <v>1</v>
      </c>
      <c r="BF14" s="380">
        <f t="shared" ref="BF14:BF19" si="4">+AD14</f>
        <v>1</v>
      </c>
      <c r="BG14" s="380">
        <f t="shared" ref="BG14:BG17" si="5">+AD14</f>
        <v>1</v>
      </c>
      <c r="BH14" s="340">
        <v>1</v>
      </c>
      <c r="BI14" s="340">
        <v>1</v>
      </c>
      <c r="BJ14" s="340">
        <v>1</v>
      </c>
      <c r="BK14" s="340">
        <v>1</v>
      </c>
      <c r="BL14" s="340">
        <v>1</v>
      </c>
      <c r="BM14" s="340">
        <v>1</v>
      </c>
      <c r="BN14" s="340">
        <v>1</v>
      </c>
      <c r="BO14" s="340">
        <v>1</v>
      </c>
      <c r="BP14" s="340">
        <v>1</v>
      </c>
      <c r="BQ14" s="340">
        <v>1</v>
      </c>
      <c r="BR14" s="340">
        <v>1</v>
      </c>
      <c r="BS14" s="340">
        <v>1</v>
      </c>
      <c r="BT14" s="340">
        <v>1</v>
      </c>
      <c r="BU14" s="340">
        <v>1</v>
      </c>
      <c r="BV14" s="340">
        <v>1</v>
      </c>
      <c r="BW14" s="340">
        <v>1</v>
      </c>
      <c r="BX14" s="340">
        <v>1</v>
      </c>
      <c r="BY14" s="340">
        <v>1</v>
      </c>
      <c r="BZ14" s="340">
        <v>1</v>
      </c>
      <c r="CA14" s="340">
        <v>1</v>
      </c>
      <c r="CB14" s="340">
        <v>1</v>
      </c>
      <c r="CC14" s="340">
        <v>1</v>
      </c>
      <c r="CD14" s="340">
        <v>1</v>
      </c>
      <c r="CE14" s="340">
        <v>1</v>
      </c>
      <c r="CF14" s="340">
        <v>1</v>
      </c>
      <c r="CG14" s="340">
        <v>1</v>
      </c>
      <c r="CH14" s="340">
        <v>1</v>
      </c>
      <c r="CI14" s="340">
        <v>1</v>
      </c>
      <c r="CJ14" s="340">
        <v>1</v>
      </c>
      <c r="CK14" s="340">
        <v>1</v>
      </c>
      <c r="CL14" s="340">
        <v>1</v>
      </c>
      <c r="CM14" s="340">
        <v>1</v>
      </c>
      <c r="CN14" s="340">
        <v>1</v>
      </c>
      <c r="CO14" s="340">
        <v>1</v>
      </c>
      <c r="CP14" s="340">
        <v>1</v>
      </c>
      <c r="CQ14" s="340">
        <v>1</v>
      </c>
      <c r="CR14" s="340">
        <v>1</v>
      </c>
      <c r="CS14" s="340">
        <v>1</v>
      </c>
      <c r="CT14" s="340">
        <v>1</v>
      </c>
      <c r="CU14" s="340">
        <v>1</v>
      </c>
      <c r="CV14" s="340">
        <v>1</v>
      </c>
      <c r="CW14" s="340">
        <v>1</v>
      </c>
      <c r="CX14" s="340">
        <v>1</v>
      </c>
      <c r="CY14" s="340">
        <v>1</v>
      </c>
      <c r="CZ14" s="340">
        <v>1</v>
      </c>
      <c r="DA14" s="340">
        <v>1</v>
      </c>
      <c r="DB14" s="340">
        <v>1</v>
      </c>
      <c r="DC14" s="340">
        <v>1</v>
      </c>
      <c r="DD14" s="340">
        <v>1</v>
      </c>
      <c r="DE14" s="340">
        <v>1</v>
      </c>
      <c r="DF14" s="340">
        <v>1</v>
      </c>
      <c r="DG14" s="340">
        <v>1</v>
      </c>
      <c r="DH14" s="340">
        <v>1</v>
      </c>
      <c r="DI14" s="340">
        <v>1</v>
      </c>
      <c r="DJ14" s="340">
        <v>1</v>
      </c>
      <c r="DK14" s="340">
        <v>1</v>
      </c>
      <c r="DL14" s="340">
        <v>1</v>
      </c>
      <c r="DM14" s="340">
        <v>1</v>
      </c>
      <c r="DN14" s="340">
        <v>1</v>
      </c>
      <c r="DO14" s="340">
        <v>1</v>
      </c>
      <c r="DP14" s="340">
        <v>1</v>
      </c>
      <c r="DQ14" s="46"/>
      <c r="DR14" s="46"/>
      <c r="DS14" s="46"/>
      <c r="DT14" s="46"/>
      <c r="DU14" s="46"/>
      <c r="DV14" s="46"/>
      <c r="DW14" s="46"/>
      <c r="DX14" s="46"/>
      <c r="DY14" s="46"/>
      <c r="DZ14" s="46"/>
      <c r="EA14" s="46"/>
      <c r="EB14" s="46"/>
      <c r="EC14" s="46"/>
      <c r="ED14" s="46"/>
      <c r="EE14" s="46"/>
      <c r="EF14" s="46"/>
      <c r="EG14" s="46"/>
      <c r="EH14" s="46"/>
      <c r="EI14" s="294"/>
      <c r="EJ14" s="294"/>
      <c r="EK14" s="294"/>
      <c r="EL14" s="294"/>
      <c r="EM14" s="294"/>
      <c r="EN14" s="294"/>
      <c r="EO14" s="294"/>
      <c r="EP14" s="294"/>
      <c r="EQ14" s="294"/>
      <c r="ER14" s="294"/>
      <c r="ES14" s="294"/>
      <c r="ET14" s="383">
        <f>AP14/AO14</f>
        <v>1</v>
      </c>
      <c r="EU14" s="383">
        <f t="shared" ref="EU14:EU19" si="6">+BE14/BD14</f>
        <v>1</v>
      </c>
      <c r="EV14" s="492">
        <f t="shared" si="0"/>
        <v>1</v>
      </c>
      <c r="EW14" s="462">
        <v>0.4</v>
      </c>
      <c r="EX14" s="462">
        <v>0.4</v>
      </c>
      <c r="EY14" s="550" t="s">
        <v>529</v>
      </c>
      <c r="EZ14" s="542" t="s">
        <v>454</v>
      </c>
      <c r="FA14" s="542" t="s">
        <v>454</v>
      </c>
      <c r="FB14" s="542" t="s">
        <v>468</v>
      </c>
      <c r="FC14" s="542" t="s">
        <v>469</v>
      </c>
    </row>
    <row r="15" spans="1:159" s="378" customFormat="1" ht="46.5" hidden="1" customHeight="1" x14ac:dyDescent="0.25">
      <c r="A15" s="348">
        <v>2</v>
      </c>
      <c r="B15" s="338">
        <v>35</v>
      </c>
      <c r="C15" s="136">
        <v>272</v>
      </c>
      <c r="D15" s="542" t="s">
        <v>365</v>
      </c>
      <c r="E15" s="136">
        <v>289</v>
      </c>
      <c r="F15" s="523" t="s">
        <v>366</v>
      </c>
      <c r="G15" s="338" t="s">
        <v>363</v>
      </c>
      <c r="H15" s="338" t="s">
        <v>359</v>
      </c>
      <c r="I15" s="383">
        <f>+AC15+BC15+BH15+CL15+DP15</f>
        <v>0.1</v>
      </c>
      <c r="J15" s="340">
        <v>0</v>
      </c>
      <c r="K15" s="340"/>
      <c r="L15" s="340"/>
      <c r="M15" s="340"/>
      <c r="N15" s="340"/>
      <c r="O15" s="340"/>
      <c r="P15" s="340"/>
      <c r="Q15" s="340"/>
      <c r="R15" s="340"/>
      <c r="S15" s="340"/>
      <c r="T15" s="340"/>
      <c r="U15" s="340"/>
      <c r="V15" s="340"/>
      <c r="W15" s="340">
        <v>0</v>
      </c>
      <c r="X15" s="340">
        <v>0</v>
      </c>
      <c r="Y15" s="369">
        <v>0</v>
      </c>
      <c r="Z15" s="340">
        <v>0</v>
      </c>
      <c r="AA15" s="340">
        <v>0</v>
      </c>
      <c r="AB15" s="340">
        <v>0</v>
      </c>
      <c r="AC15" s="373">
        <v>0</v>
      </c>
      <c r="AD15" s="340">
        <v>0.01</v>
      </c>
      <c r="AE15" s="340">
        <v>0</v>
      </c>
      <c r="AF15" s="340" t="s">
        <v>372</v>
      </c>
      <c r="AG15" s="340">
        <v>0</v>
      </c>
      <c r="AH15" s="340" t="s">
        <v>372</v>
      </c>
      <c r="AI15" s="340">
        <v>0</v>
      </c>
      <c r="AJ15" s="340" t="s">
        <v>372</v>
      </c>
      <c r="AK15" s="340">
        <v>0</v>
      </c>
      <c r="AL15" s="340" t="s">
        <v>372</v>
      </c>
      <c r="AM15" s="340">
        <v>0</v>
      </c>
      <c r="AN15" s="374" t="s">
        <v>372</v>
      </c>
      <c r="AO15" s="340">
        <v>0.01</v>
      </c>
      <c r="AP15" s="374" t="s">
        <v>372</v>
      </c>
      <c r="AQ15" s="340">
        <v>0.01</v>
      </c>
      <c r="AR15" s="374"/>
      <c r="AS15" s="340">
        <v>0.01</v>
      </c>
      <c r="AT15" s="374"/>
      <c r="AU15" s="340">
        <v>0.01</v>
      </c>
      <c r="AV15" s="372"/>
      <c r="AW15" s="340">
        <v>0.01</v>
      </c>
      <c r="AX15" s="372"/>
      <c r="AY15" s="340">
        <v>0.01</v>
      </c>
      <c r="AZ15" s="372"/>
      <c r="BA15" s="340">
        <v>0.01</v>
      </c>
      <c r="BB15" s="372"/>
      <c r="BC15" s="380">
        <f t="shared" si="1"/>
        <v>0.01</v>
      </c>
      <c r="BD15" s="380" t="str">
        <f t="shared" si="2"/>
        <v>( - )</v>
      </c>
      <c r="BE15" s="380" t="str">
        <f t="shared" si="3"/>
        <v>( - )</v>
      </c>
      <c r="BF15" s="380">
        <f t="shared" si="4"/>
        <v>0.01</v>
      </c>
      <c r="BG15" s="380">
        <f t="shared" si="5"/>
        <v>0.01</v>
      </c>
      <c r="BH15" s="340">
        <v>0.02</v>
      </c>
      <c r="BI15" s="340"/>
      <c r="BJ15" s="340"/>
      <c r="BK15" s="340"/>
      <c r="BL15" s="340"/>
      <c r="BM15" s="340"/>
      <c r="BN15" s="340"/>
      <c r="BO15" s="340"/>
      <c r="BP15" s="340"/>
      <c r="BQ15" s="340"/>
      <c r="BR15" s="340"/>
      <c r="BS15" s="340"/>
      <c r="BT15" s="340"/>
      <c r="BU15" s="340"/>
      <c r="BV15" s="340"/>
      <c r="BW15" s="340"/>
      <c r="BX15" s="340"/>
      <c r="BY15" s="340"/>
      <c r="BZ15" s="340"/>
      <c r="CA15" s="340"/>
      <c r="CB15" s="340"/>
      <c r="CC15" s="340"/>
      <c r="CD15" s="340"/>
      <c r="CE15" s="340"/>
      <c r="CF15" s="340"/>
      <c r="CG15" s="340"/>
      <c r="CH15" s="340"/>
      <c r="CI15" s="340"/>
      <c r="CJ15" s="340"/>
      <c r="CK15" s="340"/>
      <c r="CL15" s="340">
        <v>0.05</v>
      </c>
      <c r="CM15" s="340"/>
      <c r="CN15" s="340"/>
      <c r="CO15" s="340"/>
      <c r="CP15" s="340"/>
      <c r="CQ15" s="340"/>
      <c r="CR15" s="340"/>
      <c r="CS15" s="340"/>
      <c r="CT15" s="340"/>
      <c r="CU15" s="340"/>
      <c r="CV15" s="340"/>
      <c r="CW15" s="340"/>
      <c r="CX15" s="340"/>
      <c r="CY15" s="340"/>
      <c r="CZ15" s="340"/>
      <c r="DA15" s="340"/>
      <c r="DB15" s="340"/>
      <c r="DC15" s="340"/>
      <c r="DD15" s="340"/>
      <c r="DE15" s="340"/>
      <c r="DF15" s="340"/>
      <c r="DG15" s="340"/>
      <c r="DH15" s="340"/>
      <c r="DI15" s="340"/>
      <c r="DJ15" s="340"/>
      <c r="DK15" s="340"/>
      <c r="DL15" s="340"/>
      <c r="DM15" s="340"/>
      <c r="DN15" s="340"/>
      <c r="DO15" s="340"/>
      <c r="DP15" s="340">
        <v>0.02</v>
      </c>
      <c r="DQ15" s="372"/>
      <c r="DR15" s="372"/>
      <c r="DS15" s="372"/>
      <c r="DT15" s="372"/>
      <c r="DU15" s="372"/>
      <c r="DV15" s="372"/>
      <c r="DW15" s="372"/>
      <c r="DX15" s="372"/>
      <c r="DY15" s="372"/>
      <c r="DZ15" s="372"/>
      <c r="EA15" s="372"/>
      <c r="EB15" s="372"/>
      <c r="EC15" s="372"/>
      <c r="ED15" s="372"/>
      <c r="EE15" s="372"/>
      <c r="EF15" s="372"/>
      <c r="EG15" s="372"/>
      <c r="EH15" s="372"/>
      <c r="EI15" s="372"/>
      <c r="EJ15" s="372"/>
      <c r="EK15" s="372"/>
      <c r="EL15" s="372"/>
      <c r="EM15" s="372"/>
      <c r="EN15" s="372"/>
      <c r="EO15" s="372"/>
      <c r="EP15" s="372"/>
      <c r="EQ15" s="372"/>
      <c r="ER15" s="372"/>
      <c r="ES15" s="372"/>
      <c r="ET15" s="383" t="e">
        <f t="shared" ref="ET15" si="7">+AN15/AM15</f>
        <v>#VALUE!</v>
      </c>
      <c r="EU15" s="383" t="e">
        <f t="shared" si="6"/>
        <v>#VALUE!</v>
      </c>
      <c r="EV15" s="492" t="e">
        <f t="shared" si="0"/>
        <v>#VALUE!</v>
      </c>
      <c r="EW15" s="462" t="e">
        <f t="shared" ref="EW15" si="8">+(AC15+BE15)/(Y15+BD15)</f>
        <v>#VALUE!</v>
      </c>
      <c r="EX15" s="462" t="e">
        <f t="shared" ref="EX15" si="9">+(AC15+BE15)/I15</f>
        <v>#VALUE!</v>
      </c>
      <c r="EY15" s="477"/>
      <c r="EZ15" s="477"/>
      <c r="FA15" s="477"/>
      <c r="FB15" s="493"/>
      <c r="FC15" s="494"/>
    </row>
    <row r="16" spans="1:159" s="378" customFormat="1" ht="46.5" hidden="1" customHeight="1" x14ac:dyDescent="0.25">
      <c r="A16" s="520"/>
      <c r="B16" s="521"/>
      <c r="C16" s="136"/>
      <c r="D16" s="542" t="s">
        <v>365</v>
      </c>
      <c r="E16" s="136"/>
      <c r="F16" s="524" t="s">
        <v>484</v>
      </c>
      <c r="G16" s="338" t="s">
        <v>363</v>
      </c>
      <c r="H16" s="338" t="s">
        <v>359</v>
      </c>
      <c r="I16" s="383">
        <f>+AC16+BC16+BH16+CL16+DP16</f>
        <v>0.1</v>
      </c>
      <c r="J16" s="340"/>
      <c r="K16" s="340"/>
      <c r="L16" s="340"/>
      <c r="M16" s="340"/>
      <c r="N16" s="340"/>
      <c r="O16" s="340"/>
      <c r="P16" s="340"/>
      <c r="Q16" s="340"/>
      <c r="R16" s="340"/>
      <c r="S16" s="340"/>
      <c r="T16" s="340"/>
      <c r="U16" s="340"/>
      <c r="V16" s="340"/>
      <c r="W16" s="340"/>
      <c r="X16" s="340"/>
      <c r="Y16" s="369">
        <v>0</v>
      </c>
      <c r="Z16" s="340">
        <v>0</v>
      </c>
      <c r="AA16" s="340">
        <v>0</v>
      </c>
      <c r="AB16" s="340">
        <v>0</v>
      </c>
      <c r="AC16" s="373">
        <v>0</v>
      </c>
      <c r="AD16" s="340">
        <v>0.01</v>
      </c>
      <c r="AE16" s="340">
        <v>0</v>
      </c>
      <c r="AF16" s="340" t="s">
        <v>372</v>
      </c>
      <c r="AG16" s="340">
        <v>0</v>
      </c>
      <c r="AH16" s="340" t="s">
        <v>372</v>
      </c>
      <c r="AI16" s="340">
        <v>0</v>
      </c>
      <c r="AJ16" s="340" t="s">
        <v>372</v>
      </c>
      <c r="AK16" s="340">
        <v>0</v>
      </c>
      <c r="AL16" s="340" t="s">
        <v>372</v>
      </c>
      <c r="AM16" s="340">
        <v>0</v>
      </c>
      <c r="AN16" s="374" t="s">
        <v>372</v>
      </c>
      <c r="AO16" s="340">
        <v>0</v>
      </c>
      <c r="AP16" s="374" t="s">
        <v>372</v>
      </c>
      <c r="AQ16" s="340">
        <v>0</v>
      </c>
      <c r="AR16" s="374"/>
      <c r="AS16" s="340">
        <v>0</v>
      </c>
      <c r="AT16" s="374"/>
      <c r="AU16" s="340">
        <v>0</v>
      </c>
      <c r="AV16" s="372"/>
      <c r="AW16" s="340">
        <v>0</v>
      </c>
      <c r="AX16" s="372"/>
      <c r="AY16" s="340">
        <v>0</v>
      </c>
      <c r="AZ16" s="372"/>
      <c r="BA16" s="340">
        <v>0</v>
      </c>
      <c r="BB16" s="372"/>
      <c r="BC16" s="380">
        <f t="shared" si="1"/>
        <v>0.01</v>
      </c>
      <c r="BD16" s="380" t="str">
        <f t="shared" si="2"/>
        <v>( - )</v>
      </c>
      <c r="BE16" s="380" t="str">
        <f t="shared" si="3"/>
        <v>( - )</v>
      </c>
      <c r="BF16" s="380">
        <f t="shared" si="4"/>
        <v>0.01</v>
      </c>
      <c r="BG16" s="380">
        <f t="shared" si="5"/>
        <v>0.01</v>
      </c>
      <c r="BH16" s="340">
        <v>0.02</v>
      </c>
      <c r="BI16" s="340"/>
      <c r="BJ16" s="340"/>
      <c r="BK16" s="340"/>
      <c r="BL16" s="340"/>
      <c r="BM16" s="340"/>
      <c r="BN16" s="340"/>
      <c r="BO16" s="340"/>
      <c r="BP16" s="340"/>
      <c r="BQ16" s="340"/>
      <c r="BR16" s="340"/>
      <c r="BS16" s="340"/>
      <c r="BT16" s="340"/>
      <c r="BU16" s="340"/>
      <c r="BV16" s="340"/>
      <c r="BW16" s="340"/>
      <c r="BX16" s="340"/>
      <c r="BY16" s="340"/>
      <c r="BZ16" s="340"/>
      <c r="CA16" s="340"/>
      <c r="CB16" s="340"/>
      <c r="CC16" s="340"/>
      <c r="CD16" s="340"/>
      <c r="CE16" s="340"/>
      <c r="CF16" s="340"/>
      <c r="CG16" s="340"/>
      <c r="CH16" s="340"/>
      <c r="CI16" s="340"/>
      <c r="CJ16" s="340"/>
      <c r="CK16" s="340"/>
      <c r="CL16" s="340">
        <v>0.05</v>
      </c>
      <c r="CM16" s="340"/>
      <c r="CN16" s="340"/>
      <c r="CO16" s="340"/>
      <c r="CP16" s="340"/>
      <c r="CQ16" s="340"/>
      <c r="CR16" s="340"/>
      <c r="CS16" s="340"/>
      <c r="CT16" s="340"/>
      <c r="CU16" s="340"/>
      <c r="CV16" s="340"/>
      <c r="CW16" s="340"/>
      <c r="CX16" s="340"/>
      <c r="CY16" s="340"/>
      <c r="CZ16" s="340"/>
      <c r="DA16" s="340"/>
      <c r="DB16" s="340"/>
      <c r="DC16" s="340"/>
      <c r="DD16" s="340"/>
      <c r="DE16" s="340"/>
      <c r="DF16" s="340"/>
      <c r="DG16" s="340"/>
      <c r="DH16" s="340"/>
      <c r="DI16" s="340"/>
      <c r="DJ16" s="340"/>
      <c r="DK16" s="340"/>
      <c r="DL16" s="340"/>
      <c r="DM16" s="340"/>
      <c r="DN16" s="340"/>
      <c r="DO16" s="340"/>
      <c r="DP16" s="340">
        <v>0.02</v>
      </c>
      <c r="DQ16" s="372"/>
      <c r="DR16" s="372"/>
      <c r="DS16" s="372"/>
      <c r="DT16" s="372"/>
      <c r="DU16" s="372"/>
      <c r="DV16" s="372"/>
      <c r="DW16" s="372"/>
      <c r="DX16" s="372"/>
      <c r="DY16" s="372"/>
      <c r="DZ16" s="372"/>
      <c r="EA16" s="372"/>
      <c r="EB16" s="372"/>
      <c r="EC16" s="372"/>
      <c r="ED16" s="372"/>
      <c r="EE16" s="372"/>
      <c r="EF16" s="372"/>
      <c r="EG16" s="372"/>
      <c r="EH16" s="372"/>
      <c r="EI16" s="372"/>
      <c r="EJ16" s="372"/>
      <c r="EK16" s="372"/>
      <c r="EL16" s="372"/>
      <c r="EM16" s="372"/>
      <c r="EN16" s="372"/>
      <c r="EO16" s="372"/>
      <c r="EP16" s="372"/>
      <c r="EQ16" s="372"/>
      <c r="ER16" s="372"/>
      <c r="ES16" s="372"/>
      <c r="ET16" s="383" t="e">
        <f t="shared" ref="ET16:ET17" si="10">+AN16/AM16</f>
        <v>#VALUE!</v>
      </c>
      <c r="EU16" s="383" t="e">
        <f t="shared" ref="EU16:EU17" si="11">+BE16/BD16</f>
        <v>#VALUE!</v>
      </c>
      <c r="EV16" s="492" t="e">
        <f t="shared" ref="EV16:EV17" si="12">+BE16/BF16</f>
        <v>#VALUE!</v>
      </c>
      <c r="EW16" s="462" t="e">
        <f t="shared" ref="EW16:EW17" si="13">+(AC16+BE16)/(Y16+BD16)</f>
        <v>#VALUE!</v>
      </c>
      <c r="EX16" s="462" t="e">
        <f t="shared" ref="EX16:EX17" si="14">+(AC16+BE16)/I16</f>
        <v>#VALUE!</v>
      </c>
      <c r="EY16" s="477"/>
      <c r="EZ16" s="477"/>
      <c r="FA16" s="477"/>
      <c r="FB16" s="493"/>
      <c r="FC16" s="494"/>
    </row>
    <row r="17" spans="1:159" s="378" customFormat="1" ht="46.5" hidden="1" customHeight="1" x14ac:dyDescent="0.25">
      <c r="A17" s="520"/>
      <c r="B17" s="521"/>
      <c r="C17" s="136"/>
      <c r="D17" s="542" t="s">
        <v>365</v>
      </c>
      <c r="E17" s="136"/>
      <c r="F17" s="524" t="s">
        <v>485</v>
      </c>
      <c r="G17" s="338" t="s">
        <v>363</v>
      </c>
      <c r="H17" s="338" t="s">
        <v>359</v>
      </c>
      <c r="I17" s="383">
        <f>+AC17+BC17+BH17+CL17+DP17</f>
        <v>0.1</v>
      </c>
      <c r="J17" s="340"/>
      <c r="K17" s="340"/>
      <c r="L17" s="340"/>
      <c r="M17" s="340"/>
      <c r="N17" s="340"/>
      <c r="O17" s="340"/>
      <c r="P17" s="340"/>
      <c r="Q17" s="340"/>
      <c r="R17" s="340"/>
      <c r="S17" s="340"/>
      <c r="T17" s="340"/>
      <c r="U17" s="340"/>
      <c r="V17" s="340"/>
      <c r="W17" s="340"/>
      <c r="X17" s="340"/>
      <c r="Y17" s="369">
        <v>0</v>
      </c>
      <c r="Z17" s="340">
        <v>0</v>
      </c>
      <c r="AA17" s="340">
        <v>0</v>
      </c>
      <c r="AB17" s="340">
        <v>0</v>
      </c>
      <c r="AC17" s="373">
        <v>0</v>
      </c>
      <c r="AD17" s="340">
        <v>0.01</v>
      </c>
      <c r="AE17" s="340">
        <v>0</v>
      </c>
      <c r="AF17" s="340" t="s">
        <v>372</v>
      </c>
      <c r="AG17" s="340">
        <v>0</v>
      </c>
      <c r="AH17" s="340" t="s">
        <v>372</v>
      </c>
      <c r="AI17" s="340">
        <v>0</v>
      </c>
      <c r="AJ17" s="340" t="s">
        <v>372</v>
      </c>
      <c r="AK17" s="340">
        <v>0</v>
      </c>
      <c r="AL17" s="340" t="s">
        <v>372</v>
      </c>
      <c r="AM17" s="340">
        <v>0</v>
      </c>
      <c r="AN17" s="374" t="s">
        <v>372</v>
      </c>
      <c r="AO17" s="340">
        <v>0</v>
      </c>
      <c r="AP17" s="374" t="s">
        <v>372</v>
      </c>
      <c r="AQ17" s="340">
        <v>0</v>
      </c>
      <c r="AR17" s="374"/>
      <c r="AS17" s="340">
        <v>0</v>
      </c>
      <c r="AT17" s="374"/>
      <c r="AU17" s="340">
        <v>0</v>
      </c>
      <c r="AV17" s="372"/>
      <c r="AW17" s="340">
        <v>0</v>
      </c>
      <c r="AX17" s="372"/>
      <c r="AY17" s="340">
        <v>0</v>
      </c>
      <c r="AZ17" s="372"/>
      <c r="BA17" s="340">
        <v>0</v>
      </c>
      <c r="BB17" s="372"/>
      <c r="BC17" s="380">
        <f t="shared" si="1"/>
        <v>0.01</v>
      </c>
      <c r="BD17" s="380" t="str">
        <f t="shared" si="2"/>
        <v>( - )</v>
      </c>
      <c r="BE17" s="380" t="str">
        <f t="shared" si="3"/>
        <v>( - )</v>
      </c>
      <c r="BF17" s="380">
        <f t="shared" si="4"/>
        <v>0.01</v>
      </c>
      <c r="BG17" s="380">
        <f t="shared" si="5"/>
        <v>0.01</v>
      </c>
      <c r="BH17" s="340">
        <v>0.02</v>
      </c>
      <c r="BI17" s="340"/>
      <c r="BJ17" s="340"/>
      <c r="BK17" s="340"/>
      <c r="BL17" s="340"/>
      <c r="BM17" s="340"/>
      <c r="BN17" s="340"/>
      <c r="BO17" s="340"/>
      <c r="BP17" s="340"/>
      <c r="BQ17" s="340"/>
      <c r="BR17" s="340"/>
      <c r="BS17" s="340"/>
      <c r="BT17" s="340"/>
      <c r="BU17" s="340"/>
      <c r="BV17" s="340"/>
      <c r="BW17" s="340"/>
      <c r="BX17" s="340"/>
      <c r="BY17" s="340"/>
      <c r="BZ17" s="340"/>
      <c r="CA17" s="340"/>
      <c r="CB17" s="340"/>
      <c r="CC17" s="340"/>
      <c r="CD17" s="340"/>
      <c r="CE17" s="340"/>
      <c r="CF17" s="340"/>
      <c r="CG17" s="340"/>
      <c r="CH17" s="340"/>
      <c r="CI17" s="340"/>
      <c r="CJ17" s="340"/>
      <c r="CK17" s="340"/>
      <c r="CL17" s="340">
        <v>0.05</v>
      </c>
      <c r="CM17" s="340"/>
      <c r="CN17" s="340"/>
      <c r="CO17" s="340"/>
      <c r="CP17" s="340"/>
      <c r="CQ17" s="340"/>
      <c r="CR17" s="340"/>
      <c r="CS17" s="340"/>
      <c r="CT17" s="340"/>
      <c r="CU17" s="340"/>
      <c r="CV17" s="340"/>
      <c r="CW17" s="340"/>
      <c r="CX17" s="340"/>
      <c r="CY17" s="340"/>
      <c r="CZ17" s="340"/>
      <c r="DA17" s="340"/>
      <c r="DB17" s="340"/>
      <c r="DC17" s="340"/>
      <c r="DD17" s="340"/>
      <c r="DE17" s="340"/>
      <c r="DF17" s="340"/>
      <c r="DG17" s="340"/>
      <c r="DH17" s="340"/>
      <c r="DI17" s="340"/>
      <c r="DJ17" s="340"/>
      <c r="DK17" s="340"/>
      <c r="DL17" s="340"/>
      <c r="DM17" s="340"/>
      <c r="DN17" s="340"/>
      <c r="DO17" s="340"/>
      <c r="DP17" s="340">
        <v>0.02</v>
      </c>
      <c r="DQ17" s="372"/>
      <c r="DR17" s="372"/>
      <c r="DS17" s="372"/>
      <c r="DT17" s="372"/>
      <c r="DU17" s="372"/>
      <c r="DV17" s="372"/>
      <c r="DW17" s="372"/>
      <c r="DX17" s="372"/>
      <c r="DY17" s="372"/>
      <c r="DZ17" s="372"/>
      <c r="EA17" s="372"/>
      <c r="EB17" s="372"/>
      <c r="EC17" s="372"/>
      <c r="ED17" s="372"/>
      <c r="EE17" s="372"/>
      <c r="EF17" s="372"/>
      <c r="EG17" s="372"/>
      <c r="EH17" s="372"/>
      <c r="EI17" s="372"/>
      <c r="EJ17" s="372"/>
      <c r="EK17" s="372"/>
      <c r="EL17" s="372"/>
      <c r="EM17" s="372"/>
      <c r="EN17" s="372"/>
      <c r="EO17" s="372"/>
      <c r="EP17" s="372"/>
      <c r="EQ17" s="372"/>
      <c r="ER17" s="372"/>
      <c r="ES17" s="372"/>
      <c r="ET17" s="383" t="e">
        <f t="shared" si="10"/>
        <v>#VALUE!</v>
      </c>
      <c r="EU17" s="383" t="e">
        <f t="shared" si="11"/>
        <v>#VALUE!</v>
      </c>
      <c r="EV17" s="492" t="e">
        <f t="shared" si="12"/>
        <v>#VALUE!</v>
      </c>
      <c r="EW17" s="462" t="e">
        <f t="shared" si="13"/>
        <v>#VALUE!</v>
      </c>
      <c r="EX17" s="462" t="e">
        <f t="shared" si="14"/>
        <v>#VALUE!</v>
      </c>
      <c r="EY17" s="477"/>
      <c r="EZ17" s="477"/>
      <c r="FA17" s="477"/>
      <c r="FB17" s="493"/>
      <c r="FC17" s="494"/>
    </row>
    <row r="18" spans="1:159" s="377" customFormat="1" ht="46.5" customHeight="1" x14ac:dyDescent="0.25">
      <c r="A18" s="348">
        <v>2</v>
      </c>
      <c r="B18" s="338">
        <v>35</v>
      </c>
      <c r="C18" s="136">
        <v>272</v>
      </c>
      <c r="D18" s="542" t="s">
        <v>365</v>
      </c>
      <c r="E18" s="338">
        <v>289</v>
      </c>
      <c r="F18" s="523" t="s">
        <v>367</v>
      </c>
      <c r="G18" s="338" t="s">
        <v>368</v>
      </c>
      <c r="H18" s="341" t="s">
        <v>369</v>
      </c>
      <c r="I18" s="341">
        <v>33.9</v>
      </c>
      <c r="J18" s="342"/>
      <c r="K18" s="342"/>
      <c r="L18" s="342"/>
      <c r="M18" s="342"/>
      <c r="N18" s="342"/>
      <c r="O18" s="342"/>
      <c r="P18" s="342"/>
      <c r="Q18" s="342"/>
      <c r="R18" s="342"/>
      <c r="S18" s="342"/>
      <c r="T18" s="342"/>
      <c r="U18" s="342"/>
      <c r="V18" s="342"/>
      <c r="W18" s="342"/>
      <c r="X18" s="342" t="s">
        <v>371</v>
      </c>
      <c r="Y18" s="340" t="s">
        <v>372</v>
      </c>
      <c r="Z18" s="340" t="s">
        <v>372</v>
      </c>
      <c r="AA18" s="340" t="s">
        <v>372</v>
      </c>
      <c r="AB18" s="340" t="s">
        <v>372</v>
      </c>
      <c r="AC18" s="340" t="s">
        <v>372</v>
      </c>
      <c r="AD18" s="342">
        <v>37.799999999999997</v>
      </c>
      <c r="AE18" s="342">
        <v>37.799999999999997</v>
      </c>
      <c r="AF18" s="342">
        <v>37</v>
      </c>
      <c r="AG18" s="342">
        <v>37.799999999999997</v>
      </c>
      <c r="AH18" s="342">
        <v>36</v>
      </c>
      <c r="AI18" s="342">
        <v>37.799999999999997</v>
      </c>
      <c r="AJ18" s="342">
        <v>34</v>
      </c>
      <c r="AK18" s="342">
        <v>37.799999999999997</v>
      </c>
      <c r="AL18" s="381">
        <v>34</v>
      </c>
      <c r="AM18" s="342">
        <v>37.799999999999997</v>
      </c>
      <c r="AN18" s="526">
        <v>34.4</v>
      </c>
      <c r="AO18" s="342">
        <v>37.799999999999997</v>
      </c>
      <c r="AP18" s="526">
        <v>34.4</v>
      </c>
      <c r="AQ18" s="342">
        <v>37.799999999999997</v>
      </c>
      <c r="AR18" s="368"/>
      <c r="AS18" s="342">
        <v>37.799999999999997</v>
      </c>
      <c r="AT18" s="368"/>
      <c r="AU18" s="342">
        <v>37.799999999999997</v>
      </c>
      <c r="AV18" s="367"/>
      <c r="AW18" s="342">
        <v>37.799999999999997</v>
      </c>
      <c r="AX18" s="367"/>
      <c r="AY18" s="342">
        <v>37.799999999999997</v>
      </c>
      <c r="AZ18" s="367"/>
      <c r="BA18" s="342">
        <v>37.799999999999997</v>
      </c>
      <c r="BB18" s="367"/>
      <c r="BC18" s="384">
        <f>+AD18</f>
        <v>37.799999999999997</v>
      </c>
      <c r="BD18" s="384">
        <f>+AP18</f>
        <v>34.4</v>
      </c>
      <c r="BE18" s="384">
        <f>+AP18</f>
        <v>34.4</v>
      </c>
      <c r="BF18" s="384">
        <f t="shared" si="4"/>
        <v>37.799999999999997</v>
      </c>
      <c r="BG18" s="384">
        <v>34.4</v>
      </c>
      <c r="BH18" s="342">
        <v>36.9</v>
      </c>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v>34.700000000000003</v>
      </c>
      <c r="CM18" s="342"/>
      <c r="CN18" s="342"/>
      <c r="CO18" s="342"/>
      <c r="CP18" s="342"/>
      <c r="CQ18" s="342"/>
      <c r="CR18" s="342"/>
      <c r="CS18" s="342"/>
      <c r="CT18" s="342"/>
      <c r="CU18" s="342"/>
      <c r="CV18" s="342"/>
      <c r="CW18" s="342"/>
      <c r="CX18" s="342"/>
      <c r="CY18" s="342"/>
      <c r="CZ18" s="342"/>
      <c r="DA18" s="342"/>
      <c r="DB18" s="342"/>
      <c r="DC18" s="342"/>
      <c r="DD18" s="342"/>
      <c r="DE18" s="342"/>
      <c r="DF18" s="342"/>
      <c r="DG18" s="342"/>
      <c r="DH18" s="342"/>
      <c r="DI18" s="342"/>
      <c r="DJ18" s="342"/>
      <c r="DK18" s="342"/>
      <c r="DL18" s="342"/>
      <c r="DM18" s="342"/>
      <c r="DN18" s="342"/>
      <c r="DO18" s="342"/>
      <c r="DP18" s="342">
        <v>33.9</v>
      </c>
      <c r="DQ18" s="375"/>
      <c r="DR18" s="375"/>
      <c r="DS18" s="375"/>
      <c r="DT18" s="375"/>
      <c r="DU18" s="375"/>
      <c r="DV18" s="375"/>
      <c r="DW18" s="375"/>
      <c r="DX18" s="375"/>
      <c r="DY18" s="375"/>
      <c r="DZ18" s="375"/>
      <c r="EA18" s="375"/>
      <c r="EB18" s="375"/>
      <c r="EC18" s="375"/>
      <c r="ED18" s="375"/>
      <c r="EE18" s="375"/>
      <c r="EF18" s="375"/>
      <c r="EG18" s="375"/>
      <c r="EH18" s="375"/>
      <c r="EI18" s="375"/>
      <c r="EJ18" s="375"/>
      <c r="EK18" s="375"/>
      <c r="EL18" s="375"/>
      <c r="EM18" s="375"/>
      <c r="EN18" s="375"/>
      <c r="EO18" s="375"/>
      <c r="EP18" s="375"/>
      <c r="EQ18" s="375"/>
      <c r="ER18" s="375"/>
      <c r="ES18" s="375"/>
      <c r="ET18" s="383">
        <f>AP18/AO18</f>
        <v>0.91005291005291011</v>
      </c>
      <c r="EU18" s="383">
        <f t="shared" si="6"/>
        <v>1</v>
      </c>
      <c r="EV18" s="492">
        <f t="shared" si="0"/>
        <v>0.91005291005291011</v>
      </c>
      <c r="EW18" s="462">
        <f>+(BE18)/(BC18)</f>
        <v>0.91005291005291011</v>
      </c>
      <c r="EX18" s="462">
        <f>+(BE18)/I18</f>
        <v>1.0147492625368733</v>
      </c>
      <c r="EY18" s="477" t="s">
        <v>532</v>
      </c>
      <c r="EZ18" s="542" t="s">
        <v>454</v>
      </c>
      <c r="FA18" s="542" t="s">
        <v>454</v>
      </c>
      <c r="FB18" s="542" t="s">
        <v>470</v>
      </c>
      <c r="FC18" s="551" t="s">
        <v>471</v>
      </c>
    </row>
    <row r="19" spans="1:159" s="377" customFormat="1" ht="46.5" customHeight="1" thickBot="1" x14ac:dyDescent="0.3">
      <c r="A19" s="352">
        <v>2</v>
      </c>
      <c r="B19" s="353">
        <v>35</v>
      </c>
      <c r="C19" s="527">
        <v>272</v>
      </c>
      <c r="D19" s="553" t="s">
        <v>365</v>
      </c>
      <c r="E19" s="353">
        <v>661</v>
      </c>
      <c r="F19" s="354" t="s">
        <v>370</v>
      </c>
      <c r="G19" s="353" t="s">
        <v>368</v>
      </c>
      <c r="H19" s="355" t="s">
        <v>369</v>
      </c>
      <c r="I19" s="355">
        <v>17.3</v>
      </c>
      <c r="J19" s="356"/>
      <c r="K19" s="356"/>
      <c r="L19" s="356"/>
      <c r="M19" s="356"/>
      <c r="N19" s="356"/>
      <c r="O19" s="356"/>
      <c r="P19" s="356"/>
      <c r="Q19" s="356"/>
      <c r="R19" s="356"/>
      <c r="S19" s="356"/>
      <c r="T19" s="356"/>
      <c r="U19" s="356"/>
      <c r="V19" s="356"/>
      <c r="W19" s="356"/>
      <c r="X19" s="356" t="s">
        <v>371</v>
      </c>
      <c r="Y19" s="387" t="s">
        <v>372</v>
      </c>
      <c r="Z19" s="387" t="s">
        <v>372</v>
      </c>
      <c r="AA19" s="387" t="s">
        <v>372</v>
      </c>
      <c r="AB19" s="387" t="s">
        <v>372</v>
      </c>
      <c r="AC19" s="387" t="s">
        <v>372</v>
      </c>
      <c r="AD19" s="356">
        <v>19.5</v>
      </c>
      <c r="AE19" s="356">
        <v>19.5</v>
      </c>
      <c r="AF19" s="356">
        <v>16</v>
      </c>
      <c r="AG19" s="356">
        <v>19.5</v>
      </c>
      <c r="AH19" s="356">
        <v>18</v>
      </c>
      <c r="AI19" s="356">
        <v>19.5</v>
      </c>
      <c r="AJ19" s="356">
        <v>17</v>
      </c>
      <c r="AK19" s="356">
        <v>19.5</v>
      </c>
      <c r="AL19" s="382">
        <v>17</v>
      </c>
      <c r="AM19" s="356">
        <v>19.5</v>
      </c>
      <c r="AN19" s="527">
        <v>17</v>
      </c>
      <c r="AO19" s="356">
        <v>19.5</v>
      </c>
      <c r="AP19" s="527">
        <v>17.3</v>
      </c>
      <c r="AQ19" s="356">
        <v>19.5</v>
      </c>
      <c r="AR19" s="376"/>
      <c r="AS19" s="356">
        <v>19.5</v>
      </c>
      <c r="AT19" s="376"/>
      <c r="AU19" s="356">
        <v>19.5</v>
      </c>
      <c r="AV19" s="376"/>
      <c r="AW19" s="356">
        <v>19.5</v>
      </c>
      <c r="AX19" s="376"/>
      <c r="AY19" s="356">
        <v>19.5</v>
      </c>
      <c r="AZ19" s="376"/>
      <c r="BA19" s="356">
        <v>19.5</v>
      </c>
      <c r="BB19" s="376"/>
      <c r="BC19" s="388">
        <f t="shared" si="1"/>
        <v>19.5</v>
      </c>
      <c r="BD19" s="388">
        <f>+AP19</f>
        <v>17.3</v>
      </c>
      <c r="BE19" s="388">
        <f>+AP19</f>
        <v>17.3</v>
      </c>
      <c r="BF19" s="388">
        <f t="shared" si="4"/>
        <v>19.5</v>
      </c>
      <c r="BG19" s="388">
        <v>17.3</v>
      </c>
      <c r="BH19" s="356">
        <v>19</v>
      </c>
      <c r="BI19" s="356"/>
      <c r="BJ19" s="356"/>
      <c r="BK19" s="356"/>
      <c r="BL19" s="356"/>
      <c r="BM19" s="356"/>
      <c r="BN19" s="356"/>
      <c r="BO19" s="356"/>
      <c r="BP19" s="356"/>
      <c r="BQ19" s="356"/>
      <c r="BR19" s="356"/>
      <c r="BS19" s="356"/>
      <c r="BT19" s="356"/>
      <c r="BU19" s="356"/>
      <c r="BV19" s="356"/>
      <c r="BW19" s="356"/>
      <c r="BX19" s="356"/>
      <c r="BY19" s="356"/>
      <c r="BZ19" s="356"/>
      <c r="CA19" s="356"/>
      <c r="CB19" s="356"/>
      <c r="CC19" s="356"/>
      <c r="CD19" s="356"/>
      <c r="CE19" s="356"/>
      <c r="CF19" s="356"/>
      <c r="CG19" s="356"/>
      <c r="CH19" s="356"/>
      <c r="CI19" s="356"/>
      <c r="CJ19" s="356"/>
      <c r="CK19" s="356"/>
      <c r="CL19" s="356">
        <v>17.8</v>
      </c>
      <c r="CM19" s="356"/>
      <c r="CN19" s="356"/>
      <c r="CO19" s="356"/>
      <c r="CP19" s="356"/>
      <c r="CQ19" s="356"/>
      <c r="CR19" s="356"/>
      <c r="CS19" s="356"/>
      <c r="CT19" s="356"/>
      <c r="CU19" s="356"/>
      <c r="CV19" s="356"/>
      <c r="CW19" s="356"/>
      <c r="CX19" s="356"/>
      <c r="CY19" s="356"/>
      <c r="CZ19" s="356"/>
      <c r="DA19" s="356"/>
      <c r="DB19" s="356"/>
      <c r="DC19" s="356"/>
      <c r="DD19" s="356"/>
      <c r="DE19" s="356"/>
      <c r="DF19" s="356"/>
      <c r="DG19" s="356"/>
      <c r="DH19" s="356"/>
      <c r="DI19" s="356"/>
      <c r="DJ19" s="356"/>
      <c r="DK19" s="356"/>
      <c r="DL19" s="356"/>
      <c r="DM19" s="356"/>
      <c r="DN19" s="356"/>
      <c r="DO19" s="356"/>
      <c r="DP19" s="356">
        <v>17.3</v>
      </c>
      <c r="DQ19" s="376"/>
      <c r="DR19" s="376"/>
      <c r="DS19" s="376"/>
      <c r="DT19" s="376"/>
      <c r="DU19" s="376"/>
      <c r="DV19" s="376"/>
      <c r="DW19" s="376"/>
      <c r="DX19" s="376"/>
      <c r="DY19" s="376"/>
      <c r="DZ19" s="376"/>
      <c r="EA19" s="376"/>
      <c r="EB19" s="376"/>
      <c r="EC19" s="376"/>
      <c r="ED19" s="376"/>
      <c r="EE19" s="376"/>
      <c r="EF19" s="376"/>
      <c r="EG19" s="376"/>
      <c r="EH19" s="376"/>
      <c r="EI19" s="376"/>
      <c r="EJ19" s="376"/>
      <c r="EK19" s="376"/>
      <c r="EL19" s="376"/>
      <c r="EM19" s="376"/>
      <c r="EN19" s="376"/>
      <c r="EO19" s="376"/>
      <c r="EP19" s="376"/>
      <c r="EQ19" s="376"/>
      <c r="ER19" s="376"/>
      <c r="ES19" s="376"/>
      <c r="ET19" s="383">
        <f>AP19/AO19</f>
        <v>0.88717948717948725</v>
      </c>
      <c r="EU19" s="495">
        <f t="shared" si="6"/>
        <v>1</v>
      </c>
      <c r="EV19" s="496">
        <f t="shared" si="0"/>
        <v>0.88717948717948725</v>
      </c>
      <c r="EW19" s="462">
        <f>+(BE19)/(BC19)</f>
        <v>0.88717948717948725</v>
      </c>
      <c r="EX19" s="463">
        <f>+(BE19)/I19</f>
        <v>1</v>
      </c>
      <c r="EY19" s="552" t="s">
        <v>533</v>
      </c>
      <c r="EZ19" s="553" t="s">
        <v>454</v>
      </c>
      <c r="FA19" s="553" t="s">
        <v>454</v>
      </c>
      <c r="FB19" s="553" t="s">
        <v>470</v>
      </c>
      <c r="FC19" s="554" t="s">
        <v>471</v>
      </c>
    </row>
    <row r="20" spans="1:159" s="42" customFormat="1" ht="46.5" customHeight="1" x14ac:dyDescent="0.25">
      <c r="A20" s="308"/>
      <c r="B20" s="308"/>
      <c r="C20" s="309"/>
      <c r="D20" s="310"/>
      <c r="E20" s="311"/>
      <c r="F20" s="312"/>
      <c r="G20" s="313"/>
      <c r="H20" s="314"/>
      <c r="I20" s="309"/>
      <c r="J20" s="309"/>
      <c r="K20" s="309"/>
      <c r="L20" s="309"/>
      <c r="M20" s="309"/>
      <c r="N20" s="309"/>
      <c r="O20" s="309"/>
      <c r="P20" s="309"/>
      <c r="Q20" s="309"/>
      <c r="R20" s="309"/>
      <c r="S20" s="309"/>
      <c r="T20" s="309"/>
      <c r="U20" s="309"/>
      <c r="V20" s="315"/>
      <c r="W20" s="309"/>
      <c r="X20" s="315"/>
      <c r="Y20" s="309"/>
      <c r="Z20" s="309"/>
      <c r="AA20" s="309"/>
      <c r="AB20" s="309"/>
      <c r="AC20" s="315"/>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21"/>
      <c r="BD20" s="321"/>
      <c r="BE20" s="321"/>
      <c r="BF20" s="321"/>
      <c r="BG20" s="315"/>
      <c r="BH20" s="322"/>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6"/>
      <c r="CM20" s="309"/>
      <c r="CN20" s="309"/>
      <c r="CO20" s="309"/>
      <c r="CP20" s="309"/>
      <c r="CQ20" s="309"/>
      <c r="CR20" s="309"/>
      <c r="CS20" s="309"/>
      <c r="CT20" s="309"/>
      <c r="CU20" s="309"/>
      <c r="CV20" s="309"/>
      <c r="CW20" s="309"/>
      <c r="CX20" s="309"/>
      <c r="CY20" s="309"/>
      <c r="CZ20" s="309"/>
      <c r="DA20" s="309"/>
      <c r="DB20" s="309"/>
      <c r="DC20" s="309"/>
      <c r="DD20" s="309"/>
      <c r="DE20" s="309"/>
      <c r="DF20" s="309"/>
      <c r="DG20" s="309"/>
      <c r="DH20" s="309"/>
      <c r="DI20" s="309"/>
      <c r="DJ20" s="309"/>
      <c r="DK20" s="309"/>
      <c r="DL20" s="309"/>
      <c r="DM20" s="309"/>
      <c r="DN20" s="309"/>
      <c r="DO20" s="309"/>
      <c r="DP20" s="316"/>
      <c r="DQ20" s="309"/>
      <c r="DR20" s="309"/>
      <c r="DS20" s="309"/>
      <c r="DT20" s="309"/>
      <c r="DU20" s="309"/>
      <c r="DV20" s="309"/>
      <c r="DW20" s="309"/>
      <c r="DX20" s="309"/>
      <c r="DY20" s="309"/>
      <c r="DZ20" s="309"/>
      <c r="EA20" s="309"/>
      <c r="EB20" s="309"/>
      <c r="EC20" s="309"/>
      <c r="ED20" s="309"/>
      <c r="EE20" s="309"/>
      <c r="EF20" s="309"/>
      <c r="EG20" s="309"/>
      <c r="EH20" s="309"/>
      <c r="EI20" s="309"/>
      <c r="EJ20" s="309"/>
      <c r="EK20" s="309"/>
      <c r="EL20" s="309"/>
      <c r="EM20" s="309"/>
      <c r="EN20" s="309"/>
      <c r="EO20" s="309"/>
      <c r="EP20" s="309"/>
      <c r="EQ20" s="309"/>
      <c r="ER20" s="309"/>
      <c r="ES20" s="309"/>
      <c r="ET20" s="323"/>
      <c r="EU20" s="323"/>
      <c r="EV20" s="324"/>
      <c r="EW20" s="325"/>
      <c r="EX20" s="325"/>
      <c r="EY20" s="317"/>
      <c r="EZ20" s="318"/>
      <c r="FA20" s="318"/>
      <c r="FB20" s="319"/>
      <c r="FC20" s="320"/>
    </row>
    <row r="21" spans="1:159" ht="46.5" customHeight="1" x14ac:dyDescent="0.4">
      <c r="D21" s="22" t="s">
        <v>35</v>
      </c>
      <c r="I21" s="17"/>
      <c r="Y21" s="289"/>
      <c r="Z21" s="229"/>
      <c r="AA21" s="287"/>
      <c r="AC21" s="229"/>
      <c r="AV21" s="301"/>
      <c r="AW21" s="301"/>
      <c r="AX21" s="301"/>
      <c r="AY21" s="301"/>
      <c r="AZ21" s="301"/>
      <c r="BA21" s="301"/>
      <c r="BB21" s="301"/>
      <c r="BC21" s="301"/>
      <c r="BD21" s="301"/>
      <c r="BE21" s="301"/>
      <c r="BF21" s="301"/>
      <c r="BG21" s="301"/>
    </row>
    <row r="22" spans="1:159" customFormat="1" ht="46.5" customHeight="1" x14ac:dyDescent="0.25">
      <c r="D22" s="44" t="s">
        <v>36</v>
      </c>
      <c r="E22" s="644" t="s">
        <v>37</v>
      </c>
      <c r="F22" s="644"/>
      <c r="G22" s="644"/>
      <c r="H22" s="644"/>
      <c r="I22" s="644"/>
      <c r="J22" s="644"/>
      <c r="K22" s="671" t="s">
        <v>38</v>
      </c>
      <c r="L22" s="671"/>
      <c r="M22" s="671"/>
      <c r="N22" s="671"/>
      <c r="O22" s="671"/>
      <c r="P22" s="671"/>
      <c r="Q22" s="671"/>
      <c r="R22" s="671"/>
      <c r="S22" s="671"/>
      <c r="T22" s="45"/>
      <c r="U22" s="133"/>
      <c r="V22" s="45"/>
      <c r="W22" s="45"/>
      <c r="X22" s="45"/>
      <c r="Y22" s="135"/>
      <c r="Z22" s="230"/>
      <c r="AA22" s="45"/>
      <c r="AB22" s="45"/>
      <c r="AC22" s="45"/>
      <c r="AD22" s="293"/>
      <c r="AE22" s="45"/>
      <c r="AF22" s="307"/>
      <c r="AG22" s="307"/>
      <c r="AH22" s="307"/>
      <c r="AI22" s="307"/>
      <c r="AJ22" s="326"/>
      <c r="AK22" s="326"/>
      <c r="AL22" s="326"/>
      <c r="AM22" s="326"/>
      <c r="AN22" s="326"/>
      <c r="AO22" s="326"/>
      <c r="AP22" s="326"/>
      <c r="AQ22" s="326"/>
      <c r="AR22" s="326"/>
      <c r="AS22" s="326"/>
      <c r="AT22" s="326"/>
      <c r="AU22" s="326"/>
      <c r="AV22" s="307"/>
      <c r="AW22" s="307"/>
      <c r="AX22" s="307"/>
      <c r="AY22" s="307"/>
      <c r="AZ22" s="307"/>
      <c r="BA22" s="307"/>
      <c r="BB22" s="307"/>
      <c r="BC22" s="307"/>
      <c r="BD22" s="307"/>
      <c r="BE22" s="307"/>
      <c r="BF22" s="307"/>
      <c r="BG22" s="307"/>
      <c r="BH22" s="45"/>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45"/>
      <c r="CM22" s="303"/>
      <c r="CN22" s="303"/>
      <c r="CO22" s="303"/>
      <c r="CP22" s="303"/>
      <c r="CQ22" s="303"/>
      <c r="CR22" s="303"/>
      <c r="CS22" s="303"/>
      <c r="CT22" s="303"/>
      <c r="CU22" s="303"/>
      <c r="CV22" s="303"/>
      <c r="CW22" s="45"/>
      <c r="CX22" s="45"/>
      <c r="CY22" s="45"/>
      <c r="CZ22" s="45"/>
      <c r="DA22" s="45"/>
      <c r="DB22" s="45"/>
      <c r="DC22" s="45"/>
      <c r="DD22" s="45"/>
      <c r="DE22" s="45"/>
      <c r="DF22" s="45"/>
      <c r="DG22" s="45"/>
      <c r="DH22" s="45"/>
      <c r="DI22" s="45"/>
      <c r="DJ22" s="45"/>
      <c r="DK22" s="45"/>
      <c r="DL22" s="45"/>
      <c r="DM22" s="45"/>
      <c r="DN22" s="45"/>
      <c r="DO22" s="45"/>
      <c r="DP22" s="45"/>
      <c r="DQ22" s="303"/>
      <c r="DR22" s="303"/>
      <c r="DS22" s="303"/>
      <c r="DT22" s="303"/>
      <c r="DU22" s="303"/>
      <c r="DV22" s="303"/>
      <c r="DW22" s="303"/>
      <c r="DX22" s="303"/>
      <c r="DY22" s="303"/>
      <c r="DZ22" s="303"/>
      <c r="EA22" s="303"/>
      <c r="EB22" s="303"/>
      <c r="EC22" s="303"/>
      <c r="ED22" s="303"/>
      <c r="EE22" s="303"/>
      <c r="EF22" s="303"/>
      <c r="EG22" s="45"/>
      <c r="EH22" s="45"/>
      <c r="EI22" s="45"/>
      <c r="EJ22" s="45"/>
      <c r="EK22" s="45"/>
      <c r="EL22" s="45"/>
      <c r="EM22" s="45"/>
      <c r="EN22" s="45"/>
      <c r="EO22" s="45"/>
      <c r="EP22" s="45"/>
      <c r="EQ22" s="45"/>
      <c r="ER22" s="45"/>
      <c r="ES22" s="45"/>
      <c r="FB22" s="292"/>
    </row>
    <row r="23" spans="1:159" customFormat="1" ht="46.5" customHeight="1" x14ac:dyDescent="0.25">
      <c r="D23" s="21">
        <v>13</v>
      </c>
      <c r="E23" s="664" t="s">
        <v>87</v>
      </c>
      <c r="F23" s="664"/>
      <c r="G23" s="664"/>
      <c r="H23" s="664"/>
      <c r="I23" s="664"/>
      <c r="J23" s="664"/>
      <c r="K23" s="665" t="s">
        <v>88</v>
      </c>
      <c r="L23" s="665"/>
      <c r="M23" s="665"/>
      <c r="N23" s="665"/>
      <c r="O23" s="665"/>
      <c r="P23" s="665"/>
      <c r="Q23" s="665"/>
      <c r="R23" s="665"/>
      <c r="S23" s="665"/>
      <c r="T23" s="45"/>
      <c r="U23" s="133"/>
      <c r="V23" s="45"/>
      <c r="W23" s="45"/>
      <c r="X23" s="45"/>
      <c r="Y23" s="669"/>
      <c r="Z23" s="670"/>
      <c r="AA23" s="670"/>
      <c r="AB23" s="670"/>
      <c r="AC23" s="670"/>
      <c r="AD23" s="670"/>
      <c r="AE23" s="670"/>
      <c r="AF23" s="670"/>
      <c r="AG23" s="670"/>
      <c r="AH23" s="670"/>
      <c r="AI23" s="670"/>
      <c r="AJ23" s="670"/>
      <c r="AK23" s="670"/>
      <c r="AL23" s="670"/>
      <c r="AM23" s="670"/>
      <c r="AN23" s="670"/>
      <c r="AO23" s="670"/>
      <c r="AP23" s="670"/>
      <c r="AQ23" s="670"/>
      <c r="AR23" s="670"/>
      <c r="AS23" s="670"/>
      <c r="AT23" s="670"/>
      <c r="AU23" s="670"/>
      <c r="AV23" s="670"/>
      <c r="AW23" s="670"/>
      <c r="AX23" s="670"/>
      <c r="AY23" s="670"/>
      <c r="AZ23" s="670"/>
      <c r="BA23" s="670"/>
      <c r="BB23" s="670"/>
      <c r="BC23" s="670"/>
      <c r="BD23" s="670"/>
      <c r="BE23" s="670"/>
      <c r="BF23" s="670"/>
      <c r="BG23" s="670"/>
      <c r="BH23" s="45"/>
      <c r="BI23" s="303"/>
      <c r="BJ23" s="303"/>
      <c r="BK23" s="303"/>
      <c r="BL23" s="303"/>
      <c r="BM23" s="303"/>
      <c r="BN23" s="303"/>
      <c r="BO23" s="303"/>
      <c r="BP23" s="303"/>
      <c r="BQ23" s="303"/>
      <c r="BR23" s="303"/>
      <c r="BS23" s="303"/>
      <c r="BT23" s="303"/>
      <c r="BU23" s="303"/>
      <c r="BV23" s="303"/>
      <c r="BW23" s="303"/>
      <c r="BX23" s="303"/>
      <c r="BY23" s="303"/>
      <c r="BZ23" s="303"/>
      <c r="CA23" s="303"/>
      <c r="CB23" s="303"/>
      <c r="CC23" s="303"/>
      <c r="CD23" s="303"/>
      <c r="CE23" s="303"/>
      <c r="CF23" s="303"/>
      <c r="CG23" s="303"/>
      <c r="CH23" s="303"/>
      <c r="CI23" s="303"/>
      <c r="CJ23" s="303"/>
      <c r="CK23" s="303"/>
      <c r="CL23" s="45"/>
      <c r="CM23" s="303"/>
      <c r="CN23" s="303"/>
      <c r="CO23" s="303"/>
      <c r="CP23" s="303"/>
      <c r="CQ23" s="303"/>
      <c r="CR23" s="303"/>
      <c r="CS23" s="303"/>
      <c r="CT23" s="303"/>
      <c r="CU23" s="303"/>
      <c r="CV23" s="303"/>
      <c r="CW23" s="45"/>
      <c r="CX23" s="45"/>
      <c r="CY23" s="45"/>
      <c r="CZ23" s="45"/>
      <c r="DA23" s="45"/>
      <c r="DB23" s="45"/>
      <c r="DC23" s="45"/>
      <c r="DD23" s="45"/>
      <c r="DE23" s="45"/>
      <c r="DF23" s="45"/>
      <c r="DG23" s="45"/>
      <c r="DH23" s="45"/>
      <c r="DI23" s="45"/>
      <c r="DJ23" s="45"/>
      <c r="DK23" s="45"/>
      <c r="DL23" s="45"/>
      <c r="DM23" s="45"/>
      <c r="DN23" s="45"/>
      <c r="DO23" s="45"/>
      <c r="DP23" s="45"/>
      <c r="DQ23" s="303"/>
      <c r="DR23" s="303"/>
      <c r="DS23" s="303"/>
      <c r="DT23" s="303"/>
      <c r="DU23" s="303"/>
      <c r="DV23" s="303"/>
      <c r="DW23" s="303"/>
      <c r="DX23" s="303"/>
      <c r="DY23" s="303"/>
      <c r="DZ23" s="303"/>
      <c r="EA23" s="303"/>
      <c r="EB23" s="303"/>
      <c r="EC23" s="303"/>
      <c r="ED23" s="303"/>
      <c r="EE23" s="303"/>
      <c r="EF23" s="303"/>
      <c r="EG23" s="45"/>
      <c r="EH23" s="45"/>
      <c r="EI23" s="45"/>
      <c r="EJ23" s="45"/>
      <c r="EK23" s="45"/>
      <c r="EL23" s="45"/>
      <c r="EM23" s="45"/>
      <c r="EN23" s="45"/>
      <c r="EO23" s="45"/>
      <c r="EP23" s="45"/>
      <c r="EQ23" s="45"/>
      <c r="ER23" s="45"/>
      <c r="ES23" s="45"/>
    </row>
    <row r="24" spans="1:159" customFormat="1" ht="46.5" customHeight="1" x14ac:dyDescent="0.25">
      <c r="D24" s="21">
        <v>14</v>
      </c>
      <c r="E24" s="664" t="s">
        <v>351</v>
      </c>
      <c r="F24" s="664"/>
      <c r="G24" s="664"/>
      <c r="H24" s="664"/>
      <c r="I24" s="664"/>
      <c r="J24" s="664"/>
      <c r="K24" s="665"/>
      <c r="L24" s="665"/>
      <c r="M24" s="665"/>
      <c r="N24" s="665"/>
      <c r="O24" s="665"/>
      <c r="P24" s="665"/>
      <c r="Q24" s="665"/>
      <c r="R24" s="665"/>
      <c r="S24" s="665"/>
      <c r="T24" s="45"/>
      <c r="U24" s="133"/>
      <c r="V24" s="45"/>
      <c r="W24" s="45"/>
      <c r="X24" s="45"/>
      <c r="Y24" s="135"/>
      <c r="Z24" s="45"/>
      <c r="AA24" s="45"/>
      <c r="AB24" s="45"/>
      <c r="AC24" s="45"/>
      <c r="AD24" s="293"/>
      <c r="AE24" s="45"/>
      <c r="AF24" s="307"/>
      <c r="AG24" s="307"/>
      <c r="AH24" s="307"/>
      <c r="AI24" s="307"/>
      <c r="AJ24" s="326"/>
      <c r="AK24" s="326"/>
      <c r="AL24" s="326"/>
      <c r="AM24" s="326"/>
      <c r="AN24" s="326"/>
      <c r="AO24" s="326"/>
      <c r="AP24" s="326"/>
      <c r="AQ24" s="326"/>
      <c r="AR24" s="326"/>
      <c r="AS24" s="326"/>
      <c r="AT24" s="326"/>
      <c r="AU24" s="326"/>
      <c r="AV24" s="307"/>
      <c r="AW24" s="307"/>
      <c r="AX24" s="307"/>
      <c r="AY24" s="307"/>
      <c r="AZ24" s="307"/>
      <c r="BA24" s="307"/>
      <c r="BB24" s="307"/>
      <c r="BC24" s="307"/>
      <c r="BD24" s="307"/>
      <c r="BE24" s="307"/>
      <c r="BF24" s="307"/>
      <c r="BG24" s="307"/>
      <c r="BH24" s="45"/>
      <c r="BI24" s="303"/>
      <c r="BJ24" s="303"/>
      <c r="BK24" s="303"/>
      <c r="BL24" s="303"/>
      <c r="BM24" s="303"/>
      <c r="BN24" s="303"/>
      <c r="BO24" s="303"/>
      <c r="BP24" s="303"/>
      <c r="BQ24" s="303"/>
      <c r="BR24" s="303"/>
      <c r="BS24" s="303"/>
      <c r="BT24" s="303"/>
      <c r="BU24" s="303"/>
      <c r="BV24" s="303"/>
      <c r="BW24" s="303"/>
      <c r="BX24" s="303"/>
      <c r="BY24" s="303"/>
      <c r="BZ24" s="303"/>
      <c r="CA24" s="303"/>
      <c r="CB24" s="303"/>
      <c r="CC24" s="303"/>
      <c r="CD24" s="303"/>
      <c r="CE24" s="303"/>
      <c r="CF24" s="303"/>
      <c r="CG24" s="303"/>
      <c r="CH24" s="303"/>
      <c r="CI24" s="303"/>
      <c r="CJ24" s="303"/>
      <c r="CK24" s="303"/>
      <c r="CL24" s="45"/>
      <c r="CM24" s="303"/>
      <c r="CN24" s="303"/>
      <c r="CO24" s="303"/>
      <c r="CP24" s="303"/>
      <c r="CQ24" s="303"/>
      <c r="CR24" s="303"/>
      <c r="CS24" s="303"/>
      <c r="CT24" s="303"/>
      <c r="CU24" s="303"/>
      <c r="CV24" s="303"/>
      <c r="CW24" s="45"/>
      <c r="CX24" s="45"/>
      <c r="CY24" s="45"/>
      <c r="CZ24" s="45"/>
      <c r="DA24" s="45"/>
      <c r="DB24" s="45"/>
      <c r="DC24" s="45"/>
      <c r="DD24" s="45"/>
      <c r="DE24" s="45"/>
      <c r="DF24" s="45"/>
      <c r="DG24" s="45"/>
      <c r="DH24" s="45"/>
      <c r="DI24" s="45"/>
      <c r="DJ24" s="45"/>
      <c r="DK24" s="45"/>
      <c r="DL24" s="45"/>
      <c r="DM24" s="45"/>
      <c r="DN24" s="45"/>
      <c r="DO24" s="45"/>
      <c r="DP24" s="45"/>
      <c r="DQ24" s="303"/>
      <c r="DR24" s="303"/>
      <c r="DS24" s="303"/>
      <c r="DT24" s="303"/>
      <c r="DU24" s="303"/>
      <c r="DV24" s="303"/>
      <c r="DW24" s="303"/>
      <c r="DX24" s="303"/>
      <c r="DY24" s="303"/>
      <c r="DZ24" s="303"/>
      <c r="EA24" s="303"/>
      <c r="EB24" s="303"/>
      <c r="EC24" s="303"/>
      <c r="ED24" s="303"/>
      <c r="EE24" s="303"/>
      <c r="EF24" s="303"/>
      <c r="EG24" s="45"/>
      <c r="EH24" s="45"/>
      <c r="EI24" s="45"/>
      <c r="EJ24" s="45"/>
      <c r="EK24" s="45"/>
      <c r="EL24" s="45"/>
      <c r="EM24" s="45"/>
      <c r="EN24" s="45"/>
      <c r="EO24" s="45"/>
      <c r="EP24" s="45"/>
      <c r="EQ24" s="45"/>
      <c r="ER24" s="45"/>
      <c r="ES24" s="45"/>
    </row>
    <row r="26" spans="1:159" ht="46.5" customHeight="1" x14ac:dyDescent="0.25">
      <c r="AV26" s="229"/>
      <c r="AW26" s="229"/>
      <c r="AX26" s="229"/>
      <c r="AY26" s="229"/>
      <c r="AZ26" s="229"/>
      <c r="BA26" s="229"/>
      <c r="BB26" s="229"/>
      <c r="BC26" s="229"/>
      <c r="BD26" s="229"/>
      <c r="BE26" s="229"/>
      <c r="BF26" s="229"/>
      <c r="BG26" s="229"/>
    </row>
    <row r="30" spans="1:159" ht="46.5" customHeight="1" x14ac:dyDescent="0.25">
      <c r="AC30" s="301"/>
    </row>
  </sheetData>
  <mergeCells count="38">
    <mergeCell ref="E24:J24"/>
    <mergeCell ref="K24:S24"/>
    <mergeCell ref="FC9:FC11"/>
    <mergeCell ref="EY9:EY11"/>
    <mergeCell ref="EZ9:EZ11"/>
    <mergeCell ref="Y23:BG23"/>
    <mergeCell ref="E23:J23"/>
    <mergeCell ref="K23:S23"/>
    <mergeCell ref="K22:S22"/>
    <mergeCell ref="DP10:ES10"/>
    <mergeCell ref="ET9:ET11"/>
    <mergeCell ref="EU9:EU11"/>
    <mergeCell ref="J10:AC10"/>
    <mergeCell ref="AD10:BG10"/>
    <mergeCell ref="BH10:CK10"/>
    <mergeCell ref="CL10:DO10"/>
    <mergeCell ref="E22:J22"/>
    <mergeCell ref="A9:I9"/>
    <mergeCell ref="A10:I10"/>
    <mergeCell ref="G4:FC4"/>
    <mergeCell ref="G5:FC5"/>
    <mergeCell ref="G6:FC6"/>
    <mergeCell ref="G7:FC7"/>
    <mergeCell ref="EV9:EV11"/>
    <mergeCell ref="EX9:EX11"/>
    <mergeCell ref="EW9:EW11"/>
    <mergeCell ref="FA9:FA11"/>
    <mergeCell ref="FB9:FB11"/>
    <mergeCell ref="J9:ES9"/>
    <mergeCell ref="A4:F4"/>
    <mergeCell ref="A5:F5"/>
    <mergeCell ref="A6:F6"/>
    <mergeCell ref="A7:F7"/>
    <mergeCell ref="A1:F3"/>
    <mergeCell ref="G1:FC1"/>
    <mergeCell ref="G2:FC2"/>
    <mergeCell ref="G3:ES3"/>
    <mergeCell ref="ET3:FC3"/>
  </mergeCells>
  <phoneticPr fontId="8" type="noConversion"/>
  <dataValidations count="1">
    <dataValidation type="list" allowBlank="1" showInputMessage="1" showErrorMessage="1" sqref="H12:H19" xr:uid="{CCF6A82D-A6D6-8740-914C-E75B34190004}">
      <formula1>#REF!</formula1>
    </dataValidation>
  </dataValidations>
  <hyperlinks>
    <hyperlink ref="FC18" r:id="rId1" xr:uid="{81762577-E733-D647-BC9D-582E2C977361}"/>
    <hyperlink ref="FC19" r:id="rId2" xr:uid="{D284B116-FFFA-4C4F-9091-74211F81FE13}"/>
  </hyperlinks>
  <printOptions horizontalCentered="1" verticalCentered="1"/>
  <pageMargins left="0" right="0" top="0.55118110236220474" bottom="0" header="0.31496062992125984" footer="0.31496062992125984"/>
  <pageSetup scale="20" fitToWidth="0"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74"/>
  <sheetViews>
    <sheetView showGridLines="0" tabSelected="1" topLeftCell="B1" zoomScale="51" zoomScaleNormal="51" zoomScaleSheetLayoutView="40" zoomScalePageLayoutView="73" workbookViewId="0">
      <selection activeCell="G59" sqref="G59"/>
    </sheetView>
  </sheetViews>
  <sheetFormatPr baseColWidth="10" defaultColWidth="10.7109375" defaultRowHeight="29.25" customHeight="1" x14ac:dyDescent="0.25"/>
  <cols>
    <col min="1" max="1" width="12.28515625" style="1" hidden="1" customWidth="1"/>
    <col min="2" max="2" width="5.5703125" style="1" customWidth="1"/>
    <col min="3" max="3" width="19.7109375" style="1" customWidth="1"/>
    <col min="4" max="4" width="10.28515625" style="5" customWidth="1"/>
    <col min="5" max="5" width="8.140625" style="5" customWidth="1"/>
    <col min="6" max="6" width="19.140625" style="16" customWidth="1"/>
    <col min="7" max="7" width="20.7109375" style="6" customWidth="1"/>
    <col min="8" max="8" width="21.7109375" style="6" hidden="1" customWidth="1"/>
    <col min="9" max="22" width="15.7109375" style="6" hidden="1" customWidth="1"/>
    <col min="23" max="23" width="19.28515625" style="6" hidden="1" customWidth="1"/>
    <col min="24" max="24" width="22.140625" style="6" hidden="1" customWidth="1"/>
    <col min="25" max="25" width="19.140625" style="6" hidden="1" customWidth="1"/>
    <col min="26" max="26" width="21" style="6" customWidth="1"/>
    <col min="27" max="27" width="22.140625" style="6" customWidth="1"/>
    <col min="28" max="28" width="21.7109375" style="6" customWidth="1"/>
    <col min="29" max="29" width="19.140625" style="6" customWidth="1"/>
    <col min="30" max="41" width="15.7109375" style="6" customWidth="1"/>
    <col min="42" max="42" width="15.7109375" style="6" hidden="1" customWidth="1"/>
    <col min="43" max="43" width="21.28515625" style="6" customWidth="1"/>
    <col min="44" max="44" width="15.7109375" style="6" hidden="1" customWidth="1"/>
    <col min="45" max="45" width="22.42578125" style="6" customWidth="1"/>
    <col min="46" max="46" width="15.7109375" style="6" bestFit="1" customWidth="1"/>
    <col min="47" max="47" width="18" style="6" bestFit="1" customWidth="1"/>
    <col min="48" max="48" width="15.7109375" style="6" customWidth="1"/>
    <col min="49" max="49" width="17.28515625" style="6" bestFit="1" customWidth="1"/>
    <col min="50" max="50" width="15.7109375" style="6" customWidth="1"/>
    <col min="51" max="51" width="16.7109375" style="6" bestFit="1" customWidth="1"/>
    <col min="52" max="52" width="15.7109375" style="6" customWidth="1"/>
    <col min="53" max="53" width="22.28515625" style="6" bestFit="1" customWidth="1"/>
    <col min="54" max="54" width="21.140625" style="6" bestFit="1" customWidth="1"/>
    <col min="55" max="55" width="20.85546875" style="6" bestFit="1" customWidth="1"/>
    <col min="56" max="56" width="23" style="6" customWidth="1"/>
    <col min="57" max="57" width="20.7109375" style="6" customWidth="1"/>
    <col min="58" max="58" width="23" style="6" customWidth="1"/>
    <col min="59" max="83" width="15.7109375" style="6" hidden="1" customWidth="1"/>
    <col min="84" max="84" width="18.7109375" style="6" hidden="1" customWidth="1"/>
    <col min="85" max="85" width="21" style="6" hidden="1" customWidth="1"/>
    <col min="86" max="86" width="20.140625" style="6" hidden="1" customWidth="1"/>
    <col min="87" max="87" width="19.42578125" style="6" hidden="1" customWidth="1"/>
    <col min="88" max="88" width="21.7109375" style="6" customWidth="1"/>
    <col min="89" max="117" width="15.7109375" style="6" hidden="1" customWidth="1"/>
    <col min="118" max="118" width="20.7109375" style="6" customWidth="1"/>
    <col min="119" max="147" width="15.7109375" style="6" hidden="1" customWidth="1"/>
    <col min="148" max="148" width="15.42578125" style="17" customWidth="1"/>
    <col min="149" max="149" width="17.28515625" style="17" customWidth="1"/>
    <col min="150" max="150" width="16.42578125" style="1" customWidth="1"/>
    <col min="151" max="151" width="17.42578125" style="1" customWidth="1"/>
    <col min="152" max="152" width="15.85546875" style="1" customWidth="1"/>
    <col min="153" max="153" width="62.42578125" style="1" customWidth="1"/>
    <col min="154" max="154" width="12" style="1" customWidth="1"/>
    <col min="155" max="155" width="13" style="1" customWidth="1"/>
    <col min="156" max="156" width="29.5703125" style="1" customWidth="1"/>
    <col min="157" max="157" width="38.28515625" style="1" customWidth="1"/>
    <col min="158" max="158" width="6" style="1" bestFit="1" customWidth="1"/>
    <col min="159" max="160" width="10.7109375" style="1" customWidth="1"/>
    <col min="161" max="16384" width="10.7109375" style="1"/>
  </cols>
  <sheetData>
    <row r="1" spans="1:158" s="390" customFormat="1" ht="29.25" customHeight="1" x14ac:dyDescent="0.35">
      <c r="A1" s="695"/>
      <c r="B1" s="696"/>
      <c r="C1" s="696"/>
      <c r="D1" s="696"/>
      <c r="E1" s="696"/>
      <c r="F1" s="707" t="s">
        <v>39</v>
      </c>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7"/>
      <c r="AY1" s="707"/>
      <c r="AZ1" s="707"/>
      <c r="BA1" s="707"/>
      <c r="BB1" s="707"/>
      <c r="BC1" s="707"/>
      <c r="BD1" s="707"/>
      <c r="BE1" s="707"/>
      <c r="BF1" s="707"/>
      <c r="BG1" s="707"/>
      <c r="BH1" s="707"/>
      <c r="BI1" s="707"/>
      <c r="BJ1" s="707"/>
      <c r="BK1" s="707"/>
      <c r="BL1" s="707"/>
      <c r="BM1" s="707"/>
      <c r="BN1" s="707"/>
      <c r="BO1" s="707"/>
      <c r="BP1" s="707"/>
      <c r="BQ1" s="707"/>
      <c r="BR1" s="707"/>
      <c r="BS1" s="707"/>
      <c r="BT1" s="707"/>
      <c r="BU1" s="707"/>
      <c r="BV1" s="707"/>
      <c r="BW1" s="707"/>
      <c r="BX1" s="707"/>
      <c r="BY1" s="707"/>
      <c r="BZ1" s="707"/>
      <c r="CA1" s="707"/>
      <c r="CB1" s="707"/>
      <c r="CC1" s="707"/>
      <c r="CD1" s="707"/>
      <c r="CE1" s="707"/>
      <c r="CF1" s="707"/>
      <c r="CG1" s="707"/>
      <c r="CH1" s="707"/>
      <c r="CI1" s="707"/>
      <c r="CJ1" s="707"/>
      <c r="CK1" s="707"/>
      <c r="CL1" s="707"/>
      <c r="CM1" s="707"/>
      <c r="CN1" s="707"/>
      <c r="CO1" s="707"/>
      <c r="CP1" s="707"/>
      <c r="CQ1" s="707"/>
      <c r="CR1" s="707"/>
      <c r="CS1" s="707"/>
      <c r="CT1" s="707"/>
      <c r="CU1" s="707"/>
      <c r="CV1" s="707"/>
      <c r="CW1" s="707"/>
      <c r="CX1" s="707"/>
      <c r="CY1" s="707"/>
      <c r="CZ1" s="707"/>
      <c r="DA1" s="707"/>
      <c r="DB1" s="707"/>
      <c r="DC1" s="707"/>
      <c r="DD1" s="707"/>
      <c r="DE1" s="707"/>
      <c r="DF1" s="707"/>
      <c r="DG1" s="707"/>
      <c r="DH1" s="707"/>
      <c r="DI1" s="707"/>
      <c r="DJ1" s="707"/>
      <c r="DK1" s="707"/>
      <c r="DL1" s="707"/>
      <c r="DM1" s="707"/>
      <c r="DN1" s="707"/>
      <c r="DO1" s="707"/>
      <c r="DP1" s="707"/>
      <c r="DQ1" s="707"/>
      <c r="DR1" s="707"/>
      <c r="DS1" s="707"/>
      <c r="DT1" s="707"/>
      <c r="DU1" s="707"/>
      <c r="DV1" s="707"/>
      <c r="DW1" s="707"/>
      <c r="DX1" s="707"/>
      <c r="DY1" s="707"/>
      <c r="DZ1" s="707"/>
      <c r="EA1" s="707"/>
      <c r="EB1" s="707"/>
      <c r="EC1" s="707"/>
      <c r="ED1" s="707"/>
      <c r="EE1" s="707"/>
      <c r="EF1" s="707"/>
      <c r="EG1" s="707"/>
      <c r="EH1" s="707"/>
      <c r="EI1" s="707"/>
      <c r="EJ1" s="707"/>
      <c r="EK1" s="707"/>
      <c r="EL1" s="707"/>
      <c r="EM1" s="707"/>
      <c r="EN1" s="707"/>
      <c r="EO1" s="707"/>
      <c r="EP1" s="707"/>
      <c r="EQ1" s="707"/>
      <c r="ER1" s="707"/>
      <c r="ES1" s="707"/>
      <c r="ET1" s="707"/>
      <c r="EU1" s="707"/>
      <c r="EV1" s="707"/>
      <c r="EW1" s="707"/>
      <c r="EX1" s="707"/>
      <c r="EY1" s="707"/>
      <c r="EZ1" s="707"/>
      <c r="FA1" s="708"/>
    </row>
    <row r="2" spans="1:158" s="390" customFormat="1" ht="29.25" customHeight="1" x14ac:dyDescent="0.35">
      <c r="A2" s="697"/>
      <c r="B2" s="698"/>
      <c r="C2" s="698"/>
      <c r="D2" s="698"/>
      <c r="E2" s="698"/>
      <c r="F2" s="709" t="s">
        <v>346</v>
      </c>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709"/>
      <c r="BW2" s="709"/>
      <c r="BX2" s="709"/>
      <c r="BY2" s="709"/>
      <c r="BZ2" s="709"/>
      <c r="CA2" s="709"/>
      <c r="CB2" s="709"/>
      <c r="CC2" s="709"/>
      <c r="CD2" s="709"/>
      <c r="CE2" s="709"/>
      <c r="CF2" s="709"/>
      <c r="CG2" s="709"/>
      <c r="CH2" s="709"/>
      <c r="CI2" s="709"/>
      <c r="CJ2" s="709"/>
      <c r="CK2" s="709"/>
      <c r="CL2" s="709"/>
      <c r="CM2" s="709"/>
      <c r="CN2" s="709"/>
      <c r="CO2" s="709"/>
      <c r="CP2" s="709"/>
      <c r="CQ2" s="709"/>
      <c r="CR2" s="709"/>
      <c r="CS2" s="709"/>
      <c r="CT2" s="709"/>
      <c r="CU2" s="709"/>
      <c r="CV2" s="709"/>
      <c r="CW2" s="709"/>
      <c r="CX2" s="709"/>
      <c r="CY2" s="709"/>
      <c r="CZ2" s="709"/>
      <c r="DA2" s="709"/>
      <c r="DB2" s="709"/>
      <c r="DC2" s="709"/>
      <c r="DD2" s="709"/>
      <c r="DE2" s="709"/>
      <c r="DF2" s="709"/>
      <c r="DG2" s="709"/>
      <c r="DH2" s="709"/>
      <c r="DI2" s="709"/>
      <c r="DJ2" s="709"/>
      <c r="DK2" s="709"/>
      <c r="DL2" s="709"/>
      <c r="DM2" s="709"/>
      <c r="DN2" s="709"/>
      <c r="DO2" s="709"/>
      <c r="DP2" s="709"/>
      <c r="DQ2" s="709"/>
      <c r="DR2" s="709"/>
      <c r="DS2" s="709"/>
      <c r="DT2" s="709"/>
      <c r="DU2" s="709"/>
      <c r="DV2" s="709"/>
      <c r="DW2" s="709"/>
      <c r="DX2" s="709"/>
      <c r="DY2" s="709"/>
      <c r="DZ2" s="709"/>
      <c r="EA2" s="709"/>
      <c r="EB2" s="709"/>
      <c r="EC2" s="709"/>
      <c r="ED2" s="709"/>
      <c r="EE2" s="709"/>
      <c r="EF2" s="709"/>
      <c r="EG2" s="709"/>
      <c r="EH2" s="709"/>
      <c r="EI2" s="709"/>
      <c r="EJ2" s="709"/>
      <c r="EK2" s="709"/>
      <c r="EL2" s="709"/>
      <c r="EM2" s="709"/>
      <c r="EN2" s="709"/>
      <c r="EO2" s="709"/>
      <c r="EP2" s="709"/>
      <c r="EQ2" s="709"/>
      <c r="ER2" s="709"/>
      <c r="ES2" s="709"/>
      <c r="ET2" s="709"/>
      <c r="EU2" s="709"/>
      <c r="EV2" s="709"/>
      <c r="EW2" s="709"/>
      <c r="EX2" s="709"/>
      <c r="EY2" s="709"/>
      <c r="EZ2" s="709"/>
      <c r="FA2" s="710"/>
    </row>
    <row r="3" spans="1:158" s="18" customFormat="1" ht="29.25" customHeight="1" x14ac:dyDescent="0.4">
      <c r="A3" s="697"/>
      <c r="B3" s="698"/>
      <c r="C3" s="698"/>
      <c r="D3" s="698"/>
      <c r="E3" s="698"/>
      <c r="F3" s="711" t="s">
        <v>48</v>
      </c>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711"/>
      <c r="CA3" s="711"/>
      <c r="CB3" s="711"/>
      <c r="CC3" s="711"/>
      <c r="CD3" s="711"/>
      <c r="CE3" s="711"/>
      <c r="CF3" s="711"/>
      <c r="CG3" s="711"/>
      <c r="CH3" s="711"/>
      <c r="CI3" s="711"/>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c r="DH3" s="711"/>
      <c r="DI3" s="711"/>
      <c r="DJ3" s="711"/>
      <c r="DK3" s="711"/>
      <c r="DL3" s="711"/>
      <c r="DM3" s="711"/>
      <c r="DN3" s="711"/>
      <c r="DO3" s="711"/>
      <c r="DP3" s="711"/>
      <c r="DQ3" s="711"/>
      <c r="DR3" s="711"/>
      <c r="DS3" s="711"/>
      <c r="DT3" s="711"/>
      <c r="DU3" s="711"/>
      <c r="DV3" s="711"/>
      <c r="DW3" s="711"/>
      <c r="DX3" s="711"/>
      <c r="DY3" s="711"/>
      <c r="DZ3" s="711"/>
      <c r="EA3" s="711"/>
      <c r="EB3" s="711"/>
      <c r="EC3" s="711"/>
      <c r="ED3" s="711"/>
      <c r="EE3" s="711"/>
      <c r="EF3" s="711"/>
      <c r="EG3" s="711"/>
      <c r="EH3" s="711"/>
      <c r="EI3" s="711"/>
      <c r="EJ3" s="711"/>
      <c r="EK3" s="711"/>
      <c r="EL3" s="711"/>
      <c r="EM3" s="711"/>
      <c r="EN3" s="711"/>
      <c r="EO3" s="711"/>
      <c r="EP3" s="711"/>
      <c r="EQ3" s="711"/>
      <c r="ER3" s="711" t="s">
        <v>328</v>
      </c>
      <c r="ES3" s="711"/>
      <c r="ET3" s="711"/>
      <c r="EU3" s="711"/>
      <c r="EV3" s="711"/>
      <c r="EW3" s="711"/>
      <c r="EX3" s="711"/>
      <c r="EY3" s="711"/>
      <c r="EZ3" s="711"/>
      <c r="FA3" s="714"/>
    </row>
    <row r="4" spans="1:158" ht="29.25" customHeight="1" x14ac:dyDescent="0.25">
      <c r="A4" s="699" t="s">
        <v>0</v>
      </c>
      <c r="B4" s="700"/>
      <c r="C4" s="700"/>
      <c r="D4" s="700"/>
      <c r="E4" s="700"/>
      <c r="F4" s="718" t="s">
        <v>352</v>
      </c>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719"/>
      <c r="BA4" s="719"/>
      <c r="BB4" s="719"/>
      <c r="BC4" s="719"/>
      <c r="BD4" s="719"/>
      <c r="BE4" s="719"/>
      <c r="BF4" s="719"/>
      <c r="BG4" s="719"/>
      <c r="BH4" s="719"/>
      <c r="BI4" s="719"/>
      <c r="BJ4" s="719"/>
      <c r="BK4" s="719"/>
      <c r="BL4" s="719"/>
      <c r="BM4" s="719"/>
      <c r="BN4" s="719"/>
      <c r="BO4" s="719"/>
      <c r="BP4" s="719"/>
      <c r="BQ4" s="719"/>
      <c r="BR4" s="719"/>
      <c r="BS4" s="719"/>
      <c r="BT4" s="719"/>
      <c r="BU4" s="719"/>
      <c r="BV4" s="719"/>
      <c r="BW4" s="719"/>
      <c r="BX4" s="719"/>
      <c r="BY4" s="719"/>
      <c r="BZ4" s="719"/>
      <c r="CA4" s="719"/>
      <c r="CB4" s="719"/>
      <c r="CC4" s="719"/>
      <c r="CD4" s="719"/>
      <c r="CE4" s="719"/>
      <c r="CF4" s="719"/>
      <c r="CG4" s="719"/>
      <c r="CH4" s="719"/>
      <c r="CI4" s="719"/>
      <c r="CJ4" s="719"/>
      <c r="CK4" s="719"/>
      <c r="CL4" s="719"/>
      <c r="CM4" s="719"/>
      <c r="CN4" s="719"/>
      <c r="CO4" s="719"/>
      <c r="CP4" s="719"/>
      <c r="CQ4" s="719"/>
      <c r="CR4" s="719"/>
      <c r="CS4" s="719"/>
      <c r="CT4" s="719"/>
      <c r="CU4" s="719"/>
      <c r="CV4" s="719"/>
      <c r="CW4" s="719"/>
      <c r="CX4" s="719"/>
      <c r="CY4" s="719"/>
      <c r="CZ4" s="719"/>
      <c r="DA4" s="719"/>
      <c r="DB4" s="719"/>
      <c r="DC4" s="719"/>
      <c r="DD4" s="719"/>
      <c r="DE4" s="719"/>
      <c r="DF4" s="719"/>
      <c r="DG4" s="719"/>
      <c r="DH4" s="719"/>
      <c r="DI4" s="719"/>
      <c r="DJ4" s="719"/>
      <c r="DK4" s="719"/>
      <c r="DL4" s="719"/>
      <c r="DM4" s="719"/>
      <c r="DN4" s="719"/>
      <c r="DO4" s="719"/>
      <c r="DP4" s="719"/>
      <c r="DQ4" s="719"/>
      <c r="DR4" s="719"/>
      <c r="DS4" s="719"/>
      <c r="DT4" s="719"/>
      <c r="DU4" s="719"/>
      <c r="DV4" s="719"/>
      <c r="DW4" s="719"/>
      <c r="DX4" s="719"/>
      <c r="DY4" s="719"/>
      <c r="DZ4" s="719"/>
      <c r="EA4" s="719"/>
      <c r="EB4" s="719"/>
      <c r="EC4" s="719"/>
      <c r="ED4" s="719"/>
      <c r="EE4" s="719"/>
      <c r="EF4" s="719"/>
      <c r="EG4" s="719"/>
      <c r="EH4" s="719"/>
      <c r="EI4" s="719"/>
      <c r="EJ4" s="719"/>
      <c r="EK4" s="719"/>
      <c r="EL4" s="719"/>
      <c r="EM4" s="719"/>
      <c r="EN4" s="719"/>
      <c r="EO4" s="719"/>
      <c r="EP4" s="719"/>
      <c r="EQ4" s="719"/>
      <c r="ER4" s="719"/>
      <c r="ES4" s="719"/>
      <c r="ET4" s="719"/>
      <c r="EU4" s="719"/>
      <c r="EV4" s="719"/>
      <c r="EW4" s="719"/>
      <c r="EX4" s="719"/>
      <c r="EY4" s="719"/>
      <c r="EZ4" s="719"/>
      <c r="FA4" s="720"/>
      <c r="FB4" s="389"/>
    </row>
    <row r="5" spans="1:158" ht="29.25" customHeight="1" thickBot="1" x14ac:dyDescent="0.3">
      <c r="A5" s="701" t="s">
        <v>2</v>
      </c>
      <c r="B5" s="702"/>
      <c r="C5" s="702"/>
      <c r="D5" s="702"/>
      <c r="E5" s="702"/>
      <c r="F5" s="715" t="s">
        <v>353</v>
      </c>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c r="AP5" s="716"/>
      <c r="AQ5" s="716"/>
      <c r="AR5" s="716"/>
      <c r="AS5" s="716"/>
      <c r="AT5" s="716"/>
      <c r="AU5" s="716"/>
      <c r="AV5" s="716"/>
      <c r="AW5" s="716"/>
      <c r="AX5" s="716"/>
      <c r="AY5" s="716"/>
      <c r="AZ5" s="716"/>
      <c r="BA5" s="716"/>
      <c r="BB5" s="716"/>
      <c r="BC5" s="716"/>
      <c r="BD5" s="716"/>
      <c r="BE5" s="716"/>
      <c r="BF5" s="716"/>
      <c r="BG5" s="716"/>
      <c r="BH5" s="716"/>
      <c r="BI5" s="716"/>
      <c r="BJ5" s="716"/>
      <c r="BK5" s="716"/>
      <c r="BL5" s="716"/>
      <c r="BM5" s="716"/>
      <c r="BN5" s="716"/>
      <c r="BO5" s="716"/>
      <c r="BP5" s="716"/>
      <c r="BQ5" s="716"/>
      <c r="BR5" s="716"/>
      <c r="BS5" s="716"/>
      <c r="BT5" s="716"/>
      <c r="BU5" s="716"/>
      <c r="BV5" s="716"/>
      <c r="BW5" s="716"/>
      <c r="BX5" s="716"/>
      <c r="BY5" s="716"/>
      <c r="BZ5" s="716"/>
      <c r="CA5" s="716"/>
      <c r="CB5" s="716"/>
      <c r="CC5" s="716"/>
      <c r="CD5" s="716"/>
      <c r="CE5" s="716"/>
      <c r="CF5" s="716"/>
      <c r="CG5" s="716"/>
      <c r="CH5" s="716"/>
      <c r="CI5" s="716"/>
      <c r="CJ5" s="716"/>
      <c r="CK5" s="716"/>
      <c r="CL5" s="716"/>
      <c r="CM5" s="716"/>
      <c r="CN5" s="716"/>
      <c r="CO5" s="716"/>
      <c r="CP5" s="716"/>
      <c r="CQ5" s="716"/>
      <c r="CR5" s="716"/>
      <c r="CS5" s="716"/>
      <c r="CT5" s="716"/>
      <c r="CU5" s="716"/>
      <c r="CV5" s="716"/>
      <c r="CW5" s="716"/>
      <c r="CX5" s="716"/>
      <c r="CY5" s="716"/>
      <c r="CZ5" s="716"/>
      <c r="DA5" s="716"/>
      <c r="DB5" s="716"/>
      <c r="DC5" s="716"/>
      <c r="DD5" s="716"/>
      <c r="DE5" s="716"/>
      <c r="DF5" s="716"/>
      <c r="DG5" s="716"/>
      <c r="DH5" s="716"/>
      <c r="DI5" s="716"/>
      <c r="DJ5" s="716"/>
      <c r="DK5" s="716"/>
      <c r="DL5" s="716"/>
      <c r="DM5" s="716"/>
      <c r="DN5" s="716"/>
      <c r="DO5" s="716"/>
      <c r="DP5" s="716"/>
      <c r="DQ5" s="716"/>
      <c r="DR5" s="716"/>
      <c r="DS5" s="716"/>
      <c r="DT5" s="716"/>
      <c r="DU5" s="716"/>
      <c r="DV5" s="716"/>
      <c r="DW5" s="716"/>
      <c r="DX5" s="716"/>
      <c r="DY5" s="716"/>
      <c r="DZ5" s="716"/>
      <c r="EA5" s="716"/>
      <c r="EB5" s="716"/>
      <c r="EC5" s="716"/>
      <c r="ED5" s="716"/>
      <c r="EE5" s="716"/>
      <c r="EF5" s="716"/>
      <c r="EG5" s="716"/>
      <c r="EH5" s="716"/>
      <c r="EI5" s="716"/>
      <c r="EJ5" s="716"/>
      <c r="EK5" s="716"/>
      <c r="EL5" s="716"/>
      <c r="EM5" s="716"/>
      <c r="EN5" s="716"/>
      <c r="EO5" s="716"/>
      <c r="EP5" s="716"/>
      <c r="EQ5" s="716"/>
      <c r="ER5" s="716"/>
      <c r="ES5" s="716"/>
      <c r="ET5" s="716"/>
      <c r="EU5" s="716"/>
      <c r="EV5" s="716"/>
      <c r="EW5" s="716"/>
      <c r="EX5" s="716"/>
      <c r="EY5" s="716"/>
      <c r="EZ5" s="716"/>
      <c r="FA5" s="717"/>
      <c r="FB5" s="389"/>
    </row>
    <row r="6" spans="1:158" ht="29.25" customHeight="1" thickBot="1" x14ac:dyDescent="0.3">
      <c r="A6" s="3"/>
      <c r="B6" s="3"/>
      <c r="C6" s="3"/>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541"/>
      <c r="BB6" s="541"/>
      <c r="BC6" s="541"/>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6"/>
      <c r="ES6" s="26"/>
      <c r="ET6" s="3"/>
      <c r="EU6" s="3"/>
      <c r="EV6" s="3"/>
      <c r="EW6" s="3"/>
      <c r="EX6" s="3"/>
      <c r="EY6" s="3"/>
      <c r="EZ6" s="3"/>
      <c r="FA6" s="3"/>
    </row>
    <row r="7" spans="1:158" s="391" customFormat="1" ht="29.25" customHeight="1" x14ac:dyDescent="0.25">
      <c r="A7" s="703" t="s">
        <v>96</v>
      </c>
      <c r="B7" s="704"/>
      <c r="C7" s="704"/>
      <c r="D7" s="704"/>
      <c r="E7" s="704"/>
      <c r="F7" s="704"/>
      <c r="G7" s="704"/>
      <c r="H7" s="712" t="s">
        <v>316</v>
      </c>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712"/>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c r="BH7" s="712"/>
      <c r="BI7" s="712"/>
      <c r="BJ7" s="712"/>
      <c r="BK7" s="712"/>
      <c r="BL7" s="712"/>
      <c r="BM7" s="712"/>
      <c r="BN7" s="712"/>
      <c r="BO7" s="712"/>
      <c r="BP7" s="712"/>
      <c r="BQ7" s="712"/>
      <c r="BR7" s="712"/>
      <c r="BS7" s="712"/>
      <c r="BT7" s="712"/>
      <c r="BU7" s="712"/>
      <c r="BV7" s="712"/>
      <c r="BW7" s="712"/>
      <c r="BX7" s="712"/>
      <c r="BY7" s="712"/>
      <c r="BZ7" s="712"/>
      <c r="CA7" s="712"/>
      <c r="CB7" s="712"/>
      <c r="CC7" s="712"/>
      <c r="CD7" s="712"/>
      <c r="CE7" s="712"/>
      <c r="CF7" s="712"/>
      <c r="CG7" s="712"/>
      <c r="CH7" s="712"/>
      <c r="CI7" s="712"/>
      <c r="CJ7" s="712"/>
      <c r="CK7" s="712"/>
      <c r="CL7" s="712"/>
      <c r="CM7" s="712"/>
      <c r="CN7" s="712"/>
      <c r="CO7" s="712"/>
      <c r="CP7" s="712"/>
      <c r="CQ7" s="712"/>
      <c r="CR7" s="712"/>
      <c r="CS7" s="712"/>
      <c r="CT7" s="712"/>
      <c r="CU7" s="712"/>
      <c r="CV7" s="712"/>
      <c r="CW7" s="712"/>
      <c r="CX7" s="712"/>
      <c r="CY7" s="712"/>
      <c r="CZ7" s="712"/>
      <c r="DA7" s="712"/>
      <c r="DB7" s="712"/>
      <c r="DC7" s="712"/>
      <c r="DD7" s="712"/>
      <c r="DE7" s="712"/>
      <c r="DF7" s="712"/>
      <c r="DG7" s="712"/>
      <c r="DH7" s="712"/>
      <c r="DI7" s="712"/>
      <c r="DJ7" s="712"/>
      <c r="DK7" s="712"/>
      <c r="DL7" s="712"/>
      <c r="DM7" s="712"/>
      <c r="DN7" s="712"/>
      <c r="DO7" s="712"/>
      <c r="DP7" s="712"/>
      <c r="DQ7" s="712"/>
      <c r="DR7" s="712"/>
      <c r="DS7" s="712"/>
      <c r="DT7" s="712"/>
      <c r="DU7" s="712"/>
      <c r="DV7" s="712"/>
      <c r="DW7" s="712"/>
      <c r="DX7" s="712"/>
      <c r="DY7" s="712"/>
      <c r="DZ7" s="712"/>
      <c r="EA7" s="712"/>
      <c r="EB7" s="712"/>
      <c r="EC7" s="712"/>
      <c r="ED7" s="712"/>
      <c r="EE7" s="712"/>
      <c r="EF7" s="712"/>
      <c r="EG7" s="712"/>
      <c r="EH7" s="712"/>
      <c r="EI7" s="712"/>
      <c r="EJ7" s="712"/>
      <c r="EK7" s="712"/>
      <c r="EL7" s="712"/>
      <c r="EM7" s="712"/>
      <c r="EN7" s="712"/>
      <c r="EO7" s="712"/>
      <c r="EP7" s="712"/>
      <c r="EQ7" s="712"/>
      <c r="ER7" s="679" t="s">
        <v>309</v>
      </c>
      <c r="ES7" s="679" t="s">
        <v>310</v>
      </c>
      <c r="ET7" s="676" t="s">
        <v>311</v>
      </c>
      <c r="EU7" s="725" t="s">
        <v>334</v>
      </c>
      <c r="EV7" s="676" t="s">
        <v>335</v>
      </c>
      <c r="EW7" s="704" t="s">
        <v>336</v>
      </c>
      <c r="EX7" s="704" t="s">
        <v>337</v>
      </c>
      <c r="EY7" s="704" t="s">
        <v>338</v>
      </c>
      <c r="EZ7" s="704" t="s">
        <v>340</v>
      </c>
      <c r="FA7" s="721" t="s">
        <v>339</v>
      </c>
    </row>
    <row r="8" spans="1:158" s="391" customFormat="1" ht="29.25" customHeight="1" x14ac:dyDescent="0.25">
      <c r="A8" s="705"/>
      <c r="B8" s="706"/>
      <c r="C8" s="706"/>
      <c r="D8" s="706"/>
      <c r="E8" s="706"/>
      <c r="F8" s="706"/>
      <c r="G8" s="706"/>
      <c r="H8" s="713" t="s">
        <v>65</v>
      </c>
      <c r="I8" s="713"/>
      <c r="J8" s="713"/>
      <c r="K8" s="713"/>
      <c r="L8" s="713"/>
      <c r="M8" s="713"/>
      <c r="N8" s="713"/>
      <c r="O8" s="713"/>
      <c r="P8" s="713"/>
      <c r="Q8" s="713"/>
      <c r="R8" s="713"/>
      <c r="S8" s="713"/>
      <c r="T8" s="713"/>
      <c r="U8" s="713"/>
      <c r="V8" s="713"/>
      <c r="W8" s="713"/>
      <c r="X8" s="713"/>
      <c r="Y8" s="713"/>
      <c r="Z8" s="713"/>
      <c r="AA8" s="713"/>
      <c r="AB8" s="713" t="s">
        <v>347</v>
      </c>
      <c r="AC8" s="713"/>
      <c r="AD8" s="713"/>
      <c r="AE8" s="713"/>
      <c r="AF8" s="713"/>
      <c r="AG8" s="713"/>
      <c r="AH8" s="713"/>
      <c r="AI8" s="713"/>
      <c r="AJ8" s="713"/>
      <c r="AK8" s="713"/>
      <c r="AL8" s="713"/>
      <c r="AM8" s="713"/>
      <c r="AN8" s="713"/>
      <c r="AO8" s="713"/>
      <c r="AP8" s="713"/>
      <c r="AQ8" s="713"/>
      <c r="AR8" s="713"/>
      <c r="AS8" s="713"/>
      <c r="AT8" s="713"/>
      <c r="AU8" s="713"/>
      <c r="AV8" s="713"/>
      <c r="AW8" s="713"/>
      <c r="AX8" s="713"/>
      <c r="AY8" s="713"/>
      <c r="AZ8" s="713"/>
      <c r="BA8" s="713"/>
      <c r="BB8" s="713"/>
      <c r="BC8" s="713"/>
      <c r="BD8" s="713"/>
      <c r="BE8" s="713"/>
      <c r="BF8" s="713" t="s">
        <v>62</v>
      </c>
      <c r="BG8" s="713"/>
      <c r="BH8" s="713"/>
      <c r="BI8" s="713"/>
      <c r="BJ8" s="713"/>
      <c r="BK8" s="713"/>
      <c r="BL8" s="713"/>
      <c r="BM8" s="713"/>
      <c r="BN8" s="713"/>
      <c r="BO8" s="713"/>
      <c r="BP8" s="713"/>
      <c r="BQ8" s="713"/>
      <c r="BR8" s="713"/>
      <c r="BS8" s="713"/>
      <c r="BT8" s="713"/>
      <c r="BU8" s="713"/>
      <c r="BV8" s="713"/>
      <c r="BW8" s="713"/>
      <c r="BX8" s="713"/>
      <c r="BY8" s="713"/>
      <c r="BZ8" s="713"/>
      <c r="CA8" s="713"/>
      <c r="CB8" s="713"/>
      <c r="CC8" s="713"/>
      <c r="CD8" s="713"/>
      <c r="CE8" s="713"/>
      <c r="CF8" s="713"/>
      <c r="CG8" s="713"/>
      <c r="CH8" s="713"/>
      <c r="CI8" s="713"/>
      <c r="CJ8" s="713" t="s">
        <v>63</v>
      </c>
      <c r="CK8" s="713"/>
      <c r="CL8" s="713"/>
      <c r="CM8" s="713"/>
      <c r="CN8" s="713"/>
      <c r="CO8" s="713"/>
      <c r="CP8" s="713"/>
      <c r="CQ8" s="713"/>
      <c r="CR8" s="713"/>
      <c r="CS8" s="713"/>
      <c r="CT8" s="713"/>
      <c r="CU8" s="713"/>
      <c r="CV8" s="713"/>
      <c r="CW8" s="713"/>
      <c r="CX8" s="713"/>
      <c r="CY8" s="713"/>
      <c r="CZ8" s="713"/>
      <c r="DA8" s="713"/>
      <c r="DB8" s="713"/>
      <c r="DC8" s="713"/>
      <c r="DD8" s="713"/>
      <c r="DE8" s="713"/>
      <c r="DF8" s="713"/>
      <c r="DG8" s="713"/>
      <c r="DH8" s="713"/>
      <c r="DI8" s="713"/>
      <c r="DJ8" s="713"/>
      <c r="DK8" s="713"/>
      <c r="DL8" s="713"/>
      <c r="DM8" s="713"/>
      <c r="DN8" s="713" t="s">
        <v>64</v>
      </c>
      <c r="DO8" s="713"/>
      <c r="DP8" s="713"/>
      <c r="DQ8" s="713"/>
      <c r="DR8" s="713"/>
      <c r="DS8" s="713"/>
      <c r="DT8" s="713"/>
      <c r="DU8" s="713"/>
      <c r="DV8" s="713"/>
      <c r="DW8" s="713"/>
      <c r="DX8" s="713"/>
      <c r="DY8" s="713"/>
      <c r="DZ8" s="713"/>
      <c r="EA8" s="713"/>
      <c r="EB8" s="713"/>
      <c r="EC8" s="713"/>
      <c r="ED8" s="713"/>
      <c r="EE8" s="713"/>
      <c r="EF8" s="713"/>
      <c r="EG8" s="713"/>
      <c r="EH8" s="713"/>
      <c r="EI8" s="713"/>
      <c r="EJ8" s="713"/>
      <c r="EK8" s="713"/>
      <c r="EL8" s="713"/>
      <c r="EM8" s="713"/>
      <c r="EN8" s="713"/>
      <c r="EO8" s="713"/>
      <c r="EP8" s="713"/>
      <c r="EQ8" s="713"/>
      <c r="ER8" s="680"/>
      <c r="ES8" s="680"/>
      <c r="ET8" s="677"/>
      <c r="EU8" s="726"/>
      <c r="EV8" s="677"/>
      <c r="EW8" s="706"/>
      <c r="EX8" s="706"/>
      <c r="EY8" s="706"/>
      <c r="EZ8" s="706"/>
      <c r="FA8" s="722"/>
    </row>
    <row r="9" spans="1:158" s="391" customFormat="1" ht="64.5" customHeight="1" thickBot="1" x14ac:dyDescent="0.3">
      <c r="A9" s="357" t="s">
        <v>89</v>
      </c>
      <c r="B9" s="358" t="s">
        <v>90</v>
      </c>
      <c r="C9" s="358" t="s">
        <v>91</v>
      </c>
      <c r="D9" s="358" t="s">
        <v>92</v>
      </c>
      <c r="E9" s="358" t="s">
        <v>93</v>
      </c>
      <c r="F9" s="358" t="s">
        <v>94</v>
      </c>
      <c r="G9" s="392" t="s">
        <v>95</v>
      </c>
      <c r="H9" s="359" t="s">
        <v>374</v>
      </c>
      <c r="I9" s="360" t="s">
        <v>375</v>
      </c>
      <c r="J9" s="358" t="s">
        <v>376</v>
      </c>
      <c r="K9" s="360" t="s">
        <v>377</v>
      </c>
      <c r="L9" s="358" t="s">
        <v>378</v>
      </c>
      <c r="M9" s="360" t="s">
        <v>379</v>
      </c>
      <c r="N9" s="358" t="s">
        <v>380</v>
      </c>
      <c r="O9" s="360" t="s">
        <v>381</v>
      </c>
      <c r="P9" s="358" t="s">
        <v>382</v>
      </c>
      <c r="Q9" s="360" t="s">
        <v>383</v>
      </c>
      <c r="R9" s="358" t="s">
        <v>384</v>
      </c>
      <c r="S9" s="360" t="s">
        <v>385</v>
      </c>
      <c r="T9" s="358" t="s">
        <v>386</v>
      </c>
      <c r="U9" s="360" t="s">
        <v>387</v>
      </c>
      <c r="V9" s="358" t="s">
        <v>388</v>
      </c>
      <c r="W9" s="392" t="s">
        <v>306</v>
      </c>
      <c r="X9" s="393" t="s">
        <v>341</v>
      </c>
      <c r="Y9" s="358" t="s">
        <v>342</v>
      </c>
      <c r="Z9" s="360" t="s">
        <v>343</v>
      </c>
      <c r="AA9" s="358" t="s">
        <v>344</v>
      </c>
      <c r="AB9" s="359" t="s">
        <v>374</v>
      </c>
      <c r="AC9" s="360" t="s">
        <v>389</v>
      </c>
      <c r="AD9" s="358" t="s">
        <v>390</v>
      </c>
      <c r="AE9" s="360" t="s">
        <v>391</v>
      </c>
      <c r="AF9" s="358" t="s">
        <v>392</v>
      </c>
      <c r="AG9" s="360" t="s">
        <v>393</v>
      </c>
      <c r="AH9" s="358" t="s">
        <v>394</v>
      </c>
      <c r="AI9" s="360" t="s">
        <v>395</v>
      </c>
      <c r="AJ9" s="358" t="s">
        <v>396</v>
      </c>
      <c r="AK9" s="360" t="s">
        <v>397</v>
      </c>
      <c r="AL9" s="358" t="s">
        <v>398</v>
      </c>
      <c r="AM9" s="360" t="s">
        <v>375</v>
      </c>
      <c r="AN9" s="358" t="s">
        <v>376</v>
      </c>
      <c r="AO9" s="360" t="s">
        <v>377</v>
      </c>
      <c r="AP9" s="358" t="s">
        <v>378</v>
      </c>
      <c r="AQ9" s="360" t="s">
        <v>379</v>
      </c>
      <c r="AR9" s="358" t="s">
        <v>380</v>
      </c>
      <c r="AS9" s="360" t="s">
        <v>381</v>
      </c>
      <c r="AT9" s="358" t="s">
        <v>382</v>
      </c>
      <c r="AU9" s="360" t="s">
        <v>383</v>
      </c>
      <c r="AV9" s="358" t="s">
        <v>384</v>
      </c>
      <c r="AW9" s="360" t="s">
        <v>385</v>
      </c>
      <c r="AX9" s="358" t="s">
        <v>386</v>
      </c>
      <c r="AY9" s="360" t="s">
        <v>387</v>
      </c>
      <c r="AZ9" s="358" t="s">
        <v>388</v>
      </c>
      <c r="BA9" s="392" t="s">
        <v>306</v>
      </c>
      <c r="BB9" s="393" t="s">
        <v>333</v>
      </c>
      <c r="BC9" s="358" t="s">
        <v>332</v>
      </c>
      <c r="BD9" s="360" t="s">
        <v>331</v>
      </c>
      <c r="BE9" s="358" t="s">
        <v>330</v>
      </c>
      <c r="BF9" s="359" t="s">
        <v>374</v>
      </c>
      <c r="BG9" s="360" t="s">
        <v>389</v>
      </c>
      <c r="BH9" s="358" t="s">
        <v>390</v>
      </c>
      <c r="BI9" s="360" t="s">
        <v>391</v>
      </c>
      <c r="BJ9" s="358" t="s">
        <v>392</v>
      </c>
      <c r="BK9" s="360" t="s">
        <v>393</v>
      </c>
      <c r="BL9" s="358" t="s">
        <v>394</v>
      </c>
      <c r="BM9" s="360" t="s">
        <v>395</v>
      </c>
      <c r="BN9" s="358" t="s">
        <v>396</v>
      </c>
      <c r="BO9" s="360" t="s">
        <v>397</v>
      </c>
      <c r="BP9" s="358" t="s">
        <v>398</v>
      </c>
      <c r="BQ9" s="360" t="s">
        <v>375</v>
      </c>
      <c r="BR9" s="358" t="s">
        <v>376</v>
      </c>
      <c r="BS9" s="360" t="s">
        <v>377</v>
      </c>
      <c r="BT9" s="358" t="s">
        <v>378</v>
      </c>
      <c r="BU9" s="360" t="s">
        <v>379</v>
      </c>
      <c r="BV9" s="358" t="s">
        <v>380</v>
      </c>
      <c r="BW9" s="360" t="s">
        <v>381</v>
      </c>
      <c r="BX9" s="358" t="s">
        <v>382</v>
      </c>
      <c r="BY9" s="360" t="s">
        <v>383</v>
      </c>
      <c r="BZ9" s="358" t="s">
        <v>384</v>
      </c>
      <c r="CA9" s="360" t="s">
        <v>385</v>
      </c>
      <c r="CB9" s="358" t="s">
        <v>386</v>
      </c>
      <c r="CC9" s="360" t="s">
        <v>387</v>
      </c>
      <c r="CD9" s="358" t="s">
        <v>388</v>
      </c>
      <c r="CE9" s="392" t="s">
        <v>306</v>
      </c>
      <c r="CF9" s="393" t="s">
        <v>312</v>
      </c>
      <c r="CG9" s="358" t="s">
        <v>313</v>
      </c>
      <c r="CH9" s="360" t="s">
        <v>314</v>
      </c>
      <c r="CI9" s="358" t="s">
        <v>315</v>
      </c>
      <c r="CJ9" s="359" t="s">
        <v>374</v>
      </c>
      <c r="CK9" s="360" t="s">
        <v>389</v>
      </c>
      <c r="CL9" s="358" t="s">
        <v>390</v>
      </c>
      <c r="CM9" s="360" t="s">
        <v>391</v>
      </c>
      <c r="CN9" s="358" t="s">
        <v>392</v>
      </c>
      <c r="CO9" s="360" t="s">
        <v>393</v>
      </c>
      <c r="CP9" s="358" t="s">
        <v>394</v>
      </c>
      <c r="CQ9" s="360" t="s">
        <v>395</v>
      </c>
      <c r="CR9" s="358" t="s">
        <v>396</v>
      </c>
      <c r="CS9" s="360" t="s">
        <v>397</v>
      </c>
      <c r="CT9" s="358" t="s">
        <v>398</v>
      </c>
      <c r="CU9" s="360" t="s">
        <v>375</v>
      </c>
      <c r="CV9" s="358" t="s">
        <v>376</v>
      </c>
      <c r="CW9" s="360" t="s">
        <v>377</v>
      </c>
      <c r="CX9" s="358" t="s">
        <v>378</v>
      </c>
      <c r="CY9" s="360" t="s">
        <v>379</v>
      </c>
      <c r="CZ9" s="358" t="s">
        <v>380</v>
      </c>
      <c r="DA9" s="360" t="s">
        <v>381</v>
      </c>
      <c r="DB9" s="358" t="s">
        <v>382</v>
      </c>
      <c r="DC9" s="360" t="s">
        <v>383</v>
      </c>
      <c r="DD9" s="358" t="s">
        <v>384</v>
      </c>
      <c r="DE9" s="360" t="s">
        <v>385</v>
      </c>
      <c r="DF9" s="358" t="s">
        <v>386</v>
      </c>
      <c r="DG9" s="360" t="s">
        <v>387</v>
      </c>
      <c r="DH9" s="358" t="s">
        <v>388</v>
      </c>
      <c r="DI9" s="392" t="s">
        <v>306</v>
      </c>
      <c r="DJ9" s="393" t="s">
        <v>318</v>
      </c>
      <c r="DK9" s="358" t="s">
        <v>319</v>
      </c>
      <c r="DL9" s="393" t="s">
        <v>320</v>
      </c>
      <c r="DM9" s="358" t="s">
        <v>321</v>
      </c>
      <c r="DN9" s="359" t="s">
        <v>374</v>
      </c>
      <c r="DO9" s="360" t="s">
        <v>389</v>
      </c>
      <c r="DP9" s="358" t="s">
        <v>390</v>
      </c>
      <c r="DQ9" s="360" t="s">
        <v>391</v>
      </c>
      <c r="DR9" s="358" t="s">
        <v>392</v>
      </c>
      <c r="DS9" s="360" t="s">
        <v>393</v>
      </c>
      <c r="DT9" s="358" t="s">
        <v>394</v>
      </c>
      <c r="DU9" s="360" t="s">
        <v>395</v>
      </c>
      <c r="DV9" s="358" t="s">
        <v>396</v>
      </c>
      <c r="DW9" s="360" t="s">
        <v>397</v>
      </c>
      <c r="DX9" s="358" t="s">
        <v>398</v>
      </c>
      <c r="DY9" s="360" t="s">
        <v>375</v>
      </c>
      <c r="DZ9" s="358" t="s">
        <v>376</v>
      </c>
      <c r="EA9" s="360" t="s">
        <v>377</v>
      </c>
      <c r="EB9" s="358" t="s">
        <v>378</v>
      </c>
      <c r="EC9" s="360" t="s">
        <v>379</v>
      </c>
      <c r="ED9" s="358" t="s">
        <v>380</v>
      </c>
      <c r="EE9" s="360" t="s">
        <v>381</v>
      </c>
      <c r="EF9" s="358" t="s">
        <v>382</v>
      </c>
      <c r="EG9" s="360" t="s">
        <v>383</v>
      </c>
      <c r="EH9" s="358" t="s">
        <v>384</v>
      </c>
      <c r="EI9" s="360" t="s">
        <v>385</v>
      </c>
      <c r="EJ9" s="358" t="s">
        <v>386</v>
      </c>
      <c r="EK9" s="360" t="s">
        <v>387</v>
      </c>
      <c r="EL9" s="358" t="s">
        <v>388</v>
      </c>
      <c r="EM9" s="392" t="s">
        <v>306</v>
      </c>
      <c r="EN9" s="393" t="s">
        <v>322</v>
      </c>
      <c r="EO9" s="358" t="s">
        <v>323</v>
      </c>
      <c r="EP9" s="393" t="s">
        <v>324</v>
      </c>
      <c r="EQ9" s="358" t="s">
        <v>325</v>
      </c>
      <c r="ER9" s="681"/>
      <c r="ES9" s="681"/>
      <c r="ET9" s="678"/>
      <c r="EU9" s="727"/>
      <c r="EV9" s="678"/>
      <c r="EW9" s="724"/>
      <c r="EX9" s="724"/>
      <c r="EY9" s="724"/>
      <c r="EZ9" s="724"/>
      <c r="FA9" s="723"/>
    </row>
    <row r="10" spans="1:158" s="423" customFormat="1" ht="29.25" customHeight="1" thickBot="1" x14ac:dyDescent="0.3">
      <c r="A10" s="743" t="s">
        <v>399</v>
      </c>
      <c r="B10" s="691">
        <v>1</v>
      </c>
      <c r="C10" s="691" t="s">
        <v>403</v>
      </c>
      <c r="D10" s="691" t="s">
        <v>364</v>
      </c>
      <c r="E10" s="691">
        <v>272</v>
      </c>
      <c r="F10" s="418" t="s">
        <v>41</v>
      </c>
      <c r="G10" s="421">
        <v>1</v>
      </c>
      <c r="H10" s="450">
        <v>1</v>
      </c>
      <c r="I10" s="365"/>
      <c r="J10" s="365"/>
      <c r="K10" s="365"/>
      <c r="L10" s="365"/>
      <c r="M10" s="365"/>
      <c r="N10" s="419"/>
      <c r="O10" s="365"/>
      <c r="P10" s="419"/>
      <c r="Q10" s="365"/>
      <c r="R10" s="420"/>
      <c r="S10" s="365"/>
      <c r="T10" s="419"/>
      <c r="U10" s="365"/>
      <c r="V10" s="365"/>
      <c r="W10" s="421">
        <v>1</v>
      </c>
      <c r="X10" s="421">
        <v>1</v>
      </c>
      <c r="Y10" s="421">
        <v>1</v>
      </c>
      <c r="Z10" s="421">
        <v>1</v>
      </c>
      <c r="AA10" s="421">
        <v>1</v>
      </c>
      <c r="AB10" s="421">
        <v>1</v>
      </c>
      <c r="AC10" s="421">
        <v>1</v>
      </c>
      <c r="AD10" s="421">
        <v>0.86</v>
      </c>
      <c r="AE10" s="421">
        <v>1</v>
      </c>
      <c r="AF10" s="421">
        <v>0.75</v>
      </c>
      <c r="AG10" s="421">
        <v>1</v>
      </c>
      <c r="AH10" s="421">
        <v>0.8</v>
      </c>
      <c r="AI10" s="421">
        <v>1</v>
      </c>
      <c r="AJ10" s="421">
        <v>1</v>
      </c>
      <c r="AK10" s="421">
        <v>1</v>
      </c>
      <c r="AL10" s="421">
        <v>1</v>
      </c>
      <c r="AM10" s="421">
        <v>1</v>
      </c>
      <c r="AN10" s="421">
        <v>1</v>
      </c>
      <c r="AO10" s="421">
        <v>1</v>
      </c>
      <c r="AP10" s="419"/>
      <c r="AQ10" s="421">
        <v>1</v>
      </c>
      <c r="AR10" s="419"/>
      <c r="AS10" s="421">
        <v>1</v>
      </c>
      <c r="AT10" s="419"/>
      <c r="AU10" s="421">
        <v>1</v>
      </c>
      <c r="AV10" s="419"/>
      <c r="AW10" s="421">
        <v>1</v>
      </c>
      <c r="AX10" s="419"/>
      <c r="AY10" s="421">
        <v>1</v>
      </c>
      <c r="AZ10" s="419"/>
      <c r="BA10" s="421">
        <f>+AB10</f>
        <v>1</v>
      </c>
      <c r="BB10" s="421">
        <f>+AM10</f>
        <v>1</v>
      </c>
      <c r="BC10" s="421">
        <f>+AN10</f>
        <v>1</v>
      </c>
      <c r="BD10" s="421">
        <f>+G10</f>
        <v>1</v>
      </c>
      <c r="BE10" s="421">
        <f>+AN10</f>
        <v>1</v>
      </c>
      <c r="BF10" s="570">
        <v>1</v>
      </c>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f t="shared" ref="CE10:CE11" si="0">CC10+CA10+BY10+BW10+BU10+BS10+BQ10+BO10+BM10+BK10+BI10+AZ10</f>
        <v>0</v>
      </c>
      <c r="CF10" s="365">
        <f t="shared" ref="CF10:CF15" si="1">AZ10+BI10+BK10+BM10</f>
        <v>0</v>
      </c>
      <c r="CG10" s="419">
        <f t="shared" ref="CG10:CG15" si="2">BH10+BJ10+BL10+BN10</f>
        <v>0</v>
      </c>
      <c r="CH10" s="422">
        <f t="shared" ref="CH10:CH11" si="3">BI10+BK10+BM10+BO10+BQ10+BS10+BU10+BW10+BY10+CA10+CC10+AZ10</f>
        <v>0</v>
      </c>
      <c r="CI10" s="419">
        <f t="shared" ref="CI10:CI14" si="4">BH10+BJ10+BL10+BN10</f>
        <v>0</v>
      </c>
      <c r="CJ10" s="421">
        <v>1</v>
      </c>
      <c r="CK10" s="365"/>
      <c r="CL10" s="365"/>
      <c r="CM10" s="365"/>
      <c r="CN10" s="365"/>
      <c r="CO10" s="365"/>
      <c r="CP10" s="365"/>
      <c r="CQ10" s="365"/>
      <c r="CR10" s="365"/>
      <c r="CS10" s="365"/>
      <c r="CT10" s="365"/>
      <c r="CU10" s="365"/>
      <c r="CV10" s="365"/>
      <c r="CW10" s="365"/>
      <c r="CX10" s="365"/>
      <c r="CY10" s="365"/>
      <c r="CZ10" s="365"/>
      <c r="DA10" s="365"/>
      <c r="DB10" s="365"/>
      <c r="DC10" s="365"/>
      <c r="DD10" s="365"/>
      <c r="DE10" s="365"/>
      <c r="DF10" s="365"/>
      <c r="DG10" s="365"/>
      <c r="DH10" s="365"/>
      <c r="DI10" s="365">
        <f t="shared" ref="DI10:DI11" si="5">DG10+DE10+DC10+DA10+CY10+CW10+CU10+CS10+CQ10+CO10+CM10+CK10</f>
        <v>0</v>
      </c>
      <c r="DJ10" s="365">
        <f t="shared" ref="DJ10:DJ15" si="6">CK10+CM10+CO10+CQ10</f>
        <v>0</v>
      </c>
      <c r="DK10" s="365">
        <f t="shared" ref="DK10:DK15" si="7">CL10+CN10+CP10+CR10</f>
        <v>0</v>
      </c>
      <c r="DL10" s="422">
        <f t="shared" ref="DL10:DL11" si="8">CM10+CO10+CQ10+CS10+CU10+CW10+CY10+DA10+DC10+DE10+DG10+CK10</f>
        <v>0</v>
      </c>
      <c r="DM10" s="365">
        <f t="shared" ref="DM10:DM11" si="9">CL10+CN10+CP10+CR10</f>
        <v>0</v>
      </c>
      <c r="DN10" s="421">
        <v>1</v>
      </c>
      <c r="DO10" s="419"/>
      <c r="DP10" s="419"/>
      <c r="DQ10" s="419"/>
      <c r="DR10" s="419"/>
      <c r="DS10" s="419"/>
      <c r="DT10" s="419"/>
      <c r="DU10" s="419"/>
      <c r="DV10" s="419"/>
      <c r="DW10" s="419"/>
      <c r="DX10" s="419"/>
      <c r="DY10" s="419"/>
      <c r="DZ10" s="419"/>
      <c r="EA10" s="419"/>
      <c r="EB10" s="419"/>
      <c r="EC10" s="419"/>
      <c r="ED10" s="419"/>
      <c r="EE10" s="419"/>
      <c r="EF10" s="419"/>
      <c r="EG10" s="365"/>
      <c r="EH10" s="365"/>
      <c r="EI10" s="365"/>
      <c r="EJ10" s="365"/>
      <c r="EK10" s="365"/>
      <c r="EL10" s="365"/>
      <c r="EM10" s="365">
        <f t="shared" ref="EM10:EM11" si="10">EK10+EI10+EG10+EE10+EC10+EA10+DY10+DW10+DU10+DS10+DQ10+DO10</f>
        <v>0</v>
      </c>
      <c r="EN10" s="365">
        <f t="shared" ref="EN10:EN15" si="11">DO10+DQ10+DS10+DU10</f>
        <v>0</v>
      </c>
      <c r="EO10" s="365">
        <f t="shared" ref="EO10:EO15" si="12">DP10+DR10+DT10+DV10</f>
        <v>0</v>
      </c>
      <c r="EP10" s="422">
        <f t="shared" ref="EP10:EP11" si="13">DQ10+DS10+DU10+DW10+DY10+EA10+EC10+EE10+EG10+EI10+EK10+DO10</f>
        <v>0</v>
      </c>
      <c r="EQ10" s="365">
        <f t="shared" ref="EQ10:EQ14" si="14">DP10+DR10+DT10+DV10</f>
        <v>0</v>
      </c>
      <c r="ER10" s="459">
        <f>+AN10/AM10</f>
        <v>1</v>
      </c>
      <c r="ES10" s="459">
        <f t="shared" ref="ES10:ES31" si="15">+BC10/BB10</f>
        <v>1</v>
      </c>
      <c r="ET10" s="460">
        <f t="shared" ref="ET10:ET57" si="16">BE10/BD10</f>
        <v>1</v>
      </c>
      <c r="EU10" s="460">
        <f t="shared" ref="EU10:EU41" si="17">+(AA10+BC10)/(Z10+BB10)</f>
        <v>1</v>
      </c>
      <c r="EV10" s="460">
        <v>0.4</v>
      </c>
      <c r="EW10" s="741" t="s">
        <v>493</v>
      </c>
      <c r="EX10" s="691" t="s">
        <v>473</v>
      </c>
      <c r="EY10" s="691" t="s">
        <v>473</v>
      </c>
      <c r="EZ10" s="692" t="s">
        <v>472</v>
      </c>
      <c r="FA10" s="693" t="s">
        <v>474</v>
      </c>
      <c r="FB10" s="742"/>
    </row>
    <row r="11" spans="1:158" s="428" customFormat="1" ht="29.25" customHeight="1" thickBot="1" x14ac:dyDescent="0.3">
      <c r="A11" s="744"/>
      <c r="B11" s="682"/>
      <c r="C11" s="682"/>
      <c r="D11" s="682"/>
      <c r="E11" s="682"/>
      <c r="F11" s="424" t="s">
        <v>3</v>
      </c>
      <c r="G11" s="415">
        <f>+AA11+BD11+BF11+CJ11+DN11</f>
        <v>6241877631</v>
      </c>
      <c r="H11" s="414">
        <v>775545944</v>
      </c>
      <c r="I11" s="415"/>
      <c r="J11" s="415"/>
      <c r="K11" s="415"/>
      <c r="L11" s="415"/>
      <c r="M11" s="415"/>
      <c r="N11" s="415"/>
      <c r="O11" s="415"/>
      <c r="P11" s="415"/>
      <c r="Q11" s="415"/>
      <c r="R11" s="415"/>
      <c r="S11" s="415"/>
      <c r="T11" s="414"/>
      <c r="U11" s="448"/>
      <c r="V11" s="448"/>
      <c r="W11" s="414">
        <v>775545944</v>
      </c>
      <c r="X11" s="414">
        <v>775545944</v>
      </c>
      <c r="Y11" s="415">
        <v>731213017</v>
      </c>
      <c r="Z11" s="414">
        <v>780545944</v>
      </c>
      <c r="AA11" s="415">
        <v>731213017</v>
      </c>
      <c r="AB11" s="414">
        <v>1564678000</v>
      </c>
      <c r="AC11" s="415">
        <v>0</v>
      </c>
      <c r="AD11" s="415">
        <v>0</v>
      </c>
      <c r="AE11" s="448">
        <v>188232000</v>
      </c>
      <c r="AF11" s="415">
        <f>188232000-AD11</f>
        <v>188232000</v>
      </c>
      <c r="AG11" s="415">
        <v>348992000</v>
      </c>
      <c r="AH11" s="415">
        <f>537224000-AF11-AD11</f>
        <v>348992000</v>
      </c>
      <c r="AI11" s="415">
        <v>127479857</v>
      </c>
      <c r="AJ11" s="415">
        <f>664703857-AH11-AF11-AD11</f>
        <v>127479857</v>
      </c>
      <c r="AK11" s="415">
        <v>0</v>
      </c>
      <c r="AL11" s="415">
        <f>664703857-AJ11-AH11-AF11-AD11</f>
        <v>0</v>
      </c>
      <c r="AM11" s="415">
        <v>206631757</v>
      </c>
      <c r="AN11" s="415">
        <v>206477896</v>
      </c>
      <c r="AO11" s="415">
        <v>0</v>
      </c>
      <c r="AP11" s="415"/>
      <c r="AQ11" s="415">
        <v>0</v>
      </c>
      <c r="AR11" s="415"/>
      <c r="AS11" s="415">
        <v>0</v>
      </c>
      <c r="AT11" s="415"/>
      <c r="AU11" s="415">
        <v>0</v>
      </c>
      <c r="AV11" s="415"/>
      <c r="AW11" s="415">
        <v>0</v>
      </c>
      <c r="AX11" s="415"/>
      <c r="AY11" s="415">
        <v>0</v>
      </c>
      <c r="AZ11" s="415"/>
      <c r="BA11" s="415">
        <f>AY11+AW11+AU11+AS11+AQ11+AO11+AM11+AK11+AI11+AG11+AE11+AC11</f>
        <v>871335614</v>
      </c>
      <c r="BB11" s="415">
        <f>AC11+AE11+AG11+AI11+AK11+AM11</f>
        <v>871335614</v>
      </c>
      <c r="BC11" s="415">
        <f>AD11+AF11+AH11+AJ11+AL11+AN11</f>
        <v>871181753</v>
      </c>
      <c r="BD11" s="414">
        <f>AE11+AG11+AI11+AK11+AM11+AO11+AQ11+AS11+AU11+AW11+AY11+AC11</f>
        <v>871335614</v>
      </c>
      <c r="BE11" s="442">
        <f>AD11+AF11+AH11+AJ11+AL11+AN11</f>
        <v>871181753</v>
      </c>
      <c r="BF11" s="415">
        <v>1976343000</v>
      </c>
      <c r="BG11" s="415"/>
      <c r="BH11" s="415"/>
      <c r="BI11" s="415"/>
      <c r="BJ11" s="415"/>
      <c r="BK11" s="415"/>
      <c r="BL11" s="415"/>
      <c r="BM11" s="415"/>
      <c r="BN11" s="415"/>
      <c r="BO11" s="415"/>
      <c r="BP11" s="415"/>
      <c r="BQ11" s="415"/>
      <c r="BR11" s="415"/>
      <c r="BS11" s="415"/>
      <c r="BT11" s="415"/>
      <c r="BU11" s="415"/>
      <c r="BV11" s="415"/>
      <c r="BW11" s="415"/>
      <c r="BX11" s="415"/>
      <c r="BY11" s="415"/>
      <c r="BZ11" s="415"/>
      <c r="CA11" s="415"/>
      <c r="CB11" s="415"/>
      <c r="CC11" s="415"/>
      <c r="CD11" s="415"/>
      <c r="CE11" s="414">
        <f t="shared" si="0"/>
        <v>0</v>
      </c>
      <c r="CF11" s="442">
        <f t="shared" si="1"/>
        <v>0</v>
      </c>
      <c r="CG11" s="442">
        <f t="shared" si="2"/>
        <v>0</v>
      </c>
      <c r="CH11" s="414">
        <f t="shared" si="3"/>
        <v>0</v>
      </c>
      <c r="CI11" s="442">
        <f t="shared" si="4"/>
        <v>0</v>
      </c>
      <c r="CJ11" s="415">
        <v>1850347000</v>
      </c>
      <c r="CK11" s="415"/>
      <c r="CL11" s="415"/>
      <c r="CM11" s="415"/>
      <c r="CN11" s="415"/>
      <c r="CO11" s="415"/>
      <c r="CP11" s="415"/>
      <c r="CQ11" s="415"/>
      <c r="CR11" s="415"/>
      <c r="CS11" s="415"/>
      <c r="CT11" s="415"/>
      <c r="CU11" s="415"/>
      <c r="CV11" s="415"/>
      <c r="CW11" s="415"/>
      <c r="CX11" s="415"/>
      <c r="CY11" s="415"/>
      <c r="CZ11" s="415"/>
      <c r="DA11" s="415"/>
      <c r="DB11" s="415"/>
      <c r="DC11" s="415"/>
      <c r="DD11" s="415"/>
      <c r="DE11" s="415"/>
      <c r="DF11" s="415"/>
      <c r="DG11" s="415"/>
      <c r="DH11" s="415"/>
      <c r="DI11" s="414">
        <f t="shared" si="5"/>
        <v>0</v>
      </c>
      <c r="DJ11" s="442">
        <f t="shared" si="6"/>
        <v>0</v>
      </c>
      <c r="DK11" s="442">
        <f t="shared" si="7"/>
        <v>0</v>
      </c>
      <c r="DL11" s="414">
        <f t="shared" si="8"/>
        <v>0</v>
      </c>
      <c r="DM11" s="442">
        <f t="shared" si="9"/>
        <v>0</v>
      </c>
      <c r="DN11" s="415">
        <v>812639000</v>
      </c>
      <c r="DO11" s="425"/>
      <c r="DP11" s="425"/>
      <c r="DQ11" s="425"/>
      <c r="DR11" s="425"/>
      <c r="DS11" s="425"/>
      <c r="DT11" s="425"/>
      <c r="DU11" s="425"/>
      <c r="DV11" s="425"/>
      <c r="DW11" s="425"/>
      <c r="DX11" s="425"/>
      <c r="DY11" s="425"/>
      <c r="DZ11" s="425"/>
      <c r="EA11" s="425"/>
      <c r="EB11" s="425"/>
      <c r="EC11" s="425"/>
      <c r="ED11" s="425"/>
      <c r="EE11" s="425"/>
      <c r="EF11" s="425"/>
      <c r="EG11" s="425"/>
      <c r="EH11" s="425"/>
      <c r="EI11" s="425"/>
      <c r="EJ11" s="425"/>
      <c r="EK11" s="425"/>
      <c r="EL11" s="425"/>
      <c r="EM11" s="294">
        <f t="shared" si="10"/>
        <v>0</v>
      </c>
      <c r="EN11" s="426">
        <f t="shared" si="11"/>
        <v>0</v>
      </c>
      <c r="EO11" s="426">
        <f t="shared" si="12"/>
        <v>0</v>
      </c>
      <c r="EP11" s="427">
        <f t="shared" si="13"/>
        <v>0</v>
      </c>
      <c r="EQ11" s="426">
        <f t="shared" si="14"/>
        <v>0</v>
      </c>
      <c r="ER11" s="459">
        <f>+AN11/AM11</f>
        <v>0.99925538551172466</v>
      </c>
      <c r="ES11" s="459">
        <f t="shared" si="15"/>
        <v>0.99982341936043029</v>
      </c>
      <c r="ET11" s="460">
        <f t="shared" si="16"/>
        <v>0.99982341936043029</v>
      </c>
      <c r="EU11" s="460">
        <f t="shared" si="17"/>
        <v>0.97004216933088372</v>
      </c>
      <c r="EV11" s="462">
        <f>+(AA11+BC11)/G11</f>
        <v>0.25671678695554356</v>
      </c>
      <c r="EW11" s="685"/>
      <c r="EX11" s="682"/>
      <c r="EY11" s="682"/>
      <c r="EZ11" s="684"/>
      <c r="FA11" s="694"/>
      <c r="FB11" s="742"/>
    </row>
    <row r="12" spans="1:158" s="428" customFormat="1" ht="29.25" customHeight="1" thickBot="1" x14ac:dyDescent="0.3">
      <c r="A12" s="744"/>
      <c r="B12" s="682"/>
      <c r="C12" s="682"/>
      <c r="D12" s="682"/>
      <c r="E12" s="682"/>
      <c r="F12" s="395" t="s">
        <v>305</v>
      </c>
      <c r="G12" s="415"/>
      <c r="H12" s="414"/>
      <c r="I12" s="415"/>
      <c r="J12" s="415"/>
      <c r="K12" s="415"/>
      <c r="L12" s="415"/>
      <c r="M12" s="415"/>
      <c r="N12" s="415"/>
      <c r="O12" s="415"/>
      <c r="P12" s="415"/>
      <c r="Q12" s="415"/>
      <c r="R12" s="415"/>
      <c r="S12" s="415"/>
      <c r="T12" s="414"/>
      <c r="U12" s="448"/>
      <c r="V12" s="448"/>
      <c r="W12" s="414"/>
      <c r="X12" s="414"/>
      <c r="Y12" s="414"/>
      <c r="Z12" s="414"/>
      <c r="AA12" s="415"/>
      <c r="AB12" s="414"/>
      <c r="AC12" s="448">
        <v>0</v>
      </c>
      <c r="AD12" s="415">
        <v>0</v>
      </c>
      <c r="AE12" s="415">
        <v>0</v>
      </c>
      <c r="AF12" s="415">
        <v>0</v>
      </c>
      <c r="AG12" s="415">
        <v>0</v>
      </c>
      <c r="AH12" s="415">
        <v>0</v>
      </c>
      <c r="AI12" s="415">
        <v>41026232</v>
      </c>
      <c r="AJ12" s="415">
        <v>41026232</v>
      </c>
      <c r="AK12" s="415">
        <v>77319714</v>
      </c>
      <c r="AL12" s="415">
        <f>118345946-AJ12</f>
        <v>77319714</v>
      </c>
      <c r="AM12" s="442">
        <f>+AL12+6000000</f>
        <v>83319714</v>
      </c>
      <c r="AN12" s="442">
        <v>90469225</v>
      </c>
      <c r="AO12" s="442">
        <f>+AM12+6000000</f>
        <v>89319714</v>
      </c>
      <c r="AP12" s="442">
        <f t="shared" ref="AP12:AZ12" si="18">+AN12+6000000</f>
        <v>96469225</v>
      </c>
      <c r="AQ12" s="442">
        <f>+AO12+6000000</f>
        <v>95319714</v>
      </c>
      <c r="AR12" s="442">
        <f t="shared" si="18"/>
        <v>102469225</v>
      </c>
      <c r="AS12" s="442">
        <f>+AQ12+6000000</f>
        <v>101319714</v>
      </c>
      <c r="AT12" s="442">
        <f t="shared" si="18"/>
        <v>108469225</v>
      </c>
      <c r="AU12" s="442">
        <f>+AS12+6000000</f>
        <v>107319714</v>
      </c>
      <c r="AV12" s="442">
        <f t="shared" si="18"/>
        <v>114469225</v>
      </c>
      <c r="AW12" s="442">
        <f>+AU12+6000000</f>
        <v>113319714</v>
      </c>
      <c r="AX12" s="442">
        <f t="shared" si="18"/>
        <v>120469225</v>
      </c>
      <c r="AY12" s="442">
        <f t="shared" si="18"/>
        <v>119319714</v>
      </c>
      <c r="AZ12" s="442">
        <f t="shared" si="18"/>
        <v>126469225</v>
      </c>
      <c r="BA12" s="415">
        <f>AY12+AW12+AU12+AS12+AQ12+AO12+AM12+AK12+AI12+AG12+AE12+AC12</f>
        <v>827583944</v>
      </c>
      <c r="BB12" s="415">
        <f>AC12+AE12+AG12+AI12+AK12+AM12</f>
        <v>201665660</v>
      </c>
      <c r="BC12" s="415">
        <f>AD12+AF12+AH12+AJ12+AL12+AN12</f>
        <v>208815171</v>
      </c>
      <c r="BD12" s="414">
        <f>V12+AE13+AG13+AI13+AK12+AM12+AO12+AQ12+AS12+AU12+AW12+AY12</f>
        <v>786557712</v>
      </c>
      <c r="BE12" s="442">
        <f>AD12+AF12+AH12+AJ12+AL12+AN12</f>
        <v>208815171</v>
      </c>
      <c r="BF12" s="415">
        <v>0</v>
      </c>
      <c r="BG12" s="415"/>
      <c r="BH12" s="415"/>
      <c r="BI12" s="415"/>
      <c r="BJ12" s="415"/>
      <c r="BK12" s="415"/>
      <c r="BL12" s="415"/>
      <c r="BM12" s="415"/>
      <c r="BN12" s="415"/>
      <c r="BO12" s="415"/>
      <c r="BP12" s="415"/>
      <c r="BQ12" s="415"/>
      <c r="BR12" s="415"/>
      <c r="BS12" s="415"/>
      <c r="BT12" s="415"/>
      <c r="BU12" s="415"/>
      <c r="BV12" s="415"/>
      <c r="BW12" s="415"/>
      <c r="BX12" s="415"/>
      <c r="BY12" s="415"/>
      <c r="BZ12" s="415"/>
      <c r="CA12" s="415"/>
      <c r="CB12" s="415"/>
      <c r="CC12" s="415"/>
      <c r="CD12" s="415"/>
      <c r="CE12" s="414">
        <f t="shared" ref="CE12:CE15" si="19">CA12+BY12+BW12+BU12+BS12+BQ12+BO12+BM12+BK12+BI12+AZ12+CC12</f>
        <v>126469225</v>
      </c>
      <c r="CF12" s="442">
        <f t="shared" si="1"/>
        <v>126469225</v>
      </c>
      <c r="CG12" s="442">
        <f t="shared" si="2"/>
        <v>0</v>
      </c>
      <c r="CH12" s="414">
        <f t="shared" ref="CH12:CH13" si="20">AZ12+BI12+BK12+BM12+BO12+BQ12+BS12+BU12+BW12+BY12+CA12+CC12</f>
        <v>126469225</v>
      </c>
      <c r="CI12" s="442">
        <f t="shared" si="4"/>
        <v>0</v>
      </c>
      <c r="CJ12" s="415">
        <v>0</v>
      </c>
      <c r="CK12" s="415">
        <v>0</v>
      </c>
      <c r="CL12" s="415">
        <v>0</v>
      </c>
      <c r="CM12" s="415">
        <v>0</v>
      </c>
      <c r="CN12" s="415">
        <v>0</v>
      </c>
      <c r="CO12" s="415">
        <v>0</v>
      </c>
      <c r="CP12" s="415">
        <v>0</v>
      </c>
      <c r="CQ12" s="415">
        <v>0</v>
      </c>
      <c r="CR12" s="415">
        <v>0</v>
      </c>
      <c r="CS12" s="415">
        <v>0</v>
      </c>
      <c r="CT12" s="415">
        <v>0</v>
      </c>
      <c r="CU12" s="415">
        <v>0</v>
      </c>
      <c r="CV12" s="415">
        <v>0</v>
      </c>
      <c r="CW12" s="415">
        <v>0</v>
      </c>
      <c r="CX12" s="415">
        <v>0</v>
      </c>
      <c r="CY12" s="415">
        <v>0</v>
      </c>
      <c r="CZ12" s="415">
        <v>0</v>
      </c>
      <c r="DA12" s="415">
        <v>0</v>
      </c>
      <c r="DB12" s="415">
        <v>0</v>
      </c>
      <c r="DC12" s="415">
        <v>0</v>
      </c>
      <c r="DD12" s="415">
        <v>0</v>
      </c>
      <c r="DE12" s="415">
        <v>0</v>
      </c>
      <c r="DF12" s="415">
        <v>0</v>
      </c>
      <c r="DG12" s="415">
        <v>0</v>
      </c>
      <c r="DH12" s="415">
        <v>0</v>
      </c>
      <c r="DI12" s="414">
        <v>0</v>
      </c>
      <c r="DJ12" s="442">
        <v>0</v>
      </c>
      <c r="DK12" s="442">
        <v>0</v>
      </c>
      <c r="DL12" s="414">
        <v>0</v>
      </c>
      <c r="DM12" s="442">
        <v>0</v>
      </c>
      <c r="DN12" s="415">
        <v>0</v>
      </c>
      <c r="DO12" s="425"/>
      <c r="DP12" s="425"/>
      <c r="DQ12" s="425"/>
      <c r="DR12" s="425"/>
      <c r="DS12" s="425"/>
      <c r="DT12" s="425"/>
      <c r="DU12" s="425"/>
      <c r="DV12" s="425"/>
      <c r="DW12" s="425"/>
      <c r="DX12" s="425"/>
      <c r="DY12" s="425"/>
      <c r="DZ12" s="425"/>
      <c r="EA12" s="425"/>
      <c r="EB12" s="425"/>
      <c r="EC12" s="425"/>
      <c r="ED12" s="425"/>
      <c r="EE12" s="425"/>
      <c r="EF12" s="425"/>
      <c r="EG12" s="425"/>
      <c r="EH12" s="425"/>
      <c r="EI12" s="425"/>
      <c r="EJ12" s="425"/>
      <c r="EK12" s="425"/>
      <c r="EL12" s="425"/>
      <c r="EM12" s="294">
        <f t="shared" ref="EM12:EM15" si="21">EI12+EG12+EE12+EC12+EA12+DY12+DW12+DU12+DS12+DQ12+DO12+EK12</f>
        <v>0</v>
      </c>
      <c r="EN12" s="426">
        <f t="shared" si="11"/>
        <v>0</v>
      </c>
      <c r="EO12" s="426">
        <f t="shared" si="12"/>
        <v>0</v>
      </c>
      <c r="EP12" s="414">
        <f t="shared" ref="EP12:EP13" si="22">DQ12+DS12+DU12+DW12+DY12+EA12+EC12+EE12+EG12+EI12+EK12</f>
        <v>0</v>
      </c>
      <c r="EQ12" s="426">
        <f t="shared" si="14"/>
        <v>0</v>
      </c>
      <c r="ER12" s="459">
        <f>+AN12/AM12</f>
        <v>1.0858081557985184</v>
      </c>
      <c r="ES12" s="459">
        <f t="shared" si="15"/>
        <v>1.035452297629651</v>
      </c>
      <c r="ET12" s="460">
        <f t="shared" si="16"/>
        <v>0.26547978338301514</v>
      </c>
      <c r="EU12" s="460">
        <f t="shared" si="17"/>
        <v>1.035452297629651</v>
      </c>
      <c r="EV12" s="462" t="e">
        <f>+(AA12+BC12)/G12</f>
        <v>#DIV/0!</v>
      </c>
      <c r="EW12" s="685"/>
      <c r="EX12" s="682"/>
      <c r="EY12" s="682"/>
      <c r="EZ12" s="684"/>
      <c r="FA12" s="694"/>
      <c r="FB12" s="742"/>
    </row>
    <row r="13" spans="1:158" s="423" customFormat="1" ht="29.25" customHeight="1" thickBot="1" x14ac:dyDescent="0.3">
      <c r="A13" s="744"/>
      <c r="B13" s="682"/>
      <c r="C13" s="682"/>
      <c r="D13" s="682"/>
      <c r="E13" s="682"/>
      <c r="F13" s="429" t="s">
        <v>42</v>
      </c>
      <c r="G13" s="380">
        <v>0</v>
      </c>
      <c r="H13" s="413">
        <v>0</v>
      </c>
      <c r="I13" s="294"/>
      <c r="J13" s="294"/>
      <c r="K13" s="294"/>
      <c r="L13" s="294"/>
      <c r="M13" s="294"/>
      <c r="N13" s="46"/>
      <c r="O13" s="294"/>
      <c r="P13" s="46"/>
      <c r="Q13" s="294"/>
      <c r="R13" s="451"/>
      <c r="S13" s="294"/>
      <c r="T13" s="46"/>
      <c r="U13" s="294"/>
      <c r="V13" s="294"/>
      <c r="W13" s="380">
        <v>0</v>
      </c>
      <c r="X13" s="380">
        <v>0</v>
      </c>
      <c r="Y13" s="380">
        <v>0</v>
      </c>
      <c r="Z13" s="380">
        <v>0</v>
      </c>
      <c r="AA13" s="380">
        <v>0</v>
      </c>
      <c r="AB13" s="380">
        <v>0</v>
      </c>
      <c r="AC13" s="380">
        <v>0</v>
      </c>
      <c r="AD13" s="380">
        <v>0</v>
      </c>
      <c r="AE13" s="380">
        <v>0</v>
      </c>
      <c r="AF13" s="380">
        <v>0</v>
      </c>
      <c r="AG13" s="380">
        <v>0</v>
      </c>
      <c r="AH13" s="380">
        <v>0</v>
      </c>
      <c r="AI13" s="380">
        <v>0</v>
      </c>
      <c r="AJ13" s="380">
        <v>0</v>
      </c>
      <c r="AK13" s="380">
        <v>0</v>
      </c>
      <c r="AL13" s="380">
        <v>0</v>
      </c>
      <c r="AM13" s="380">
        <v>0</v>
      </c>
      <c r="AN13" s="380">
        <v>0</v>
      </c>
      <c r="AO13" s="380">
        <v>0</v>
      </c>
      <c r="AP13" s="46"/>
      <c r="AQ13" s="380">
        <v>0</v>
      </c>
      <c r="AR13" s="46"/>
      <c r="AS13" s="380">
        <v>0</v>
      </c>
      <c r="AT13" s="46"/>
      <c r="AU13" s="380">
        <v>0</v>
      </c>
      <c r="AV13" s="46"/>
      <c r="AW13" s="380">
        <v>0</v>
      </c>
      <c r="AX13" s="46"/>
      <c r="AY13" s="380">
        <v>0</v>
      </c>
      <c r="AZ13" s="46"/>
      <c r="BA13" s="380">
        <f>+AB13</f>
        <v>0</v>
      </c>
      <c r="BB13" s="380">
        <f>+AK13</f>
        <v>0</v>
      </c>
      <c r="BC13" s="380">
        <f>+AL13</f>
        <v>0</v>
      </c>
      <c r="BD13" s="380">
        <f>+G13</f>
        <v>0</v>
      </c>
      <c r="BE13" s="380">
        <f>+AL13</f>
        <v>0</v>
      </c>
      <c r="BF13" s="452">
        <v>0</v>
      </c>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f t="shared" si="19"/>
        <v>0</v>
      </c>
      <c r="CF13" s="294">
        <f t="shared" si="1"/>
        <v>0</v>
      </c>
      <c r="CG13" s="46">
        <f t="shared" si="2"/>
        <v>0</v>
      </c>
      <c r="CH13" s="371">
        <f t="shared" si="20"/>
        <v>0</v>
      </c>
      <c r="CI13" s="46">
        <f t="shared" si="4"/>
        <v>0</v>
      </c>
      <c r="CJ13" s="380">
        <v>0</v>
      </c>
      <c r="CK13" s="294">
        <v>0</v>
      </c>
      <c r="CL13" s="294">
        <v>0</v>
      </c>
      <c r="CM13" s="294">
        <v>0</v>
      </c>
      <c r="CN13" s="294">
        <v>0</v>
      </c>
      <c r="CO13" s="294">
        <v>0</v>
      </c>
      <c r="CP13" s="294">
        <v>0</v>
      </c>
      <c r="CQ13" s="294">
        <v>0</v>
      </c>
      <c r="CR13" s="294">
        <v>0</v>
      </c>
      <c r="CS13" s="294">
        <v>0</v>
      </c>
      <c r="CT13" s="294">
        <v>0</v>
      </c>
      <c r="CU13" s="294">
        <v>0</v>
      </c>
      <c r="CV13" s="294">
        <v>0</v>
      </c>
      <c r="CW13" s="294">
        <v>0</v>
      </c>
      <c r="CX13" s="294">
        <v>0</v>
      </c>
      <c r="CY13" s="294">
        <v>0</v>
      </c>
      <c r="CZ13" s="294">
        <v>0</v>
      </c>
      <c r="DA13" s="294">
        <v>0</v>
      </c>
      <c r="DB13" s="294">
        <v>0</v>
      </c>
      <c r="DC13" s="294">
        <v>0</v>
      </c>
      <c r="DD13" s="294">
        <v>0</v>
      </c>
      <c r="DE13" s="294">
        <v>0</v>
      </c>
      <c r="DF13" s="294">
        <v>0</v>
      </c>
      <c r="DG13" s="294">
        <v>0</v>
      </c>
      <c r="DH13" s="294">
        <v>0</v>
      </c>
      <c r="DI13" s="294">
        <v>0</v>
      </c>
      <c r="DJ13" s="294">
        <v>0</v>
      </c>
      <c r="DK13" s="294">
        <v>0</v>
      </c>
      <c r="DL13" s="371">
        <v>0</v>
      </c>
      <c r="DM13" s="294">
        <v>0</v>
      </c>
      <c r="DN13" s="380">
        <v>0</v>
      </c>
      <c r="DO13" s="366"/>
      <c r="DP13" s="366"/>
      <c r="DQ13" s="366"/>
      <c r="DR13" s="366"/>
      <c r="DS13" s="366"/>
      <c r="DT13" s="366"/>
      <c r="DU13" s="366"/>
      <c r="DV13" s="366"/>
      <c r="DW13" s="366"/>
      <c r="DX13" s="366"/>
      <c r="DY13" s="366"/>
      <c r="DZ13" s="366"/>
      <c r="EA13" s="366"/>
      <c r="EB13" s="366"/>
      <c r="EC13" s="366"/>
      <c r="ED13" s="366"/>
      <c r="EE13" s="366"/>
      <c r="EF13" s="366"/>
      <c r="EG13" s="366"/>
      <c r="EH13" s="366"/>
      <c r="EI13" s="366"/>
      <c r="EJ13" s="366"/>
      <c r="EK13" s="366"/>
      <c r="EL13" s="366"/>
      <c r="EM13" s="46">
        <f t="shared" si="21"/>
        <v>0</v>
      </c>
      <c r="EN13" s="430">
        <f t="shared" si="11"/>
        <v>0</v>
      </c>
      <c r="EO13" s="431">
        <f t="shared" si="12"/>
        <v>0</v>
      </c>
      <c r="EP13" s="371">
        <f t="shared" si="22"/>
        <v>0</v>
      </c>
      <c r="EQ13" s="46">
        <f t="shared" si="14"/>
        <v>0</v>
      </c>
      <c r="ER13" s="459">
        <v>0</v>
      </c>
      <c r="ES13" s="459" t="e">
        <f t="shared" si="15"/>
        <v>#DIV/0!</v>
      </c>
      <c r="ET13" s="460" t="e">
        <f t="shared" si="16"/>
        <v>#DIV/0!</v>
      </c>
      <c r="EU13" s="460" t="e">
        <f t="shared" si="17"/>
        <v>#DIV/0!</v>
      </c>
      <c r="EV13" s="462" t="e">
        <f>+(AA13+BC13)/G13</f>
        <v>#DIV/0!</v>
      </c>
      <c r="EW13" s="685"/>
      <c r="EX13" s="682"/>
      <c r="EY13" s="682"/>
      <c r="EZ13" s="684"/>
      <c r="FA13" s="694"/>
      <c r="FB13" s="742"/>
    </row>
    <row r="14" spans="1:158" s="423" customFormat="1" ht="29.25" customHeight="1" thickBot="1" x14ac:dyDescent="0.3">
      <c r="A14" s="744"/>
      <c r="B14" s="682"/>
      <c r="C14" s="682"/>
      <c r="D14" s="682"/>
      <c r="E14" s="682"/>
      <c r="F14" s="424" t="s">
        <v>4</v>
      </c>
      <c r="G14" s="415">
        <f>+AA14+BD14+BF14+CJ14+DN14</f>
        <v>349704142</v>
      </c>
      <c r="H14" s="414">
        <v>0</v>
      </c>
      <c r="I14" s="415"/>
      <c r="J14" s="415"/>
      <c r="K14" s="415"/>
      <c r="L14" s="415"/>
      <c r="M14" s="415"/>
      <c r="N14" s="415"/>
      <c r="O14" s="415"/>
      <c r="P14" s="415"/>
      <c r="Q14" s="415"/>
      <c r="R14" s="415"/>
      <c r="S14" s="415"/>
      <c r="T14" s="414"/>
      <c r="U14" s="448"/>
      <c r="V14" s="448"/>
      <c r="W14" s="414">
        <v>0</v>
      </c>
      <c r="X14" s="414">
        <v>0</v>
      </c>
      <c r="Y14" s="414">
        <v>0</v>
      </c>
      <c r="Z14" s="414">
        <v>0</v>
      </c>
      <c r="AA14" s="415">
        <v>0</v>
      </c>
      <c r="AB14" s="414">
        <v>349704142</v>
      </c>
      <c r="AC14" s="415">
        <v>62876122</v>
      </c>
      <c r="AD14" s="415">
        <v>62876122</v>
      </c>
      <c r="AE14" s="448">
        <v>54302358</v>
      </c>
      <c r="AF14" s="415">
        <f>117178480-AD14</f>
        <v>54302358</v>
      </c>
      <c r="AG14" s="415">
        <v>104432327</v>
      </c>
      <c r="AH14" s="415">
        <f>221610807-AF14-AD14</f>
        <v>104432327</v>
      </c>
      <c r="AI14" s="415">
        <v>5682842</v>
      </c>
      <c r="AJ14" s="415">
        <f>227293649-AH14-AF14-AD14</f>
        <v>5682842</v>
      </c>
      <c r="AK14" s="415">
        <v>80059278</v>
      </c>
      <c r="AL14" s="415">
        <f>307352927-AJ14-AH14-AF14-AD14</f>
        <v>80059278</v>
      </c>
      <c r="AM14" s="415">
        <v>16097586</v>
      </c>
      <c r="AN14" s="415">
        <v>19233596</v>
      </c>
      <c r="AO14" s="415">
        <v>0</v>
      </c>
      <c r="AP14" s="415"/>
      <c r="AQ14" s="415">
        <v>0</v>
      </c>
      <c r="AR14" s="415"/>
      <c r="AS14" s="415">
        <f>26253629</f>
        <v>26253629</v>
      </c>
      <c r="AT14" s="415"/>
      <c r="AU14" s="415">
        <v>0</v>
      </c>
      <c r="AV14" s="415"/>
      <c r="AW14" s="415">
        <v>0</v>
      </c>
      <c r="AX14" s="415"/>
      <c r="AY14" s="415">
        <v>0</v>
      </c>
      <c r="AZ14" s="415"/>
      <c r="BA14" s="415">
        <f>AY14+AW14+AU14+AS14+AQ14+AO14+AM14+AK14+AI14+AG14+AE14+AC14</f>
        <v>349704142</v>
      </c>
      <c r="BB14" s="415">
        <f>AC14+AE14+AG14+AI14+AK14+AM14</f>
        <v>323450513</v>
      </c>
      <c r="BC14" s="415">
        <f>AD14+AF14+AH14+AJ14+AL14+AN14</f>
        <v>326586523</v>
      </c>
      <c r="BD14" s="414">
        <f>AE14+AG14+AI14+AK14+AM14+AO14+AQ14+AS14+AU14+AW14+AY14+AC14</f>
        <v>349704142</v>
      </c>
      <c r="BE14" s="442">
        <f>AD14+AF14+AH14+AJ14+AL14+AN14</f>
        <v>326586523</v>
      </c>
      <c r="BF14" s="415">
        <v>0</v>
      </c>
      <c r="BG14" s="415"/>
      <c r="BH14" s="415"/>
      <c r="BI14" s="415"/>
      <c r="BJ14" s="415"/>
      <c r="BK14" s="415"/>
      <c r="BL14" s="415"/>
      <c r="BM14" s="415"/>
      <c r="BN14" s="415"/>
      <c r="BO14" s="415"/>
      <c r="BP14" s="415"/>
      <c r="BQ14" s="415"/>
      <c r="BR14" s="415"/>
      <c r="BS14" s="415"/>
      <c r="BT14" s="415"/>
      <c r="BU14" s="415"/>
      <c r="BV14" s="415"/>
      <c r="BW14" s="415"/>
      <c r="BX14" s="415"/>
      <c r="BY14" s="415"/>
      <c r="BZ14" s="415"/>
      <c r="CA14" s="415"/>
      <c r="CB14" s="415"/>
      <c r="CC14" s="415"/>
      <c r="CD14" s="415"/>
      <c r="CE14" s="414">
        <f t="shared" si="19"/>
        <v>0</v>
      </c>
      <c r="CF14" s="442">
        <f t="shared" si="1"/>
        <v>0</v>
      </c>
      <c r="CG14" s="442">
        <f t="shared" si="2"/>
        <v>0</v>
      </c>
      <c r="CH14" s="414">
        <f t="shared" ref="CH14:CH15" si="23">BI14+BK14+BM14+BO14+BQ14+BS14+BU14+BW14+BY14+CA14+CC14+AZ14</f>
        <v>0</v>
      </c>
      <c r="CI14" s="442">
        <f t="shared" si="4"/>
        <v>0</v>
      </c>
      <c r="CJ14" s="415">
        <v>0</v>
      </c>
      <c r="CK14" s="415">
        <v>0</v>
      </c>
      <c r="CL14" s="415">
        <v>0</v>
      </c>
      <c r="CM14" s="415">
        <v>0</v>
      </c>
      <c r="CN14" s="415">
        <v>0</v>
      </c>
      <c r="CO14" s="415">
        <v>0</v>
      </c>
      <c r="CP14" s="415">
        <v>0</v>
      </c>
      <c r="CQ14" s="415">
        <v>0</v>
      </c>
      <c r="CR14" s="415">
        <v>0</v>
      </c>
      <c r="CS14" s="415">
        <v>0</v>
      </c>
      <c r="CT14" s="415">
        <v>0</v>
      </c>
      <c r="CU14" s="415">
        <v>0</v>
      </c>
      <c r="CV14" s="415">
        <v>0</v>
      </c>
      <c r="CW14" s="415">
        <v>0</v>
      </c>
      <c r="CX14" s="415">
        <v>0</v>
      </c>
      <c r="CY14" s="415">
        <v>0</v>
      </c>
      <c r="CZ14" s="415">
        <v>0</v>
      </c>
      <c r="DA14" s="415">
        <v>0</v>
      </c>
      <c r="DB14" s="415">
        <v>0</v>
      </c>
      <c r="DC14" s="415">
        <v>0</v>
      </c>
      <c r="DD14" s="415">
        <v>0</v>
      </c>
      <c r="DE14" s="415">
        <v>0</v>
      </c>
      <c r="DF14" s="415">
        <v>0</v>
      </c>
      <c r="DG14" s="415">
        <v>0</v>
      </c>
      <c r="DH14" s="415">
        <v>0</v>
      </c>
      <c r="DI14" s="414">
        <v>0</v>
      </c>
      <c r="DJ14" s="442">
        <v>0</v>
      </c>
      <c r="DK14" s="442">
        <v>0</v>
      </c>
      <c r="DL14" s="414">
        <v>0</v>
      </c>
      <c r="DM14" s="442">
        <v>0</v>
      </c>
      <c r="DN14" s="415">
        <v>0</v>
      </c>
      <c r="DO14" s="432"/>
      <c r="DP14" s="432"/>
      <c r="DQ14" s="432"/>
      <c r="DR14" s="432"/>
      <c r="DS14" s="432"/>
      <c r="DT14" s="432"/>
      <c r="DU14" s="432"/>
      <c r="DV14" s="432"/>
      <c r="DW14" s="432"/>
      <c r="DX14" s="432"/>
      <c r="DY14" s="432"/>
      <c r="DZ14" s="432"/>
      <c r="EA14" s="432"/>
      <c r="EB14" s="432"/>
      <c r="EC14" s="432"/>
      <c r="ED14" s="432"/>
      <c r="EE14" s="432"/>
      <c r="EF14" s="432"/>
      <c r="EG14" s="432"/>
      <c r="EH14" s="432"/>
      <c r="EI14" s="432"/>
      <c r="EJ14" s="432"/>
      <c r="EK14" s="432"/>
      <c r="EL14" s="432"/>
      <c r="EM14" s="46">
        <f t="shared" si="21"/>
        <v>0</v>
      </c>
      <c r="EN14" s="426">
        <f t="shared" si="11"/>
        <v>0</v>
      </c>
      <c r="EO14" s="426">
        <f t="shared" si="12"/>
        <v>0</v>
      </c>
      <c r="EP14" s="414">
        <f t="shared" ref="EP14:EP15" si="24">DQ14+DS14+DU14+DW14+DY14+EA14+EC14+EE14+EG14+EI14+EK14+DO14</f>
        <v>0</v>
      </c>
      <c r="EQ14" s="426">
        <f t="shared" si="14"/>
        <v>0</v>
      </c>
      <c r="ER14" s="459">
        <f>+AN14/AM14</f>
        <v>1.1948124395794499</v>
      </c>
      <c r="ES14" s="459">
        <f t="shared" si="15"/>
        <v>1.0096954862458356</v>
      </c>
      <c r="ET14" s="460">
        <f t="shared" si="16"/>
        <v>0.93389377984547861</v>
      </c>
      <c r="EU14" s="460">
        <f t="shared" si="17"/>
        <v>1.0096954862458356</v>
      </c>
      <c r="EV14" s="462">
        <f>+(AA14+BC14)/G14</f>
        <v>0.93389377984547861</v>
      </c>
      <c r="EW14" s="685"/>
      <c r="EX14" s="682"/>
      <c r="EY14" s="682"/>
      <c r="EZ14" s="684"/>
      <c r="FA14" s="694"/>
      <c r="FB14" s="742"/>
    </row>
    <row r="15" spans="1:158" s="423" customFormat="1" ht="29.25" customHeight="1" thickBot="1" x14ac:dyDescent="0.3">
      <c r="A15" s="744"/>
      <c r="B15" s="682"/>
      <c r="C15" s="682"/>
      <c r="D15" s="682"/>
      <c r="E15" s="682"/>
      <c r="F15" s="429" t="s">
        <v>43</v>
      </c>
      <c r="G15" s="380">
        <f>+G10+G13</f>
        <v>1</v>
      </c>
      <c r="H15" s="413">
        <f>+H10+H13</f>
        <v>1</v>
      </c>
      <c r="I15" s="294"/>
      <c r="J15" s="294"/>
      <c r="K15" s="294"/>
      <c r="L15" s="294"/>
      <c r="M15" s="294"/>
      <c r="N15" s="46"/>
      <c r="O15" s="294"/>
      <c r="P15" s="46"/>
      <c r="Q15" s="294"/>
      <c r="R15" s="451"/>
      <c r="S15" s="294"/>
      <c r="T15" s="46"/>
      <c r="U15" s="294"/>
      <c r="V15" s="294"/>
      <c r="W15" s="380">
        <f t="shared" ref="W15:AK15" si="25">+W10+W13</f>
        <v>1</v>
      </c>
      <c r="X15" s="380">
        <f t="shared" si="25"/>
        <v>1</v>
      </c>
      <c r="Y15" s="380">
        <f t="shared" si="25"/>
        <v>1</v>
      </c>
      <c r="Z15" s="380">
        <f t="shared" si="25"/>
        <v>1</v>
      </c>
      <c r="AA15" s="380">
        <f t="shared" si="25"/>
        <v>1</v>
      </c>
      <c r="AB15" s="380">
        <f t="shared" si="25"/>
        <v>1</v>
      </c>
      <c r="AC15" s="380">
        <f t="shared" si="25"/>
        <v>1</v>
      </c>
      <c r="AD15" s="380">
        <f t="shared" si="25"/>
        <v>0.86</v>
      </c>
      <c r="AE15" s="380">
        <f t="shared" si="25"/>
        <v>1</v>
      </c>
      <c r="AF15" s="380">
        <f t="shared" si="25"/>
        <v>0.75</v>
      </c>
      <c r="AG15" s="380">
        <f t="shared" si="25"/>
        <v>1</v>
      </c>
      <c r="AH15" s="380">
        <f t="shared" si="25"/>
        <v>0.8</v>
      </c>
      <c r="AI15" s="380">
        <f t="shared" si="25"/>
        <v>1</v>
      </c>
      <c r="AJ15" s="380">
        <f t="shared" si="25"/>
        <v>1</v>
      </c>
      <c r="AK15" s="380">
        <f t="shared" si="25"/>
        <v>1</v>
      </c>
      <c r="AL15" s="380">
        <f t="shared" ref="AL15" si="26">+AL10+AL13</f>
        <v>1</v>
      </c>
      <c r="AM15" s="380">
        <f t="shared" ref="AM15" si="27">+AM10+AM13</f>
        <v>1</v>
      </c>
      <c r="AN15" s="380">
        <f t="shared" ref="AN15" si="28">+AN10+AN13</f>
        <v>1</v>
      </c>
      <c r="AO15" s="380">
        <f t="shared" ref="AO15" si="29">+AO10+AO13</f>
        <v>1</v>
      </c>
      <c r="AP15" s="46"/>
      <c r="AQ15" s="380">
        <f t="shared" ref="AQ15" si="30">+AQ10+AQ13</f>
        <v>1</v>
      </c>
      <c r="AR15" s="46"/>
      <c r="AS15" s="380">
        <f t="shared" ref="AS15" si="31">+AS10+AS13</f>
        <v>1</v>
      </c>
      <c r="AT15" s="46"/>
      <c r="AU15" s="380">
        <f t="shared" ref="AU15" si="32">+AU10+AU13</f>
        <v>1</v>
      </c>
      <c r="AV15" s="46"/>
      <c r="AW15" s="380">
        <f t="shared" ref="AW15" si="33">+AW10+AW13</f>
        <v>1</v>
      </c>
      <c r="AX15" s="46"/>
      <c r="AY15" s="380">
        <f t="shared" ref="AY15:BA15" si="34">+AY10+AY13</f>
        <v>1</v>
      </c>
      <c r="AZ15" s="46"/>
      <c r="BA15" s="380">
        <f t="shared" si="34"/>
        <v>1</v>
      </c>
      <c r="BB15" s="380">
        <f t="shared" ref="BB15:BF15" si="35">+BB10+BB13</f>
        <v>1</v>
      </c>
      <c r="BC15" s="380">
        <f t="shared" si="35"/>
        <v>1</v>
      </c>
      <c r="BD15" s="380">
        <f t="shared" si="35"/>
        <v>1</v>
      </c>
      <c r="BE15" s="380">
        <f t="shared" si="35"/>
        <v>1</v>
      </c>
      <c r="BF15" s="380">
        <f t="shared" si="35"/>
        <v>1</v>
      </c>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f t="shared" si="19"/>
        <v>0</v>
      </c>
      <c r="CF15" s="294">
        <f t="shared" si="1"/>
        <v>0</v>
      </c>
      <c r="CG15" s="46">
        <f t="shared" si="2"/>
        <v>0</v>
      </c>
      <c r="CH15" s="371">
        <f t="shared" si="23"/>
        <v>0</v>
      </c>
      <c r="CI15" s="46">
        <f t="shared" ref="CI15" si="36">BJ15+BL15+BN15+BH15</f>
        <v>0</v>
      </c>
      <c r="CJ15" s="380">
        <f t="shared" ref="CJ15" si="37">+CJ10+CJ13</f>
        <v>1</v>
      </c>
      <c r="CK15" s="294"/>
      <c r="CL15" s="294"/>
      <c r="CM15" s="294"/>
      <c r="CN15" s="294"/>
      <c r="CO15" s="294"/>
      <c r="CP15" s="294"/>
      <c r="CQ15" s="294"/>
      <c r="CR15" s="294"/>
      <c r="CS15" s="294"/>
      <c r="CT15" s="294"/>
      <c r="CU15" s="294"/>
      <c r="CV15" s="294"/>
      <c r="CW15" s="294"/>
      <c r="CX15" s="294"/>
      <c r="CY15" s="294"/>
      <c r="CZ15" s="294"/>
      <c r="DA15" s="294"/>
      <c r="DB15" s="294"/>
      <c r="DC15" s="294"/>
      <c r="DD15" s="294"/>
      <c r="DE15" s="294"/>
      <c r="DF15" s="294"/>
      <c r="DG15" s="294"/>
      <c r="DH15" s="294"/>
      <c r="DI15" s="294">
        <f t="shared" ref="DI15" si="38">DE15+DC15+DA15+CY15+CW15+CU15+CS15+CQ15+CO15+CM15+CK15+DG15</f>
        <v>0</v>
      </c>
      <c r="DJ15" s="294">
        <f t="shared" si="6"/>
        <v>0</v>
      </c>
      <c r="DK15" s="294">
        <f t="shared" si="7"/>
        <v>0</v>
      </c>
      <c r="DL15" s="371">
        <f t="shared" ref="DL15" si="39">CM15+CO15+CQ15+CS15+CU15+CW15+CY15+DA15+DC15+DE15+DG15+CK15</f>
        <v>0</v>
      </c>
      <c r="DM15" s="294">
        <f t="shared" ref="DM15" si="40">CN15+CP15+CR15+CL15</f>
        <v>0</v>
      </c>
      <c r="DN15" s="380">
        <f t="shared" ref="DN15" si="41">+DN10+DN13</f>
        <v>1</v>
      </c>
      <c r="DO15" s="433"/>
      <c r="DP15" s="433"/>
      <c r="DQ15" s="433"/>
      <c r="DR15" s="433"/>
      <c r="DS15" s="433"/>
      <c r="DT15" s="433"/>
      <c r="DU15" s="433"/>
      <c r="DV15" s="433"/>
      <c r="DW15" s="433"/>
      <c r="DX15" s="433"/>
      <c r="DY15" s="433"/>
      <c r="DZ15" s="433"/>
      <c r="EA15" s="433"/>
      <c r="EB15" s="433"/>
      <c r="EC15" s="433"/>
      <c r="ED15" s="433"/>
      <c r="EE15" s="433"/>
      <c r="EF15" s="433"/>
      <c r="EG15" s="433"/>
      <c r="EH15" s="433"/>
      <c r="EI15" s="433"/>
      <c r="EJ15" s="433"/>
      <c r="EK15" s="433"/>
      <c r="EL15" s="433"/>
      <c r="EM15" s="46">
        <f t="shared" si="21"/>
        <v>0</v>
      </c>
      <c r="EN15" s="431">
        <f t="shared" si="11"/>
        <v>0</v>
      </c>
      <c r="EO15" s="431">
        <f t="shared" si="12"/>
        <v>0</v>
      </c>
      <c r="EP15" s="371">
        <f t="shared" si="24"/>
        <v>0</v>
      </c>
      <c r="EQ15" s="431">
        <f t="shared" ref="EQ15" si="42">DR15+DT15+DV15+DP15</f>
        <v>0</v>
      </c>
      <c r="ER15" s="459">
        <f>+AN15/AM15</f>
        <v>1</v>
      </c>
      <c r="ES15" s="459">
        <f t="shared" si="15"/>
        <v>1</v>
      </c>
      <c r="ET15" s="460">
        <f t="shared" si="16"/>
        <v>1</v>
      </c>
      <c r="EU15" s="460">
        <f t="shared" si="17"/>
        <v>1</v>
      </c>
      <c r="EV15" s="462">
        <v>0.4</v>
      </c>
      <c r="EW15" s="685"/>
      <c r="EX15" s="682"/>
      <c r="EY15" s="682"/>
      <c r="EZ15" s="684"/>
      <c r="FA15" s="694"/>
      <c r="FB15" s="742"/>
    </row>
    <row r="16" spans="1:158" s="428" customFormat="1" ht="29.25" customHeight="1" thickBot="1" x14ac:dyDescent="0.3">
      <c r="A16" s="744"/>
      <c r="B16" s="682"/>
      <c r="C16" s="682"/>
      <c r="D16" s="682"/>
      <c r="E16" s="682"/>
      <c r="F16" s="424" t="s">
        <v>45</v>
      </c>
      <c r="G16" s="440">
        <f>+G11+G14</f>
        <v>6591581773</v>
      </c>
      <c r="H16" s="440">
        <f>+H11+H14</f>
        <v>775545944</v>
      </c>
      <c r="I16" s="440"/>
      <c r="J16" s="440"/>
      <c r="K16" s="440"/>
      <c r="L16" s="440"/>
      <c r="M16" s="440"/>
      <c r="N16" s="440"/>
      <c r="O16" s="440"/>
      <c r="P16" s="440"/>
      <c r="Q16" s="440"/>
      <c r="R16" s="440"/>
      <c r="S16" s="440"/>
      <c r="T16" s="441"/>
      <c r="U16" s="440"/>
      <c r="V16" s="440"/>
      <c r="W16" s="440">
        <f t="shared" ref="W16:AK16" si="43">+W11+W14</f>
        <v>775545944</v>
      </c>
      <c r="X16" s="440">
        <f t="shared" si="43"/>
        <v>775545944</v>
      </c>
      <c r="Y16" s="440">
        <f t="shared" si="43"/>
        <v>731213017</v>
      </c>
      <c r="Z16" s="440">
        <f t="shared" si="43"/>
        <v>780545944</v>
      </c>
      <c r="AA16" s="440">
        <f t="shared" si="43"/>
        <v>731213017</v>
      </c>
      <c r="AB16" s="440">
        <f t="shared" si="43"/>
        <v>1914382142</v>
      </c>
      <c r="AC16" s="440">
        <f t="shared" si="43"/>
        <v>62876122</v>
      </c>
      <c r="AD16" s="440">
        <f t="shared" si="43"/>
        <v>62876122</v>
      </c>
      <c r="AE16" s="440">
        <f t="shared" si="43"/>
        <v>242534358</v>
      </c>
      <c r="AF16" s="440">
        <f t="shared" si="43"/>
        <v>242534358</v>
      </c>
      <c r="AG16" s="440">
        <f t="shared" si="43"/>
        <v>453424327</v>
      </c>
      <c r="AH16" s="440">
        <f t="shared" si="43"/>
        <v>453424327</v>
      </c>
      <c r="AI16" s="440">
        <f t="shared" si="43"/>
        <v>133162699</v>
      </c>
      <c r="AJ16" s="440">
        <f t="shared" si="43"/>
        <v>133162699</v>
      </c>
      <c r="AK16" s="440">
        <f t="shared" si="43"/>
        <v>80059278</v>
      </c>
      <c r="AL16" s="440">
        <f t="shared" ref="AL16" si="44">+AL11+AL14</f>
        <v>80059278</v>
      </c>
      <c r="AM16" s="440">
        <f t="shared" ref="AM16" si="45">+AM11+AM14</f>
        <v>222729343</v>
      </c>
      <c r="AN16" s="440">
        <f t="shared" ref="AN16" si="46">+AN11+AN14</f>
        <v>225711492</v>
      </c>
      <c r="AO16" s="440">
        <f t="shared" ref="AO16" si="47">+AO11+AO14</f>
        <v>0</v>
      </c>
      <c r="AP16" s="440"/>
      <c r="AQ16" s="440">
        <f t="shared" ref="AQ16" si="48">+AQ11+AQ14</f>
        <v>0</v>
      </c>
      <c r="AR16" s="440"/>
      <c r="AS16" s="440">
        <f t="shared" ref="AS16" si="49">+AS11+AS14</f>
        <v>26253629</v>
      </c>
      <c r="AT16" s="440"/>
      <c r="AU16" s="440">
        <f t="shared" ref="AU16" si="50">+AU11+AU14</f>
        <v>0</v>
      </c>
      <c r="AV16" s="440"/>
      <c r="AW16" s="440">
        <f t="shared" ref="AW16" si="51">+AW11+AW14</f>
        <v>0</v>
      </c>
      <c r="AX16" s="440"/>
      <c r="AY16" s="440">
        <f t="shared" ref="AY16:BA16" si="52">+AY11+AY14</f>
        <v>0</v>
      </c>
      <c r="AZ16" s="440"/>
      <c r="BA16" s="440">
        <f t="shared" si="52"/>
        <v>1221039756</v>
      </c>
      <c r="BB16" s="440">
        <f t="shared" ref="BB16:BF16" si="53">+BB11+BB14</f>
        <v>1194786127</v>
      </c>
      <c r="BC16" s="440">
        <f t="shared" si="53"/>
        <v>1197768276</v>
      </c>
      <c r="BD16" s="440">
        <f t="shared" si="53"/>
        <v>1221039756</v>
      </c>
      <c r="BE16" s="440">
        <f t="shared" si="53"/>
        <v>1197768276</v>
      </c>
      <c r="BF16" s="440">
        <f t="shared" si="53"/>
        <v>1976343000</v>
      </c>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1">
        <f t="shared" ref="CE16:CE18" si="54">CC16+CA16+BY16+BW16+BU16+BS16+BQ16+BO16+BM16+BK16+BI16+AZ16</f>
        <v>0</v>
      </c>
      <c r="CF16" s="440">
        <f t="shared" ref="CF16" si="55">+CF11+CF14</f>
        <v>0</v>
      </c>
      <c r="CG16" s="453">
        <f t="shared" ref="CG16" si="56">CG11+CG14</f>
        <v>0</v>
      </c>
      <c r="CH16" s="440">
        <f t="shared" ref="CH16:CJ16" si="57">+CH11+CH14</f>
        <v>0</v>
      </c>
      <c r="CI16" s="440">
        <f t="shared" si="57"/>
        <v>0</v>
      </c>
      <c r="CJ16" s="440">
        <f t="shared" si="57"/>
        <v>1850347000</v>
      </c>
      <c r="CK16" s="440"/>
      <c r="CL16" s="440"/>
      <c r="CM16" s="440"/>
      <c r="CN16" s="440"/>
      <c r="CO16" s="440"/>
      <c r="CP16" s="440"/>
      <c r="CQ16" s="440"/>
      <c r="CR16" s="440"/>
      <c r="CS16" s="440"/>
      <c r="CT16" s="440"/>
      <c r="CU16" s="440"/>
      <c r="CV16" s="440"/>
      <c r="CW16" s="440"/>
      <c r="CX16" s="440"/>
      <c r="CY16" s="440"/>
      <c r="CZ16" s="440"/>
      <c r="DA16" s="440"/>
      <c r="DB16" s="440"/>
      <c r="DC16" s="440"/>
      <c r="DD16" s="440"/>
      <c r="DE16" s="440"/>
      <c r="DF16" s="440"/>
      <c r="DG16" s="440"/>
      <c r="DH16" s="440"/>
      <c r="DI16" s="441">
        <f t="shared" ref="DI16:DI18" si="58">DG16+DE16+DC16+DA16+CY16+CW16+CU16+CS16+CQ16+CO16+CM16+CK16</f>
        <v>0</v>
      </c>
      <c r="DJ16" s="440">
        <f t="shared" ref="DJ16" si="59">+DJ11+DJ14</f>
        <v>0</v>
      </c>
      <c r="DK16" s="453">
        <f t="shared" ref="DK16" si="60">DK11+DK14</f>
        <v>0</v>
      </c>
      <c r="DL16" s="440">
        <f t="shared" ref="DL16:DN16" si="61">+DL11+DL14</f>
        <v>0</v>
      </c>
      <c r="DM16" s="440">
        <f t="shared" si="61"/>
        <v>0</v>
      </c>
      <c r="DN16" s="440">
        <f t="shared" si="61"/>
        <v>812639000</v>
      </c>
      <c r="DO16" s="438"/>
      <c r="DP16" s="438"/>
      <c r="DQ16" s="438"/>
      <c r="DR16" s="438"/>
      <c r="DS16" s="438"/>
      <c r="DT16" s="438"/>
      <c r="DU16" s="438"/>
      <c r="DV16" s="438"/>
      <c r="DW16" s="438"/>
      <c r="DX16" s="438"/>
      <c r="DY16" s="438"/>
      <c r="DZ16" s="438"/>
      <c r="EA16" s="438"/>
      <c r="EB16" s="438"/>
      <c r="EC16" s="438"/>
      <c r="ED16" s="438"/>
      <c r="EE16" s="438"/>
      <c r="EF16" s="438"/>
      <c r="EG16" s="438"/>
      <c r="EH16" s="438"/>
      <c r="EI16" s="438"/>
      <c r="EJ16" s="438"/>
      <c r="EK16" s="438"/>
      <c r="EL16" s="438"/>
      <c r="EM16" s="435">
        <f t="shared" ref="EM16:EM18" si="62">EK16+EI16+EG16+EE16+EC16+EA16+DY16+DW16+DU16+DS16+DQ16+DO16</f>
        <v>0</v>
      </c>
      <c r="EN16" s="436">
        <f t="shared" ref="EN16:EN30" si="63">+EN11+EN14</f>
        <v>0</v>
      </c>
      <c r="EO16" s="437">
        <f t="shared" ref="EO16:EO30" si="64">EO11+EO14</f>
        <v>0</v>
      </c>
      <c r="EP16" s="436">
        <f t="shared" ref="EP16:EQ16" si="65">+EP11+EP14</f>
        <v>0</v>
      </c>
      <c r="EQ16" s="436">
        <f t="shared" si="65"/>
        <v>0</v>
      </c>
      <c r="ER16" s="575"/>
      <c r="ES16" s="575">
        <f t="shared" si="15"/>
        <v>1.0024959688873254</v>
      </c>
      <c r="ET16" s="576">
        <f t="shared" si="16"/>
        <v>0.98094125937697974</v>
      </c>
      <c r="EU16" s="576">
        <f t="shared" si="17"/>
        <v>0.97653519695220903</v>
      </c>
      <c r="EV16" s="577">
        <f t="shared" ref="EV16:EV56" si="66">+(AA16+BC16)/G16</f>
        <v>0.29264315598743917</v>
      </c>
      <c r="EW16" s="685"/>
      <c r="EX16" s="682"/>
      <c r="EY16" s="682"/>
      <c r="EZ16" s="684"/>
      <c r="FA16" s="694"/>
      <c r="FB16" s="742"/>
    </row>
    <row r="17" spans="1:158" s="423" customFormat="1" ht="29.25" customHeight="1" thickBot="1" x14ac:dyDescent="0.3">
      <c r="A17" s="744" t="s">
        <v>399</v>
      </c>
      <c r="B17" s="682">
        <v>2</v>
      </c>
      <c r="C17" s="682" t="s">
        <v>404</v>
      </c>
      <c r="D17" s="682" t="s">
        <v>359</v>
      </c>
      <c r="E17" s="682">
        <v>272</v>
      </c>
      <c r="F17" s="429" t="s">
        <v>41</v>
      </c>
      <c r="G17" s="384">
        <f>+AA17+BD17+BF17+CJ17+DN17</f>
        <v>29</v>
      </c>
      <c r="H17" s="386">
        <v>4</v>
      </c>
      <c r="I17" s="386"/>
      <c r="J17" s="386"/>
      <c r="K17" s="386"/>
      <c r="L17" s="386"/>
      <c r="M17" s="386"/>
      <c r="N17" s="386"/>
      <c r="O17" s="386"/>
      <c r="P17" s="386"/>
      <c r="Q17" s="386"/>
      <c r="R17" s="386"/>
      <c r="S17" s="386"/>
      <c r="T17" s="446"/>
      <c r="U17" s="386"/>
      <c r="V17" s="386"/>
      <c r="W17" s="386">
        <v>4</v>
      </c>
      <c r="X17" s="386">
        <v>4</v>
      </c>
      <c r="Y17" s="386">
        <v>4</v>
      </c>
      <c r="Z17" s="386">
        <v>4</v>
      </c>
      <c r="AA17" s="386">
        <v>4</v>
      </c>
      <c r="AB17" s="386">
        <v>8</v>
      </c>
      <c r="AC17" s="491">
        <v>0.2</v>
      </c>
      <c r="AD17" s="491">
        <v>0.2</v>
      </c>
      <c r="AE17" s="491">
        <v>0.25</v>
      </c>
      <c r="AF17" s="491">
        <v>0.25</v>
      </c>
      <c r="AG17" s="491">
        <v>0.55000000000000004</v>
      </c>
      <c r="AH17" s="491">
        <v>0.55000000000000004</v>
      </c>
      <c r="AI17" s="491">
        <v>0.6</v>
      </c>
      <c r="AJ17" s="491">
        <v>0.6</v>
      </c>
      <c r="AK17" s="491">
        <v>0.7</v>
      </c>
      <c r="AL17" s="491">
        <v>0.7</v>
      </c>
      <c r="AM17" s="491">
        <v>0.7</v>
      </c>
      <c r="AN17" s="491">
        <v>0.7</v>
      </c>
      <c r="AO17" s="491">
        <v>0.75</v>
      </c>
      <c r="AP17" s="491"/>
      <c r="AQ17" s="491">
        <v>0.85</v>
      </c>
      <c r="AR17" s="491"/>
      <c r="AS17" s="491">
        <v>1.05</v>
      </c>
      <c r="AT17" s="491"/>
      <c r="AU17" s="491">
        <v>0.85</v>
      </c>
      <c r="AV17" s="491"/>
      <c r="AW17" s="491">
        <v>0.6</v>
      </c>
      <c r="AX17" s="491"/>
      <c r="AY17" s="491">
        <v>0.9</v>
      </c>
      <c r="AZ17" s="446"/>
      <c r="BA17" s="386">
        <f>AY17+AW17+AU17+AS17+AQ17+AO17+AM17+AK17+AI17+AG17+AE17+AC17</f>
        <v>8</v>
      </c>
      <c r="BB17" s="386">
        <f t="shared" ref="BB17:BC21" si="67">AC17+AE17+AG17+AI17+AK17+AM17</f>
        <v>3</v>
      </c>
      <c r="BC17" s="386">
        <f t="shared" si="67"/>
        <v>3</v>
      </c>
      <c r="BD17" s="386">
        <v>8</v>
      </c>
      <c r="BE17" s="386">
        <f>AD17+AF17+AH17+AJ17+AL17+AN17</f>
        <v>3</v>
      </c>
      <c r="BF17" s="386">
        <v>6</v>
      </c>
      <c r="BG17" s="386">
        <v>8</v>
      </c>
      <c r="BH17" s="386">
        <v>4</v>
      </c>
      <c r="BI17" s="386"/>
      <c r="BJ17" s="386"/>
      <c r="BK17" s="446"/>
      <c r="BL17" s="386"/>
      <c r="BM17" s="446"/>
      <c r="BN17" s="446"/>
      <c r="BO17" s="386"/>
      <c r="BP17" s="386"/>
      <c r="BQ17" s="386"/>
      <c r="BR17" s="386"/>
      <c r="BS17" s="386"/>
      <c r="BT17" s="386"/>
      <c r="BU17" s="386"/>
      <c r="BV17" s="386"/>
      <c r="BW17" s="386"/>
      <c r="BX17" s="386"/>
      <c r="BY17" s="386"/>
      <c r="BZ17" s="386"/>
      <c r="CA17" s="386"/>
      <c r="CB17" s="386"/>
      <c r="CC17" s="386"/>
      <c r="CD17" s="386"/>
      <c r="CE17" s="446">
        <f t="shared" si="54"/>
        <v>0</v>
      </c>
      <c r="CF17" s="386">
        <f t="shared" ref="CF17:CF18" si="68">AZ17+BI17+BK17+BM17</f>
        <v>0</v>
      </c>
      <c r="CG17" s="446">
        <f t="shared" ref="CG17:CG18" si="69">BH17+BJ17+BL17+BN17</f>
        <v>4</v>
      </c>
      <c r="CH17" s="571">
        <f t="shared" ref="CH17:CH18" si="70">BI17+BK17+BM17+BO17+BQ17+BS17+BU17+BW17+BY17+CA17+CC17+AZ17</f>
        <v>0</v>
      </c>
      <c r="CI17" s="386">
        <f t="shared" ref="CI17:CI18" si="71">BH17+BJ17+BL17+BN17</f>
        <v>4</v>
      </c>
      <c r="CJ17" s="386">
        <v>7</v>
      </c>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386"/>
      <c r="DG17" s="386"/>
      <c r="DH17" s="386"/>
      <c r="DI17" s="446">
        <f t="shared" si="58"/>
        <v>0</v>
      </c>
      <c r="DJ17" s="386">
        <f t="shared" ref="DJ17:DJ18" si="72">CK17+CM17+CO17+CQ17</f>
        <v>0</v>
      </c>
      <c r="DK17" s="446">
        <f t="shared" ref="DK17:DK18" si="73">CL17+CN17+CP17+CR17</f>
        <v>0</v>
      </c>
      <c r="DL17" s="571">
        <f t="shared" ref="DL17:DL18" si="74">CM17+CO17+CQ17+CS17+CU17+CW17+CY17+DA17+DC17+DE17+DG17+CK17</f>
        <v>0</v>
      </c>
      <c r="DM17" s="386">
        <f t="shared" ref="DM17:DM18" si="75">CL17+CN17+CP17+CR17</f>
        <v>0</v>
      </c>
      <c r="DN17" s="386">
        <v>4</v>
      </c>
      <c r="DO17" s="46"/>
      <c r="DP17" s="46"/>
      <c r="DQ17" s="46"/>
      <c r="DR17" s="46"/>
      <c r="DS17" s="46"/>
      <c r="DT17" s="46"/>
      <c r="DU17" s="46"/>
      <c r="DV17" s="46"/>
      <c r="DW17" s="46"/>
      <c r="DX17" s="46"/>
      <c r="DY17" s="46"/>
      <c r="DZ17" s="46"/>
      <c r="EA17" s="46"/>
      <c r="EB17" s="46"/>
      <c r="EC17" s="46"/>
      <c r="ED17" s="46"/>
      <c r="EE17" s="46"/>
      <c r="EF17" s="46"/>
      <c r="EG17" s="294"/>
      <c r="EH17" s="294"/>
      <c r="EI17" s="294"/>
      <c r="EJ17" s="294"/>
      <c r="EK17" s="294"/>
      <c r="EL17" s="294"/>
      <c r="EM17" s="36">
        <f t="shared" si="62"/>
        <v>0</v>
      </c>
      <c r="EN17" s="294">
        <f t="shared" ref="EN17:EN22" si="76">DO17+DQ17+DS17+DU17</f>
        <v>0</v>
      </c>
      <c r="EO17" s="36">
        <f t="shared" ref="EO17:EO22" si="77">DP17+DR17+DT17+DV17</f>
        <v>0</v>
      </c>
      <c r="EP17" s="371">
        <f t="shared" ref="EP17:EP18" si="78">DQ17+DS17+DU17+DW17+DY17+EA17+EC17+EE17+EG17+EI17+EK17+DO17</f>
        <v>0</v>
      </c>
      <c r="EQ17" s="294">
        <f t="shared" ref="EQ17:EQ21" si="79">DP17+DR17+DT17+DV17</f>
        <v>0</v>
      </c>
      <c r="ER17" s="461">
        <f>+AN17/AM17</f>
        <v>1</v>
      </c>
      <c r="ES17" s="459">
        <f t="shared" si="15"/>
        <v>1</v>
      </c>
      <c r="ET17" s="460">
        <f t="shared" si="16"/>
        <v>0.375</v>
      </c>
      <c r="EU17" s="460">
        <f t="shared" si="17"/>
        <v>1</v>
      </c>
      <c r="EV17" s="462">
        <f t="shared" si="66"/>
        <v>0.2413793103448276</v>
      </c>
      <c r="EW17" s="685" t="s">
        <v>497</v>
      </c>
      <c r="EX17" s="682" t="s">
        <v>473</v>
      </c>
      <c r="EY17" s="682" t="s">
        <v>473</v>
      </c>
      <c r="EZ17" s="684" t="s">
        <v>475</v>
      </c>
      <c r="FA17" s="684" t="s">
        <v>476</v>
      </c>
      <c r="FB17" s="742"/>
    </row>
    <row r="18" spans="1:158" s="428" customFormat="1" ht="29.25" customHeight="1" thickBot="1" x14ac:dyDescent="0.3">
      <c r="A18" s="744"/>
      <c r="B18" s="682"/>
      <c r="C18" s="682"/>
      <c r="D18" s="682"/>
      <c r="E18" s="682"/>
      <c r="F18" s="424" t="s">
        <v>3</v>
      </c>
      <c r="G18" s="415">
        <f>+AA18+BD18+BF18+CJ18+DN18</f>
        <v>5714144105</v>
      </c>
      <c r="H18" s="414">
        <v>613840322</v>
      </c>
      <c r="I18" s="415"/>
      <c r="J18" s="415"/>
      <c r="K18" s="415"/>
      <c r="L18" s="415"/>
      <c r="M18" s="415"/>
      <c r="N18" s="415"/>
      <c r="O18" s="415"/>
      <c r="P18" s="415"/>
      <c r="Q18" s="415"/>
      <c r="R18" s="415"/>
      <c r="S18" s="415"/>
      <c r="T18" s="447"/>
      <c r="U18" s="448"/>
      <c r="V18" s="448"/>
      <c r="W18" s="414">
        <v>613840322</v>
      </c>
      <c r="X18" s="414">
        <v>613840322</v>
      </c>
      <c r="Y18" s="448">
        <v>670473105</v>
      </c>
      <c r="Z18" s="448">
        <v>826840322</v>
      </c>
      <c r="AA18" s="448">
        <v>670473105</v>
      </c>
      <c r="AB18" s="448">
        <v>1374057000</v>
      </c>
      <c r="AC18" s="415">
        <v>0</v>
      </c>
      <c r="AD18" s="415">
        <v>0</v>
      </c>
      <c r="AE18" s="448">
        <v>582050000</v>
      </c>
      <c r="AF18" s="415">
        <f>582050000-AD18</f>
        <v>582050000</v>
      </c>
      <c r="AG18" s="415">
        <v>539567000</v>
      </c>
      <c r="AH18" s="415">
        <f>1121617000-AF18-AD18</f>
        <v>539567000</v>
      </c>
      <c r="AI18" s="415">
        <v>94112000</v>
      </c>
      <c r="AJ18" s="415">
        <f>1215729000-AH18-AF18-AD18</f>
        <v>94112000</v>
      </c>
      <c r="AK18" s="415">
        <v>0</v>
      </c>
      <c r="AL18" s="415">
        <f>1215729000-AJ18-AH18-AF18-AD18</f>
        <v>0</v>
      </c>
      <c r="AM18" s="415">
        <v>0</v>
      </c>
      <c r="AN18" s="415">
        <v>0</v>
      </c>
      <c r="AO18" s="415">
        <v>0</v>
      </c>
      <c r="AP18" s="415"/>
      <c r="AQ18" s="415">
        <v>15755000</v>
      </c>
      <c r="AR18" s="415"/>
      <c r="AS18" s="415">
        <v>15755000</v>
      </c>
      <c r="AT18" s="415"/>
      <c r="AU18" s="415">
        <v>15755000</v>
      </c>
      <c r="AV18" s="415"/>
      <c r="AW18" s="415">
        <v>0</v>
      </c>
      <c r="AX18" s="415"/>
      <c r="AY18" s="415">
        <v>0</v>
      </c>
      <c r="AZ18" s="449"/>
      <c r="BA18" s="442">
        <f>AY18+AW18+AU18+AS18+AQ18+AO18+AM18+AK18+AI18+AG18+AE18+AC18</f>
        <v>1262994000</v>
      </c>
      <c r="BB18" s="442">
        <f t="shared" si="67"/>
        <v>1215729000</v>
      </c>
      <c r="BC18" s="415">
        <f t="shared" si="67"/>
        <v>1215729000</v>
      </c>
      <c r="BD18" s="442">
        <f>AE18+AG18+AI18+AK18+AM18+AO18+AQ18+AS18+AU18+AW18+AY18+AC18</f>
        <v>1262994000</v>
      </c>
      <c r="BE18" s="442">
        <f>AD18+AF18+AH18+AJ18+AL18+AN18</f>
        <v>1215729000</v>
      </c>
      <c r="BF18" s="415">
        <v>1474279000</v>
      </c>
      <c r="BG18" s="449">
        <v>1515392000</v>
      </c>
      <c r="BH18" s="415">
        <v>791006000</v>
      </c>
      <c r="BI18" s="415"/>
      <c r="BJ18" s="415"/>
      <c r="BK18" s="415"/>
      <c r="BL18" s="415"/>
      <c r="BM18" s="415"/>
      <c r="BN18" s="415"/>
      <c r="BO18" s="415"/>
      <c r="BP18" s="415"/>
      <c r="BQ18" s="415"/>
      <c r="BR18" s="415"/>
      <c r="BS18" s="415"/>
      <c r="BT18" s="415"/>
      <c r="BU18" s="415"/>
      <c r="BV18" s="415"/>
      <c r="BW18" s="415"/>
      <c r="BX18" s="415"/>
      <c r="BY18" s="415"/>
      <c r="BZ18" s="415"/>
      <c r="CA18" s="415"/>
      <c r="CB18" s="415"/>
      <c r="CC18" s="415"/>
      <c r="CD18" s="415"/>
      <c r="CE18" s="414">
        <f t="shared" si="54"/>
        <v>0</v>
      </c>
      <c r="CF18" s="442">
        <f t="shared" si="68"/>
        <v>0</v>
      </c>
      <c r="CG18" s="442">
        <f t="shared" si="69"/>
        <v>791006000</v>
      </c>
      <c r="CH18" s="414">
        <f t="shared" si="70"/>
        <v>0</v>
      </c>
      <c r="CI18" s="442">
        <f t="shared" si="71"/>
        <v>791006000</v>
      </c>
      <c r="CJ18" s="415">
        <v>1515392000</v>
      </c>
      <c r="CK18" s="415"/>
      <c r="CL18" s="415"/>
      <c r="CM18" s="415"/>
      <c r="CN18" s="415"/>
      <c r="CO18" s="415"/>
      <c r="CP18" s="415"/>
      <c r="CQ18" s="415"/>
      <c r="CR18" s="415"/>
      <c r="CS18" s="415"/>
      <c r="CT18" s="415"/>
      <c r="CU18" s="415"/>
      <c r="CV18" s="415"/>
      <c r="CW18" s="415"/>
      <c r="CX18" s="415"/>
      <c r="CY18" s="415"/>
      <c r="CZ18" s="415"/>
      <c r="DA18" s="415"/>
      <c r="DB18" s="415"/>
      <c r="DC18" s="415"/>
      <c r="DD18" s="415"/>
      <c r="DE18" s="415"/>
      <c r="DF18" s="415"/>
      <c r="DG18" s="415"/>
      <c r="DH18" s="415"/>
      <c r="DI18" s="414">
        <f t="shared" si="58"/>
        <v>0</v>
      </c>
      <c r="DJ18" s="442">
        <f t="shared" si="72"/>
        <v>0</v>
      </c>
      <c r="DK18" s="442">
        <f t="shared" si="73"/>
        <v>0</v>
      </c>
      <c r="DL18" s="414">
        <f t="shared" si="74"/>
        <v>0</v>
      </c>
      <c r="DM18" s="442">
        <f t="shared" si="75"/>
        <v>0</v>
      </c>
      <c r="DN18" s="415">
        <v>791006000</v>
      </c>
      <c r="DO18" s="425"/>
      <c r="DP18" s="425"/>
      <c r="DQ18" s="425"/>
      <c r="DR18" s="425"/>
      <c r="DS18" s="425"/>
      <c r="DT18" s="425"/>
      <c r="DU18" s="425"/>
      <c r="DV18" s="425"/>
      <c r="DW18" s="425"/>
      <c r="DX18" s="425"/>
      <c r="DY18" s="425"/>
      <c r="DZ18" s="425"/>
      <c r="EA18" s="425"/>
      <c r="EB18" s="425"/>
      <c r="EC18" s="425"/>
      <c r="ED18" s="425"/>
      <c r="EE18" s="425"/>
      <c r="EF18" s="425"/>
      <c r="EG18" s="425"/>
      <c r="EH18" s="425"/>
      <c r="EI18" s="425"/>
      <c r="EJ18" s="425"/>
      <c r="EK18" s="425"/>
      <c r="EL18" s="425"/>
      <c r="EM18" s="294">
        <f t="shared" si="62"/>
        <v>0</v>
      </c>
      <c r="EN18" s="426">
        <f t="shared" si="76"/>
        <v>0</v>
      </c>
      <c r="EO18" s="426">
        <f t="shared" si="77"/>
        <v>0</v>
      </c>
      <c r="EP18" s="427">
        <f t="shared" si="78"/>
        <v>0</v>
      </c>
      <c r="EQ18" s="426">
        <f t="shared" si="79"/>
        <v>0</v>
      </c>
      <c r="ER18" s="461">
        <v>0</v>
      </c>
      <c r="ES18" s="459">
        <f t="shared" si="15"/>
        <v>1</v>
      </c>
      <c r="ET18" s="460">
        <f t="shared" si="16"/>
        <v>0.96257701936826301</v>
      </c>
      <c r="EU18" s="460">
        <f t="shared" si="17"/>
        <v>0.92344582124297669</v>
      </c>
      <c r="EV18" s="462">
        <f t="shared" si="66"/>
        <v>0.33009354862953705</v>
      </c>
      <c r="EW18" s="685"/>
      <c r="EX18" s="682"/>
      <c r="EY18" s="682"/>
      <c r="EZ18" s="684"/>
      <c r="FA18" s="684"/>
      <c r="FB18" s="742"/>
    </row>
    <row r="19" spans="1:158" s="428" customFormat="1" ht="29.25" customHeight="1" thickBot="1" x14ac:dyDescent="0.3">
      <c r="A19" s="744"/>
      <c r="B19" s="682"/>
      <c r="C19" s="682"/>
      <c r="D19" s="682"/>
      <c r="E19" s="682"/>
      <c r="F19" s="395" t="s">
        <v>305</v>
      </c>
      <c r="G19" s="415"/>
      <c r="H19" s="414"/>
      <c r="I19" s="415"/>
      <c r="J19" s="415"/>
      <c r="K19" s="415"/>
      <c r="L19" s="415"/>
      <c r="M19" s="415"/>
      <c r="N19" s="415"/>
      <c r="O19" s="415"/>
      <c r="P19" s="415"/>
      <c r="Q19" s="415"/>
      <c r="R19" s="415"/>
      <c r="S19" s="415"/>
      <c r="T19" s="447"/>
      <c r="U19" s="448"/>
      <c r="V19" s="448"/>
      <c r="W19" s="414"/>
      <c r="X19" s="414"/>
      <c r="Y19" s="414"/>
      <c r="Z19" s="448"/>
      <c r="AA19" s="448"/>
      <c r="AB19" s="448"/>
      <c r="AC19" s="415">
        <v>0</v>
      </c>
      <c r="AD19" s="415">
        <v>0</v>
      </c>
      <c r="AE19" s="448">
        <v>0</v>
      </c>
      <c r="AF19" s="415">
        <v>0</v>
      </c>
      <c r="AG19" s="415">
        <v>3498367</v>
      </c>
      <c r="AH19" s="415">
        <v>3498367</v>
      </c>
      <c r="AI19" s="415">
        <v>88785267</v>
      </c>
      <c r="AJ19" s="415">
        <f>92283634-AH19</f>
        <v>88785267</v>
      </c>
      <c r="AK19" s="415">
        <v>122743101</v>
      </c>
      <c r="AL19" s="415">
        <f>211528368-AJ19-AH19</f>
        <v>119244734</v>
      </c>
      <c r="AM19" s="415">
        <v>175067700</v>
      </c>
      <c r="AN19" s="415">
        <v>175067700</v>
      </c>
      <c r="AO19" s="415">
        <v>0</v>
      </c>
      <c r="AP19" s="415"/>
      <c r="AQ19" s="415">
        <v>0</v>
      </c>
      <c r="AR19" s="415"/>
      <c r="AS19" s="415">
        <v>0</v>
      </c>
      <c r="AT19" s="415"/>
      <c r="AU19" s="415">
        <v>0</v>
      </c>
      <c r="AV19" s="415"/>
      <c r="AW19" s="415">
        <v>0</v>
      </c>
      <c r="AX19" s="415"/>
      <c r="AY19" s="415">
        <v>0</v>
      </c>
      <c r="AZ19" s="449"/>
      <c r="BA19" s="442">
        <f>AY19+AW19+AU19+AS19+AQ19+AO19+AM19+AK19+AI19+AG19+AE19+AC19</f>
        <v>390094435</v>
      </c>
      <c r="BB19" s="442">
        <f t="shared" si="67"/>
        <v>390094435</v>
      </c>
      <c r="BC19" s="442">
        <f t="shared" si="67"/>
        <v>386596068</v>
      </c>
      <c r="BD19" s="442">
        <f>AE19+AG19+AI19+AK19+AM19+AO19+AQ19+AS19+AU19+AW19+AY19+AC19</f>
        <v>390094435</v>
      </c>
      <c r="BE19" s="442">
        <f>AD19+AF19+AH19+AJ19+AL19+AN19</f>
        <v>386596068</v>
      </c>
      <c r="BF19" s="415">
        <v>0</v>
      </c>
      <c r="BG19" s="449"/>
      <c r="BH19" s="415"/>
      <c r="BI19" s="415"/>
      <c r="BJ19" s="415"/>
      <c r="BK19" s="415"/>
      <c r="BL19" s="415"/>
      <c r="BM19" s="415"/>
      <c r="BN19" s="415"/>
      <c r="BO19" s="415"/>
      <c r="BP19" s="415"/>
      <c r="BQ19" s="415"/>
      <c r="BR19" s="415"/>
      <c r="BS19" s="415"/>
      <c r="BT19" s="415"/>
      <c r="BU19" s="415"/>
      <c r="BV19" s="415"/>
      <c r="BW19" s="415"/>
      <c r="BX19" s="415"/>
      <c r="BY19" s="415"/>
      <c r="BZ19" s="415"/>
      <c r="CA19" s="415"/>
      <c r="CB19" s="415"/>
      <c r="CC19" s="415"/>
      <c r="CD19" s="415"/>
      <c r="CE19" s="414"/>
      <c r="CF19" s="442"/>
      <c r="CG19" s="442"/>
      <c r="CH19" s="414"/>
      <c r="CI19" s="442"/>
      <c r="CJ19" s="415">
        <v>0</v>
      </c>
      <c r="CK19" s="415"/>
      <c r="CL19" s="415"/>
      <c r="CM19" s="415"/>
      <c r="CN19" s="415"/>
      <c r="CO19" s="415"/>
      <c r="CP19" s="415"/>
      <c r="CQ19" s="415"/>
      <c r="CR19" s="415"/>
      <c r="CS19" s="415"/>
      <c r="CT19" s="415"/>
      <c r="CU19" s="415"/>
      <c r="CV19" s="415"/>
      <c r="CW19" s="415"/>
      <c r="CX19" s="415"/>
      <c r="CY19" s="415"/>
      <c r="CZ19" s="415"/>
      <c r="DA19" s="415"/>
      <c r="DB19" s="415"/>
      <c r="DC19" s="415"/>
      <c r="DD19" s="415"/>
      <c r="DE19" s="415"/>
      <c r="DF19" s="415"/>
      <c r="DG19" s="415"/>
      <c r="DH19" s="415"/>
      <c r="DI19" s="414"/>
      <c r="DJ19" s="442"/>
      <c r="DK19" s="442"/>
      <c r="DL19" s="414"/>
      <c r="DM19" s="442"/>
      <c r="DN19" s="415">
        <v>0</v>
      </c>
      <c r="DO19" s="425"/>
      <c r="DP19" s="425"/>
      <c r="DQ19" s="425"/>
      <c r="DR19" s="425"/>
      <c r="DS19" s="425"/>
      <c r="DT19" s="425"/>
      <c r="DU19" s="425"/>
      <c r="DV19" s="425"/>
      <c r="DW19" s="425"/>
      <c r="DX19" s="425"/>
      <c r="DY19" s="425"/>
      <c r="DZ19" s="425"/>
      <c r="EA19" s="425"/>
      <c r="EB19" s="425"/>
      <c r="EC19" s="425"/>
      <c r="ED19" s="425"/>
      <c r="EE19" s="425"/>
      <c r="EF19" s="425"/>
      <c r="EG19" s="425"/>
      <c r="EH19" s="425"/>
      <c r="EI19" s="425"/>
      <c r="EJ19" s="425"/>
      <c r="EK19" s="425"/>
      <c r="EL19" s="425"/>
      <c r="EM19" s="294">
        <f t="shared" ref="EM19:EM22" si="80">EI19+EG19+EE19+EC19+EA19+DY19+DW19+DU19+DS19+DQ19+DO19+EK19</f>
        <v>0</v>
      </c>
      <c r="EN19" s="426">
        <f t="shared" si="76"/>
        <v>0</v>
      </c>
      <c r="EO19" s="426">
        <f t="shared" si="77"/>
        <v>0</v>
      </c>
      <c r="EP19" s="414">
        <f t="shared" ref="EP19:EP20" si="81">DQ19+DS19+DU19+DW19+DY19+EA19+EC19+EE19+EG19+EI19+EK19</f>
        <v>0</v>
      </c>
      <c r="EQ19" s="426">
        <f t="shared" si="79"/>
        <v>0</v>
      </c>
      <c r="ER19" s="461">
        <f>+AN19/AM19</f>
        <v>1</v>
      </c>
      <c r="ES19" s="459">
        <f t="shared" si="15"/>
        <v>0.99103199972591249</v>
      </c>
      <c r="ET19" s="460">
        <f t="shared" si="16"/>
        <v>0.99103199972591249</v>
      </c>
      <c r="EU19" s="460">
        <f t="shared" si="17"/>
        <v>0.99103199972591249</v>
      </c>
      <c r="EV19" s="462" t="e">
        <f t="shared" si="66"/>
        <v>#DIV/0!</v>
      </c>
      <c r="EW19" s="685"/>
      <c r="EX19" s="682"/>
      <c r="EY19" s="682"/>
      <c r="EZ19" s="684"/>
      <c r="FA19" s="684"/>
      <c r="FB19" s="742"/>
    </row>
    <row r="20" spans="1:158" s="423" customFormat="1" ht="29.25" customHeight="1" thickBot="1" x14ac:dyDescent="0.3">
      <c r="A20" s="744"/>
      <c r="B20" s="682"/>
      <c r="C20" s="682"/>
      <c r="D20" s="682"/>
      <c r="E20" s="682"/>
      <c r="F20" s="429" t="s">
        <v>42</v>
      </c>
      <c r="G20" s="454">
        <f>+AA20+BD20+BF20+CJ20+DN20</f>
        <v>0</v>
      </c>
      <c r="H20" s="46">
        <v>0</v>
      </c>
      <c r="I20" s="46"/>
      <c r="J20" s="46"/>
      <c r="K20" s="46"/>
      <c r="L20" s="46"/>
      <c r="M20" s="46"/>
      <c r="N20" s="46"/>
      <c r="O20" s="46"/>
      <c r="P20" s="46"/>
      <c r="Q20" s="46"/>
      <c r="R20" s="46"/>
      <c r="S20" s="46"/>
      <c r="T20" s="370"/>
      <c r="U20" s="46"/>
      <c r="V20" s="46"/>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370"/>
      <c r="BA20" s="46">
        <f>AY20+AW20+AU20+AS20+AQ20+AO20+AM20+AK20+AI20+AG20+AE20+AC20</f>
        <v>0</v>
      </c>
      <c r="BB20" s="46">
        <f t="shared" si="67"/>
        <v>0</v>
      </c>
      <c r="BC20" s="46">
        <f t="shared" si="67"/>
        <v>0</v>
      </c>
      <c r="BD20" s="46">
        <f>AE20+AG20+AI20+AK20+AM20+AO20+AQ20+AS20+AU20+AW20+AY20+AC20</f>
        <v>0</v>
      </c>
      <c r="BE20" s="46">
        <f>AD20+AF20+AH20+AJ20+AL20+AN20</f>
        <v>0</v>
      </c>
      <c r="BF20" s="46">
        <v>0</v>
      </c>
      <c r="BG20" s="46">
        <v>0</v>
      </c>
      <c r="BH20" s="46">
        <v>0</v>
      </c>
      <c r="BI20" s="46"/>
      <c r="BJ20" s="46"/>
      <c r="BK20" s="370"/>
      <c r="BL20" s="46"/>
      <c r="BM20" s="370"/>
      <c r="BN20" s="370"/>
      <c r="BO20" s="46"/>
      <c r="BP20" s="46"/>
      <c r="BQ20" s="46"/>
      <c r="BR20" s="46"/>
      <c r="BS20" s="46"/>
      <c r="BT20" s="46"/>
      <c r="BU20" s="46"/>
      <c r="BV20" s="46"/>
      <c r="BW20" s="46"/>
      <c r="BX20" s="46"/>
      <c r="BY20" s="46"/>
      <c r="BZ20" s="46"/>
      <c r="CA20" s="46"/>
      <c r="CB20" s="46"/>
      <c r="CC20" s="46"/>
      <c r="CD20" s="46"/>
      <c r="CE20" s="370">
        <f>CA20+BY20+BW20+BU20+BS20+BQ20+BO20+BM20+BK20+BI20+AZ19+CC20</f>
        <v>0</v>
      </c>
      <c r="CF20" s="46">
        <f>AZ19+BI20+BK20+BM20</f>
        <v>0</v>
      </c>
      <c r="CG20" s="370">
        <f>BH20+BJ20+BL20+BN20</f>
        <v>0</v>
      </c>
      <c r="CH20" s="455">
        <f>AZ19+BI20+BK20+BM20+BO20+BQ20+BS20+BU20+BW20+BY20+CA20+CC20</f>
        <v>0</v>
      </c>
      <c r="CI20" s="46">
        <f>BH20+BJ20+BL20+BN20</f>
        <v>0</v>
      </c>
      <c r="CJ20" s="46">
        <v>0</v>
      </c>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370">
        <f t="shared" ref="DI20:DI23" si="82">DE20+DC20+DA20+CY20+CW20+CU20+CS20+CQ20+CO20+CM20+CK20+DG20</f>
        <v>0</v>
      </c>
      <c r="DJ20" s="46">
        <f t="shared" ref="DJ20:DK23" si="83">CK20+CM20+CO20+CQ20</f>
        <v>0</v>
      </c>
      <c r="DK20" s="370">
        <f t="shared" si="83"/>
        <v>0</v>
      </c>
      <c r="DL20" s="455">
        <f t="shared" ref="DL20:DL21" si="84">CM20+CO20+CQ20+CS20+CU20+CW20+CY20+DA20+DC20+DE20+DG20</f>
        <v>0</v>
      </c>
      <c r="DM20" s="46">
        <f>CL20+CN20+CP20+CR20</f>
        <v>0</v>
      </c>
      <c r="DN20" s="46">
        <v>0</v>
      </c>
      <c r="DO20" s="366"/>
      <c r="DP20" s="366"/>
      <c r="DQ20" s="366"/>
      <c r="DR20" s="366"/>
      <c r="DS20" s="366"/>
      <c r="DT20" s="366"/>
      <c r="DU20" s="366"/>
      <c r="DV20" s="366"/>
      <c r="DW20" s="366"/>
      <c r="DX20" s="366"/>
      <c r="DY20" s="366"/>
      <c r="DZ20" s="366"/>
      <c r="EA20" s="366"/>
      <c r="EB20" s="366"/>
      <c r="EC20" s="366"/>
      <c r="ED20" s="366"/>
      <c r="EE20" s="366"/>
      <c r="EF20" s="366"/>
      <c r="EG20" s="366"/>
      <c r="EH20" s="366"/>
      <c r="EI20" s="366"/>
      <c r="EJ20" s="366"/>
      <c r="EK20" s="366"/>
      <c r="EL20" s="366"/>
      <c r="EM20" s="46">
        <f t="shared" si="80"/>
        <v>0</v>
      </c>
      <c r="EN20" s="430">
        <f t="shared" si="76"/>
        <v>0</v>
      </c>
      <c r="EO20" s="431">
        <f t="shared" si="77"/>
        <v>0</v>
      </c>
      <c r="EP20" s="371">
        <f t="shared" si="81"/>
        <v>0</v>
      </c>
      <c r="EQ20" s="46">
        <f t="shared" si="79"/>
        <v>0</v>
      </c>
      <c r="ER20" s="461">
        <v>0</v>
      </c>
      <c r="ES20" s="459" t="e">
        <f t="shared" si="15"/>
        <v>#DIV/0!</v>
      </c>
      <c r="ET20" s="460" t="e">
        <f t="shared" si="16"/>
        <v>#DIV/0!</v>
      </c>
      <c r="EU20" s="460" t="e">
        <f t="shared" si="17"/>
        <v>#DIV/0!</v>
      </c>
      <c r="EV20" s="462" t="e">
        <f t="shared" si="66"/>
        <v>#DIV/0!</v>
      </c>
      <c r="EW20" s="685"/>
      <c r="EX20" s="682"/>
      <c r="EY20" s="682"/>
      <c r="EZ20" s="684"/>
      <c r="FA20" s="684"/>
      <c r="FB20" s="742"/>
    </row>
    <row r="21" spans="1:158" s="423" customFormat="1" ht="29.25" customHeight="1" thickBot="1" x14ac:dyDescent="0.3">
      <c r="A21" s="744"/>
      <c r="B21" s="682"/>
      <c r="C21" s="682"/>
      <c r="D21" s="682"/>
      <c r="E21" s="682"/>
      <c r="F21" s="424" t="s">
        <v>4</v>
      </c>
      <c r="G21" s="415">
        <f>+AA21+BD21+BF21+CJ21+DN21</f>
        <v>220512384</v>
      </c>
      <c r="H21" s="414">
        <v>0</v>
      </c>
      <c r="I21" s="415">
        <v>0</v>
      </c>
      <c r="J21" s="415">
        <v>0</v>
      </c>
      <c r="K21" s="415">
        <v>0</v>
      </c>
      <c r="L21" s="415">
        <v>0</v>
      </c>
      <c r="M21" s="415">
        <v>0</v>
      </c>
      <c r="N21" s="415">
        <v>0</v>
      </c>
      <c r="O21" s="415">
        <v>0</v>
      </c>
      <c r="P21" s="415">
        <v>0</v>
      </c>
      <c r="Q21" s="415">
        <v>0</v>
      </c>
      <c r="R21" s="415">
        <v>0</v>
      </c>
      <c r="S21" s="415">
        <v>0</v>
      </c>
      <c r="T21" s="447">
        <v>0</v>
      </c>
      <c r="U21" s="448">
        <v>0</v>
      </c>
      <c r="V21" s="448">
        <v>0</v>
      </c>
      <c r="W21" s="414">
        <v>0</v>
      </c>
      <c r="X21" s="414">
        <v>0</v>
      </c>
      <c r="Y21" s="414">
        <v>0</v>
      </c>
      <c r="Z21" s="448">
        <v>0</v>
      </c>
      <c r="AA21" s="448">
        <v>0</v>
      </c>
      <c r="AB21" s="448">
        <v>220512384</v>
      </c>
      <c r="AC21" s="415">
        <v>62045867</v>
      </c>
      <c r="AD21" s="415">
        <v>62045867</v>
      </c>
      <c r="AE21" s="448">
        <v>68053533</v>
      </c>
      <c r="AF21" s="415">
        <f>130099400-AD21</f>
        <v>68053533</v>
      </c>
      <c r="AG21" s="415">
        <v>10948200</v>
      </c>
      <c r="AH21" s="415">
        <f>141047600-AF21-AD21</f>
        <v>10948200</v>
      </c>
      <c r="AI21" s="415">
        <v>8101667</v>
      </c>
      <c r="AJ21" s="415">
        <f>149149267-AH21-AF21-AD21</f>
        <v>8101667</v>
      </c>
      <c r="AK21" s="415">
        <v>15903967</v>
      </c>
      <c r="AL21" s="415">
        <f>165053234-AJ21-AH21-AF21-AD21</f>
        <v>15903967</v>
      </c>
      <c r="AM21" s="415">
        <v>5571367</v>
      </c>
      <c r="AN21" s="415">
        <v>5571367</v>
      </c>
      <c r="AO21" s="415">
        <v>0</v>
      </c>
      <c r="AP21" s="415"/>
      <c r="AQ21" s="415">
        <v>49887783</v>
      </c>
      <c r="AR21" s="415"/>
      <c r="AS21" s="415">
        <v>0</v>
      </c>
      <c r="AT21" s="415"/>
      <c r="AU21" s="415">
        <v>0</v>
      </c>
      <c r="AV21" s="415"/>
      <c r="AW21" s="415">
        <v>0</v>
      </c>
      <c r="AX21" s="415"/>
      <c r="AY21" s="415">
        <v>0</v>
      </c>
      <c r="AZ21" s="449"/>
      <c r="BA21" s="442">
        <f>AY21+AW21+AU21+AS21+AQ21+AO21+AM21+AK21+AI21+AG21+AE21+AC21</f>
        <v>220512384</v>
      </c>
      <c r="BB21" s="442">
        <f t="shared" si="67"/>
        <v>170624601</v>
      </c>
      <c r="BC21" s="442">
        <f t="shared" si="67"/>
        <v>170624601</v>
      </c>
      <c r="BD21" s="442">
        <f>AE21+AG21+AI21+AK21+AM21+AO21+AQ21+AS21+AU21+AW21+AY21+AC21</f>
        <v>220512384</v>
      </c>
      <c r="BE21" s="442">
        <f>AD21+AF21+AH21+AJ21+AL21+AN21</f>
        <v>170624601</v>
      </c>
      <c r="BF21" s="415">
        <v>0</v>
      </c>
      <c r="BG21" s="449">
        <v>0</v>
      </c>
      <c r="BH21" s="415">
        <v>0</v>
      </c>
      <c r="BI21" s="415"/>
      <c r="BJ21" s="415"/>
      <c r="BK21" s="415"/>
      <c r="BL21" s="415"/>
      <c r="BM21" s="415"/>
      <c r="BN21" s="415"/>
      <c r="BO21" s="415"/>
      <c r="BP21" s="415"/>
      <c r="BQ21" s="415"/>
      <c r="BR21" s="415"/>
      <c r="BS21" s="415"/>
      <c r="BT21" s="415"/>
      <c r="BU21" s="415"/>
      <c r="BV21" s="415"/>
      <c r="BW21" s="415"/>
      <c r="BX21" s="415"/>
      <c r="BY21" s="415"/>
      <c r="BZ21" s="415"/>
      <c r="CA21" s="415"/>
      <c r="CB21" s="415"/>
      <c r="CC21" s="415"/>
      <c r="CD21" s="415"/>
      <c r="CE21" s="414">
        <f>CA21+BY21+BW21+BU21+BS21+BQ21+BO21+BM21+BK21+BI21+AZ20+CC21</f>
        <v>0</v>
      </c>
      <c r="CF21" s="442">
        <f>AZ20+BI21+BK21+BM21</f>
        <v>0</v>
      </c>
      <c r="CG21" s="442">
        <f>BH21+BJ21+BL21+BN21</f>
        <v>0</v>
      </c>
      <c r="CH21" s="414">
        <f>AZ20+BI21+BK21+BM21+BO21+BQ21+BS21+BU21+BW21+BY21+CA21+CC21</f>
        <v>0</v>
      </c>
      <c r="CI21" s="442">
        <f>BH21+BJ21+BL21+BN21</f>
        <v>0</v>
      </c>
      <c r="CJ21" s="415">
        <v>0</v>
      </c>
      <c r="CK21" s="415"/>
      <c r="CL21" s="415"/>
      <c r="CM21" s="415"/>
      <c r="CN21" s="415"/>
      <c r="CO21" s="415"/>
      <c r="CP21" s="415"/>
      <c r="CQ21" s="415"/>
      <c r="CR21" s="415"/>
      <c r="CS21" s="415"/>
      <c r="CT21" s="415"/>
      <c r="CU21" s="415"/>
      <c r="CV21" s="415"/>
      <c r="CW21" s="415"/>
      <c r="CX21" s="415"/>
      <c r="CY21" s="415"/>
      <c r="CZ21" s="415"/>
      <c r="DA21" s="415"/>
      <c r="DB21" s="415"/>
      <c r="DC21" s="415"/>
      <c r="DD21" s="415"/>
      <c r="DE21" s="415"/>
      <c r="DF21" s="415"/>
      <c r="DG21" s="415"/>
      <c r="DH21" s="415"/>
      <c r="DI21" s="414">
        <f t="shared" si="82"/>
        <v>0</v>
      </c>
      <c r="DJ21" s="442">
        <f t="shared" si="83"/>
        <v>0</v>
      </c>
      <c r="DK21" s="442">
        <f t="shared" si="83"/>
        <v>0</v>
      </c>
      <c r="DL21" s="414">
        <f t="shared" si="84"/>
        <v>0</v>
      </c>
      <c r="DM21" s="442">
        <f>CL21+CN21+CP21+CR21</f>
        <v>0</v>
      </c>
      <c r="DN21" s="415">
        <v>0</v>
      </c>
      <c r="DO21" s="432"/>
      <c r="DP21" s="432"/>
      <c r="DQ21" s="432"/>
      <c r="DR21" s="432"/>
      <c r="DS21" s="432"/>
      <c r="DT21" s="432"/>
      <c r="DU21" s="432"/>
      <c r="DV21" s="432"/>
      <c r="DW21" s="432"/>
      <c r="DX21" s="432"/>
      <c r="DY21" s="432"/>
      <c r="DZ21" s="432"/>
      <c r="EA21" s="432"/>
      <c r="EB21" s="432"/>
      <c r="EC21" s="432"/>
      <c r="ED21" s="432"/>
      <c r="EE21" s="432"/>
      <c r="EF21" s="432"/>
      <c r="EG21" s="432"/>
      <c r="EH21" s="432"/>
      <c r="EI21" s="432"/>
      <c r="EJ21" s="432"/>
      <c r="EK21" s="432"/>
      <c r="EL21" s="432"/>
      <c r="EM21" s="46">
        <f t="shared" si="80"/>
        <v>0</v>
      </c>
      <c r="EN21" s="426">
        <f t="shared" si="76"/>
        <v>0</v>
      </c>
      <c r="EO21" s="426">
        <f t="shared" si="77"/>
        <v>0</v>
      </c>
      <c r="EP21" s="414">
        <f t="shared" ref="EP21:EP22" si="85">DQ21+DS21+DU21+DW21+DY21+EA21+EC21+EE21+EG21+EI21+EK21+DO21</f>
        <v>0</v>
      </c>
      <c r="EQ21" s="426">
        <f t="shared" si="79"/>
        <v>0</v>
      </c>
      <c r="ER21" s="461">
        <f>+AN21/AM21</f>
        <v>1</v>
      </c>
      <c r="ES21" s="459">
        <f t="shared" si="15"/>
        <v>1</v>
      </c>
      <c r="ET21" s="460">
        <f t="shared" si="16"/>
        <v>0.77376425715845509</v>
      </c>
      <c r="EU21" s="460">
        <f t="shared" si="17"/>
        <v>1</v>
      </c>
      <c r="EV21" s="462">
        <f t="shared" si="66"/>
        <v>0.77376425715845509</v>
      </c>
      <c r="EW21" s="685"/>
      <c r="EX21" s="682"/>
      <c r="EY21" s="682"/>
      <c r="EZ21" s="684"/>
      <c r="FA21" s="684"/>
      <c r="FB21" s="742"/>
    </row>
    <row r="22" spans="1:158" s="423" customFormat="1" ht="29.25" customHeight="1" thickBot="1" x14ac:dyDescent="0.3">
      <c r="A22" s="744"/>
      <c r="B22" s="682"/>
      <c r="C22" s="682"/>
      <c r="D22" s="682"/>
      <c r="E22" s="682"/>
      <c r="F22" s="429" t="s">
        <v>43</v>
      </c>
      <c r="G22" s="454">
        <f>+G17+G20</f>
        <v>29</v>
      </c>
      <c r="H22" s="46">
        <f>+H17+H19</f>
        <v>4</v>
      </c>
      <c r="I22" s="46"/>
      <c r="J22" s="46"/>
      <c r="K22" s="46"/>
      <c r="L22" s="46"/>
      <c r="M22" s="46"/>
      <c r="N22" s="46"/>
      <c r="O22" s="46"/>
      <c r="P22" s="46"/>
      <c r="Q22" s="46"/>
      <c r="R22" s="46"/>
      <c r="S22" s="46"/>
      <c r="T22" s="370"/>
      <c r="U22" s="46"/>
      <c r="V22" s="46"/>
      <c r="W22" s="46">
        <f t="shared" ref="W22:X23" si="86">+W17+W19</f>
        <v>4</v>
      </c>
      <c r="X22" s="46">
        <f t="shared" si="86"/>
        <v>4</v>
      </c>
      <c r="Y22" s="46">
        <f t="shared" ref="Y22:AM22" si="87">+Y17+Y20</f>
        <v>4</v>
      </c>
      <c r="Z22" s="46">
        <f t="shared" si="87"/>
        <v>4</v>
      </c>
      <c r="AA22" s="46">
        <f t="shared" si="87"/>
        <v>4</v>
      </c>
      <c r="AB22" s="46">
        <f t="shared" si="87"/>
        <v>8</v>
      </c>
      <c r="AC22" s="46">
        <f t="shared" si="87"/>
        <v>0.2</v>
      </c>
      <c r="AD22" s="46">
        <f t="shared" si="87"/>
        <v>0.2</v>
      </c>
      <c r="AE22" s="46">
        <f t="shared" si="87"/>
        <v>0.25</v>
      </c>
      <c r="AF22" s="46">
        <f t="shared" si="87"/>
        <v>0.25</v>
      </c>
      <c r="AG22" s="46">
        <f t="shared" si="87"/>
        <v>0.55000000000000004</v>
      </c>
      <c r="AH22" s="46">
        <f t="shared" si="87"/>
        <v>0.55000000000000004</v>
      </c>
      <c r="AI22" s="46">
        <f t="shared" si="87"/>
        <v>0.6</v>
      </c>
      <c r="AJ22" s="46">
        <f t="shared" si="87"/>
        <v>0.6</v>
      </c>
      <c r="AK22" s="46">
        <f t="shared" si="87"/>
        <v>0.7</v>
      </c>
      <c r="AL22" s="46">
        <f t="shared" si="87"/>
        <v>0.7</v>
      </c>
      <c r="AM22" s="46">
        <f t="shared" si="87"/>
        <v>0.7</v>
      </c>
      <c r="AN22" s="46">
        <f t="shared" ref="AN22" si="88">+AN17+AN20</f>
        <v>0.7</v>
      </c>
      <c r="AO22" s="46">
        <f>+AO17+AO20</f>
        <v>0.75</v>
      </c>
      <c r="AP22" s="46"/>
      <c r="AQ22" s="46">
        <f>+AQ17+AQ20</f>
        <v>0.85</v>
      </c>
      <c r="AR22" s="46"/>
      <c r="AS22" s="46">
        <f>+AS17+AS20</f>
        <v>1.05</v>
      </c>
      <c r="AT22" s="46"/>
      <c r="AU22" s="46">
        <f>+AU17+AU20</f>
        <v>0.85</v>
      </c>
      <c r="AV22" s="46"/>
      <c r="AW22" s="46">
        <f>+AW17+AW20</f>
        <v>0.6</v>
      </c>
      <c r="AX22" s="46"/>
      <c r="AY22" s="46">
        <f>+AY17+AY20</f>
        <v>0.9</v>
      </c>
      <c r="AZ22" s="370"/>
      <c r="BA22" s="46">
        <f t="shared" ref="BA22:BE23" si="89">+BA17+BA20</f>
        <v>8</v>
      </c>
      <c r="BB22" s="46">
        <f t="shared" si="89"/>
        <v>3</v>
      </c>
      <c r="BC22" s="46">
        <f t="shared" si="89"/>
        <v>3</v>
      </c>
      <c r="BD22" s="46">
        <f t="shared" si="89"/>
        <v>8</v>
      </c>
      <c r="BE22" s="46">
        <f t="shared" si="89"/>
        <v>3</v>
      </c>
      <c r="BF22" s="46">
        <v>7</v>
      </c>
      <c r="BG22" s="46">
        <v>8</v>
      </c>
      <c r="BH22" s="46">
        <v>4</v>
      </c>
      <c r="BI22" s="46"/>
      <c r="BJ22" s="46"/>
      <c r="BK22" s="370"/>
      <c r="BL22" s="46"/>
      <c r="BM22" s="370"/>
      <c r="BN22" s="370"/>
      <c r="BO22" s="46"/>
      <c r="BP22" s="46"/>
      <c r="BQ22" s="46"/>
      <c r="BR22" s="46"/>
      <c r="BS22" s="46"/>
      <c r="BT22" s="46"/>
      <c r="BU22" s="46"/>
      <c r="BV22" s="46"/>
      <c r="BW22" s="46"/>
      <c r="BX22" s="46"/>
      <c r="BY22" s="46"/>
      <c r="BZ22" s="46"/>
      <c r="CA22" s="46"/>
      <c r="CB22" s="46"/>
      <c r="CC22" s="46"/>
      <c r="CD22" s="46"/>
      <c r="CE22" s="370">
        <f>CA22+BY22+BW22+BU22+BS22+BQ22+BO22+BM22+BK22+BI22+AZ21+CC22</f>
        <v>0</v>
      </c>
      <c r="CF22" s="46">
        <f>AZ21+BI22+BK22+BM22</f>
        <v>0</v>
      </c>
      <c r="CG22" s="370">
        <f>BH22+BJ22+BL22+BN22</f>
        <v>4</v>
      </c>
      <c r="CH22" s="455">
        <f>BI22+BK22+BM22+BO22+BQ22+BS22+BU22+BW22+BY22+CA22+CC22+AZ21</f>
        <v>0</v>
      </c>
      <c r="CI22" s="46">
        <f>BH22+BJ22+BL22+BN22</f>
        <v>4</v>
      </c>
      <c r="CJ22" s="46">
        <v>8</v>
      </c>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370">
        <f t="shared" si="82"/>
        <v>0</v>
      </c>
      <c r="DJ22" s="46">
        <f t="shared" si="83"/>
        <v>0</v>
      </c>
      <c r="DK22" s="370">
        <f t="shared" si="83"/>
        <v>0</v>
      </c>
      <c r="DL22" s="455">
        <f t="shared" ref="DL22:DL23" si="90">CM22+CO22+CQ22+CS22+CU22+CW22+CY22+DA22+DC22+DE22+DG22+CK22</f>
        <v>0</v>
      </c>
      <c r="DM22" s="46">
        <f>CL22+CN22+CP22+CR22</f>
        <v>0</v>
      </c>
      <c r="DN22" s="46">
        <v>4</v>
      </c>
      <c r="DO22" s="417"/>
      <c r="DP22" s="417"/>
      <c r="DQ22" s="417"/>
      <c r="DR22" s="417"/>
      <c r="DS22" s="417"/>
      <c r="DT22" s="417"/>
      <c r="DU22" s="417"/>
      <c r="DV22" s="417"/>
      <c r="DW22" s="417"/>
      <c r="DX22" s="417"/>
      <c r="DY22" s="417"/>
      <c r="DZ22" s="417"/>
      <c r="EA22" s="417"/>
      <c r="EB22" s="417"/>
      <c r="EC22" s="417"/>
      <c r="ED22" s="417"/>
      <c r="EE22" s="417"/>
      <c r="EF22" s="417"/>
      <c r="EG22" s="417"/>
      <c r="EH22" s="417"/>
      <c r="EI22" s="417"/>
      <c r="EJ22" s="417"/>
      <c r="EK22" s="417"/>
      <c r="EL22" s="417"/>
      <c r="EM22" s="46">
        <f t="shared" si="80"/>
        <v>0</v>
      </c>
      <c r="EN22" s="431">
        <f t="shared" si="76"/>
        <v>0</v>
      </c>
      <c r="EO22" s="431">
        <f t="shared" si="77"/>
        <v>0</v>
      </c>
      <c r="EP22" s="371">
        <f t="shared" si="85"/>
        <v>0</v>
      </c>
      <c r="EQ22" s="431">
        <f t="shared" ref="EQ22" si="91">DR22+DT22+DV22+DP22</f>
        <v>0</v>
      </c>
      <c r="ER22" s="461">
        <f>+AN22/AM22</f>
        <v>1</v>
      </c>
      <c r="ES22" s="459">
        <f t="shared" si="15"/>
        <v>1</v>
      </c>
      <c r="ET22" s="460">
        <f t="shared" si="16"/>
        <v>0.375</v>
      </c>
      <c r="EU22" s="460">
        <f t="shared" si="17"/>
        <v>1</v>
      </c>
      <c r="EV22" s="462">
        <f t="shared" si="66"/>
        <v>0.2413793103448276</v>
      </c>
      <c r="EW22" s="685"/>
      <c r="EX22" s="682"/>
      <c r="EY22" s="682"/>
      <c r="EZ22" s="684"/>
      <c r="FA22" s="684"/>
      <c r="FB22" s="742"/>
    </row>
    <row r="23" spans="1:158" s="439" customFormat="1" ht="29.25" customHeight="1" thickBot="1" x14ac:dyDescent="0.3">
      <c r="A23" s="744"/>
      <c r="B23" s="682"/>
      <c r="C23" s="682"/>
      <c r="D23" s="682"/>
      <c r="E23" s="682"/>
      <c r="F23" s="424" t="s">
        <v>45</v>
      </c>
      <c r="G23" s="440">
        <f>+G18+G21</f>
        <v>5934656489</v>
      </c>
      <c r="H23" s="441">
        <f>+H18+H20</f>
        <v>613840322</v>
      </c>
      <c r="I23" s="440"/>
      <c r="J23" s="440"/>
      <c r="K23" s="440"/>
      <c r="L23" s="440"/>
      <c r="M23" s="440"/>
      <c r="N23" s="440"/>
      <c r="O23" s="440"/>
      <c r="P23" s="440"/>
      <c r="Q23" s="440"/>
      <c r="R23" s="440"/>
      <c r="S23" s="440"/>
      <c r="T23" s="536"/>
      <c r="U23" s="537"/>
      <c r="V23" s="537"/>
      <c r="W23" s="441">
        <f t="shared" si="86"/>
        <v>613840322</v>
      </c>
      <c r="X23" s="441">
        <f t="shared" si="86"/>
        <v>613840322</v>
      </c>
      <c r="Y23" s="441">
        <f t="shared" ref="Y23:AM23" si="92">+Y18+Y21</f>
        <v>670473105</v>
      </c>
      <c r="Z23" s="537">
        <f t="shared" si="92"/>
        <v>826840322</v>
      </c>
      <c r="AA23" s="537">
        <f t="shared" si="92"/>
        <v>670473105</v>
      </c>
      <c r="AB23" s="537">
        <f t="shared" si="92"/>
        <v>1594569384</v>
      </c>
      <c r="AC23" s="537">
        <f t="shared" si="92"/>
        <v>62045867</v>
      </c>
      <c r="AD23" s="440">
        <f t="shared" si="92"/>
        <v>62045867</v>
      </c>
      <c r="AE23" s="537">
        <f t="shared" si="92"/>
        <v>650103533</v>
      </c>
      <c r="AF23" s="440">
        <f t="shared" si="92"/>
        <v>650103533</v>
      </c>
      <c r="AG23" s="440">
        <f t="shared" si="92"/>
        <v>550515200</v>
      </c>
      <c r="AH23" s="440">
        <f t="shared" si="92"/>
        <v>550515200</v>
      </c>
      <c r="AI23" s="440">
        <f t="shared" si="92"/>
        <v>102213667</v>
      </c>
      <c r="AJ23" s="440">
        <f t="shared" si="92"/>
        <v>102213667</v>
      </c>
      <c r="AK23" s="440">
        <f t="shared" si="92"/>
        <v>15903967</v>
      </c>
      <c r="AL23" s="440">
        <f>+AL18+AL21</f>
        <v>15903967</v>
      </c>
      <c r="AM23" s="440">
        <f t="shared" si="92"/>
        <v>5571367</v>
      </c>
      <c r="AN23" s="440">
        <f t="shared" ref="AN23" si="93">+AN18+AN21</f>
        <v>5571367</v>
      </c>
      <c r="AO23" s="440">
        <f>+AO18+AO21</f>
        <v>0</v>
      </c>
      <c r="AP23" s="440"/>
      <c r="AQ23" s="440">
        <f>+AQ18+AQ21</f>
        <v>65642783</v>
      </c>
      <c r="AR23" s="440"/>
      <c r="AS23" s="440">
        <f>+AS18+AS21</f>
        <v>15755000</v>
      </c>
      <c r="AT23" s="440"/>
      <c r="AU23" s="440">
        <f>+AU18+AU21</f>
        <v>15755000</v>
      </c>
      <c r="AV23" s="440"/>
      <c r="AW23" s="440">
        <f>+AW18+AW21</f>
        <v>0</v>
      </c>
      <c r="AX23" s="440"/>
      <c r="AY23" s="440">
        <f>+AY18+AY21</f>
        <v>0</v>
      </c>
      <c r="AZ23" s="538"/>
      <c r="BA23" s="453">
        <f t="shared" si="89"/>
        <v>1483506384</v>
      </c>
      <c r="BB23" s="453">
        <f t="shared" si="89"/>
        <v>1386353601</v>
      </c>
      <c r="BC23" s="453">
        <f t="shared" si="89"/>
        <v>1386353601</v>
      </c>
      <c r="BD23" s="453">
        <f t="shared" si="89"/>
        <v>1483506384</v>
      </c>
      <c r="BE23" s="453">
        <f t="shared" si="89"/>
        <v>1386353601</v>
      </c>
      <c r="BF23" s="440">
        <v>1474279000</v>
      </c>
      <c r="BG23" s="538">
        <v>1515392000</v>
      </c>
      <c r="BH23" s="440">
        <v>791006000</v>
      </c>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1">
        <f>CA23+BY23+BW23+BU23+BS23+BQ23+BO23+BM23+BK23+BI23+AZ22+CC23</f>
        <v>0</v>
      </c>
      <c r="CF23" s="453">
        <f>AZ22+BI23+BK23+BM23</f>
        <v>0</v>
      </c>
      <c r="CG23" s="453">
        <f>BH23+BJ23+BL23+BN23</f>
        <v>791006000</v>
      </c>
      <c r="CH23" s="441">
        <f>BI23+BK23+BM23+BO23+BQ23+BS23+BU23+BW23+BY23+CA23+CC23+AZ22</f>
        <v>0</v>
      </c>
      <c r="CI23" s="453">
        <f t="shared" ref="CI23" si="94">BJ23+BL23+BN23+BH23</f>
        <v>791006000</v>
      </c>
      <c r="CJ23" s="440">
        <v>1515392000</v>
      </c>
      <c r="CK23" s="440"/>
      <c r="CL23" s="440"/>
      <c r="CM23" s="440"/>
      <c r="CN23" s="440"/>
      <c r="CO23" s="440"/>
      <c r="CP23" s="440"/>
      <c r="CQ23" s="440"/>
      <c r="CR23" s="440"/>
      <c r="CS23" s="440"/>
      <c r="CT23" s="440"/>
      <c r="CU23" s="440"/>
      <c r="CV23" s="440"/>
      <c r="CW23" s="440"/>
      <c r="CX23" s="440"/>
      <c r="CY23" s="440"/>
      <c r="CZ23" s="440"/>
      <c r="DA23" s="440"/>
      <c r="DB23" s="440"/>
      <c r="DC23" s="440"/>
      <c r="DD23" s="440"/>
      <c r="DE23" s="440"/>
      <c r="DF23" s="440"/>
      <c r="DG23" s="440"/>
      <c r="DH23" s="440"/>
      <c r="DI23" s="441">
        <f t="shared" si="82"/>
        <v>0</v>
      </c>
      <c r="DJ23" s="453">
        <f t="shared" si="83"/>
        <v>0</v>
      </c>
      <c r="DK23" s="453">
        <f t="shared" si="83"/>
        <v>0</v>
      </c>
      <c r="DL23" s="441">
        <f t="shared" si="90"/>
        <v>0</v>
      </c>
      <c r="DM23" s="453">
        <f t="shared" ref="DM23" si="95">CN23+CP23+CR23+CL23</f>
        <v>0</v>
      </c>
      <c r="DN23" s="440">
        <v>791006000</v>
      </c>
      <c r="DO23" s="434"/>
      <c r="DP23" s="434"/>
      <c r="DQ23" s="434"/>
      <c r="DR23" s="434"/>
      <c r="DS23" s="434"/>
      <c r="DT23" s="434"/>
      <c r="DU23" s="434"/>
      <c r="DV23" s="434"/>
      <c r="DW23" s="434"/>
      <c r="DX23" s="434"/>
      <c r="DY23" s="434"/>
      <c r="DZ23" s="434"/>
      <c r="EA23" s="434"/>
      <c r="EB23" s="434"/>
      <c r="EC23" s="434"/>
      <c r="ED23" s="434"/>
      <c r="EE23" s="434"/>
      <c r="EF23" s="434"/>
      <c r="EG23" s="434"/>
      <c r="EH23" s="434"/>
      <c r="EI23" s="434"/>
      <c r="EJ23" s="434"/>
      <c r="EK23" s="434"/>
      <c r="EL23" s="434"/>
      <c r="EM23" s="435">
        <f t="shared" ref="EM23:EM25" si="96">EK23+EI23+EG23+EE23+EC23+EA23+DY23+DW23+DU23+DS23+DQ23+DO23</f>
        <v>0</v>
      </c>
      <c r="EN23" s="436">
        <f t="shared" si="63"/>
        <v>0</v>
      </c>
      <c r="EO23" s="437">
        <f t="shared" si="64"/>
        <v>0</v>
      </c>
      <c r="EP23" s="436">
        <f t="shared" ref="EP23:EQ23" si="97">+EP18+EP21</f>
        <v>0</v>
      </c>
      <c r="EQ23" s="436">
        <f t="shared" si="97"/>
        <v>0</v>
      </c>
      <c r="ER23" s="578"/>
      <c r="ES23" s="575">
        <f t="shared" si="15"/>
        <v>1</v>
      </c>
      <c r="ET23" s="576">
        <f t="shared" si="16"/>
        <v>0.93451138192068606</v>
      </c>
      <c r="EU23" s="576">
        <f t="shared" si="17"/>
        <v>0.92934771084675527</v>
      </c>
      <c r="EV23" s="577">
        <f t="shared" si="66"/>
        <v>0.34657889800570058</v>
      </c>
      <c r="EW23" s="685"/>
      <c r="EX23" s="682"/>
      <c r="EY23" s="682"/>
      <c r="EZ23" s="684"/>
      <c r="FA23" s="684"/>
      <c r="FB23" s="742"/>
    </row>
    <row r="24" spans="1:158" s="4" customFormat="1" ht="29.25" customHeight="1" thickBot="1" x14ac:dyDescent="0.3">
      <c r="A24" s="728" t="s">
        <v>399</v>
      </c>
      <c r="B24" s="730">
        <v>3</v>
      </c>
      <c r="C24" s="730" t="s">
        <v>405</v>
      </c>
      <c r="D24" s="730" t="s">
        <v>359</v>
      </c>
      <c r="E24" s="730">
        <v>272</v>
      </c>
      <c r="F24" s="396" t="s">
        <v>41</v>
      </c>
      <c r="G24" s="384">
        <f>+AA24+BD24+BF24+CJ24+DN24</f>
        <v>8</v>
      </c>
      <c r="H24" s="386">
        <v>1</v>
      </c>
      <c r="I24" s="386"/>
      <c r="J24" s="386"/>
      <c r="K24" s="386"/>
      <c r="L24" s="386"/>
      <c r="M24" s="386"/>
      <c r="N24" s="386"/>
      <c r="O24" s="386"/>
      <c r="P24" s="386"/>
      <c r="Q24" s="386"/>
      <c r="R24" s="386"/>
      <c r="S24" s="386"/>
      <c r="T24" s="446"/>
      <c r="U24" s="386"/>
      <c r="V24" s="386"/>
      <c r="W24" s="386">
        <v>1</v>
      </c>
      <c r="X24" s="386">
        <v>1</v>
      </c>
      <c r="Y24" s="386">
        <v>1</v>
      </c>
      <c r="Z24" s="386">
        <v>1</v>
      </c>
      <c r="AA24" s="386">
        <v>1</v>
      </c>
      <c r="AB24" s="386">
        <v>2</v>
      </c>
      <c r="AC24" s="491">
        <v>0.17</v>
      </c>
      <c r="AD24" s="491">
        <v>0.15</v>
      </c>
      <c r="AE24" s="491">
        <v>0.17</v>
      </c>
      <c r="AF24" s="491">
        <v>0.11</v>
      </c>
      <c r="AG24" s="491">
        <v>0.17</v>
      </c>
      <c r="AH24" s="491">
        <v>0.1</v>
      </c>
      <c r="AI24" s="491">
        <v>0.17</v>
      </c>
      <c r="AJ24" s="491">
        <v>0.15</v>
      </c>
      <c r="AK24" s="491">
        <v>0.14000000000000001</v>
      </c>
      <c r="AL24" s="491">
        <v>0.14000000000000001</v>
      </c>
      <c r="AM24" s="491">
        <v>0.17</v>
      </c>
      <c r="AN24" s="491">
        <v>0.35</v>
      </c>
      <c r="AO24" s="491">
        <v>0.17</v>
      </c>
      <c r="AP24" s="491"/>
      <c r="AQ24" s="491">
        <v>0.17</v>
      </c>
      <c r="AR24" s="491"/>
      <c r="AS24" s="491">
        <v>0.17</v>
      </c>
      <c r="AT24" s="491"/>
      <c r="AU24" s="491">
        <v>0.17</v>
      </c>
      <c r="AV24" s="491"/>
      <c r="AW24" s="491">
        <v>0.17</v>
      </c>
      <c r="AX24" s="491"/>
      <c r="AY24" s="491">
        <v>0.16</v>
      </c>
      <c r="AZ24" s="446"/>
      <c r="BA24" s="522">
        <f>AY24+AW24+AU24+AS24+AQ24+AO24+AM24+AK24+AI24+AG24+AE24+AC24</f>
        <v>1.9999999999999996</v>
      </c>
      <c r="BB24" s="491">
        <f t="shared" ref="BB24:BC28" si="98">AC24+AE24+AG24+AI24+AK24+AM24</f>
        <v>0.9900000000000001</v>
      </c>
      <c r="BC24" s="491">
        <f>AD24+AF24+AH24+AJ24+AL24+AN24</f>
        <v>1</v>
      </c>
      <c r="BD24" s="572">
        <f>AE24+AG24+AI24+AK24+AM24+AO24+AQ24+AS24+AU24+AW24+AY24+AC24</f>
        <v>1.9999999999999998</v>
      </c>
      <c r="BE24" s="491">
        <f>AD24+AF24+AH24+AJ24+AL24+AN24</f>
        <v>1</v>
      </c>
      <c r="BF24" s="386">
        <v>2</v>
      </c>
      <c r="BG24" s="386">
        <v>8</v>
      </c>
      <c r="BH24" s="386">
        <v>4</v>
      </c>
      <c r="BI24" s="386"/>
      <c r="BJ24" s="386"/>
      <c r="BK24" s="446"/>
      <c r="BL24" s="386"/>
      <c r="BM24" s="446"/>
      <c r="BN24" s="446"/>
      <c r="BO24" s="386"/>
      <c r="BP24" s="386"/>
      <c r="BQ24" s="386"/>
      <c r="BR24" s="386"/>
      <c r="BS24" s="386"/>
      <c r="BT24" s="386"/>
      <c r="BU24" s="386"/>
      <c r="BV24" s="386"/>
      <c r="BW24" s="386"/>
      <c r="BX24" s="386"/>
      <c r="BY24" s="386"/>
      <c r="BZ24" s="386"/>
      <c r="CA24" s="386"/>
      <c r="CB24" s="386"/>
      <c r="CC24" s="386"/>
      <c r="CD24" s="386"/>
      <c r="CE24" s="446">
        <v>0</v>
      </c>
      <c r="CF24" s="386">
        <v>0</v>
      </c>
      <c r="CG24" s="446">
        <v>4</v>
      </c>
      <c r="CH24" s="571">
        <v>0</v>
      </c>
      <c r="CI24" s="386">
        <v>4</v>
      </c>
      <c r="CJ24" s="386">
        <v>2</v>
      </c>
      <c r="CK24" s="386"/>
      <c r="CL24" s="386"/>
      <c r="CM24" s="386"/>
      <c r="CN24" s="386"/>
      <c r="CO24" s="386"/>
      <c r="CP24" s="386"/>
      <c r="CQ24" s="386"/>
      <c r="CR24" s="386"/>
      <c r="CS24" s="386"/>
      <c r="CT24" s="386"/>
      <c r="CU24" s="386"/>
      <c r="CV24" s="386"/>
      <c r="CW24" s="386"/>
      <c r="CX24" s="386"/>
      <c r="CY24" s="386"/>
      <c r="CZ24" s="386"/>
      <c r="DA24" s="386"/>
      <c r="DB24" s="386"/>
      <c r="DC24" s="386"/>
      <c r="DD24" s="386"/>
      <c r="DE24" s="386"/>
      <c r="DF24" s="386"/>
      <c r="DG24" s="386"/>
      <c r="DH24" s="386"/>
      <c r="DI24" s="446">
        <v>0</v>
      </c>
      <c r="DJ24" s="386">
        <v>0</v>
      </c>
      <c r="DK24" s="446">
        <v>0</v>
      </c>
      <c r="DL24" s="571">
        <v>0</v>
      </c>
      <c r="DM24" s="386">
        <v>0</v>
      </c>
      <c r="DN24" s="386">
        <v>1</v>
      </c>
      <c r="DO24" s="350"/>
      <c r="DP24" s="350"/>
      <c r="DQ24" s="350"/>
      <c r="DR24" s="350"/>
      <c r="DS24" s="350"/>
      <c r="DT24" s="350"/>
      <c r="DU24" s="350"/>
      <c r="DV24" s="350"/>
      <c r="DW24" s="350"/>
      <c r="DX24" s="350"/>
      <c r="DY24" s="350"/>
      <c r="DZ24" s="350"/>
      <c r="EA24" s="350"/>
      <c r="EB24" s="350"/>
      <c r="EC24" s="350"/>
      <c r="ED24" s="350"/>
      <c r="EE24" s="350"/>
      <c r="EF24" s="350"/>
      <c r="EG24" s="347"/>
      <c r="EH24" s="347"/>
      <c r="EI24" s="347"/>
      <c r="EJ24" s="347"/>
      <c r="EK24" s="347"/>
      <c r="EL24" s="347"/>
      <c r="EM24" s="349">
        <f t="shared" si="96"/>
        <v>0</v>
      </c>
      <c r="EN24" s="347">
        <f t="shared" ref="EN24:EN29" si="99">DO24+DQ24+DS24+DU24</f>
        <v>0</v>
      </c>
      <c r="EO24" s="404">
        <f t="shared" ref="EO24:EO29" si="100">DP24+DR24+DT24+DV24</f>
        <v>0</v>
      </c>
      <c r="EP24" s="335">
        <f t="shared" ref="EP24:EP25" si="101">DQ24+DS24+DU24+DW24+DY24+EA24+EC24+EE24+EG24+EI24+EK24+DO24</f>
        <v>0</v>
      </c>
      <c r="EQ24" s="347">
        <f t="shared" ref="EQ24:EQ28" si="102">DP24+DR24+DT24+DV24</f>
        <v>0</v>
      </c>
      <c r="ER24" s="461">
        <f>+AN24/AM24</f>
        <v>2.0588235294117645</v>
      </c>
      <c r="ES24" s="459">
        <f t="shared" si="15"/>
        <v>1.0101010101010099</v>
      </c>
      <c r="ET24" s="460">
        <f t="shared" si="16"/>
        <v>0.5</v>
      </c>
      <c r="EU24" s="460">
        <f t="shared" si="17"/>
        <v>1.0050251256281406</v>
      </c>
      <c r="EV24" s="462">
        <f t="shared" si="66"/>
        <v>0.25</v>
      </c>
      <c r="EW24" s="685" t="s">
        <v>503</v>
      </c>
      <c r="EX24" s="682" t="s">
        <v>473</v>
      </c>
      <c r="EY24" s="682" t="s">
        <v>473</v>
      </c>
      <c r="EZ24" s="684" t="s">
        <v>477</v>
      </c>
      <c r="FA24" s="684" t="s">
        <v>476</v>
      </c>
      <c r="FB24" s="686"/>
    </row>
    <row r="25" spans="1:158" s="288" customFormat="1" ht="29.25" customHeight="1" thickBot="1" x14ac:dyDescent="0.3">
      <c r="A25" s="728"/>
      <c r="B25" s="730"/>
      <c r="C25" s="730"/>
      <c r="D25" s="730"/>
      <c r="E25" s="730"/>
      <c r="F25" s="394" t="s">
        <v>3</v>
      </c>
      <c r="G25" s="415">
        <f>+AA25+BD25+BF25+CJ25+DN25</f>
        <v>14484708063</v>
      </c>
      <c r="H25" s="414">
        <v>1412790000</v>
      </c>
      <c r="I25" s="415"/>
      <c r="J25" s="415"/>
      <c r="K25" s="415"/>
      <c r="L25" s="415"/>
      <c r="M25" s="415"/>
      <c r="N25" s="415"/>
      <c r="O25" s="415"/>
      <c r="P25" s="415"/>
      <c r="Q25" s="415"/>
      <c r="R25" s="415"/>
      <c r="S25" s="415"/>
      <c r="T25" s="447"/>
      <c r="U25" s="448"/>
      <c r="V25" s="448"/>
      <c r="W25" s="414">
        <v>1412790000</v>
      </c>
      <c r="X25" s="414">
        <v>1412790000</v>
      </c>
      <c r="Y25" s="414">
        <v>1326141063</v>
      </c>
      <c r="Z25" s="448">
        <v>1399790000</v>
      </c>
      <c r="AA25" s="448">
        <v>1326141063</v>
      </c>
      <c r="AB25" s="448">
        <v>2973776000</v>
      </c>
      <c r="AC25" s="448">
        <v>0</v>
      </c>
      <c r="AD25" s="448">
        <v>0</v>
      </c>
      <c r="AE25" s="448">
        <v>408790000</v>
      </c>
      <c r="AF25" s="448">
        <f>408790000-AD25</f>
        <v>408790000</v>
      </c>
      <c r="AG25" s="448">
        <v>1385154150</v>
      </c>
      <c r="AH25" s="448">
        <f>(1793944150-AF25-AD25)</f>
        <v>1385154150</v>
      </c>
      <c r="AI25" s="448">
        <v>557630000</v>
      </c>
      <c r="AJ25" s="448">
        <f>1942784150-AH25-AF25-AD25</f>
        <v>148840000</v>
      </c>
      <c r="AK25" s="415">
        <v>0</v>
      </c>
      <c r="AL25" s="415">
        <f>1942784150-AJ25-AH25-AF25-AD25+5000000</f>
        <v>5000000</v>
      </c>
      <c r="AM25" s="415">
        <v>244731564</v>
      </c>
      <c r="AN25" s="415">
        <v>244731564</v>
      </c>
      <c r="AO25" s="415">
        <v>0</v>
      </c>
      <c r="AP25" s="415"/>
      <c r="AQ25" s="415">
        <v>0</v>
      </c>
      <c r="AR25" s="415"/>
      <c r="AS25" s="415">
        <v>0</v>
      </c>
      <c r="AT25" s="415"/>
      <c r="AU25" s="415">
        <v>5737286</v>
      </c>
      <c r="AV25" s="415"/>
      <c r="AW25" s="415">
        <v>0</v>
      </c>
      <c r="AX25" s="415"/>
      <c r="AY25" s="415">
        <v>0</v>
      </c>
      <c r="AZ25" s="449"/>
      <c r="BA25" s="414">
        <f>AY25+AW25+AU25+AS25+AQ25+AO25+AM25+AK25+AI25+AG25+AE25+AC25</f>
        <v>2602043000</v>
      </c>
      <c r="BB25" s="442">
        <f t="shared" si="98"/>
        <v>2596305714</v>
      </c>
      <c r="BC25" s="415">
        <f t="shared" si="98"/>
        <v>2192515714</v>
      </c>
      <c r="BD25" s="414">
        <f t="shared" ref="BD25:BD28" si="103">AE25+AG25+AI25+AK25+AM25+AO25+AQ25+AS25+AU25+AW25+AY25+AC25</f>
        <v>2602043000</v>
      </c>
      <c r="BE25" s="442">
        <f>AD25+AF25+AH25+AJ25+AL25+AN25</f>
        <v>2192515714</v>
      </c>
      <c r="BF25" s="415">
        <v>4122493000</v>
      </c>
      <c r="BG25" s="449">
        <v>1515392000</v>
      </c>
      <c r="BH25" s="415">
        <v>791006000</v>
      </c>
      <c r="BI25" s="415"/>
      <c r="BJ25" s="415"/>
      <c r="BK25" s="415"/>
      <c r="BL25" s="415"/>
      <c r="BM25" s="415"/>
      <c r="BN25" s="415"/>
      <c r="BO25" s="415"/>
      <c r="BP25" s="415"/>
      <c r="BQ25" s="415"/>
      <c r="BR25" s="415"/>
      <c r="BS25" s="415"/>
      <c r="BT25" s="415"/>
      <c r="BU25" s="415"/>
      <c r="BV25" s="415"/>
      <c r="BW25" s="415"/>
      <c r="BX25" s="415"/>
      <c r="BY25" s="415"/>
      <c r="BZ25" s="415"/>
      <c r="CA25" s="415"/>
      <c r="CB25" s="415"/>
      <c r="CC25" s="415"/>
      <c r="CD25" s="415"/>
      <c r="CE25" s="414">
        <v>0</v>
      </c>
      <c r="CF25" s="442">
        <v>0</v>
      </c>
      <c r="CG25" s="442">
        <v>791006000</v>
      </c>
      <c r="CH25" s="414">
        <v>0</v>
      </c>
      <c r="CI25" s="442">
        <v>791006000</v>
      </c>
      <c r="CJ25" s="415">
        <v>4321368000</v>
      </c>
      <c r="CK25" s="415"/>
      <c r="CL25" s="415"/>
      <c r="CM25" s="415"/>
      <c r="CN25" s="415"/>
      <c r="CO25" s="415"/>
      <c r="CP25" s="415"/>
      <c r="CQ25" s="415"/>
      <c r="CR25" s="415"/>
      <c r="CS25" s="415"/>
      <c r="CT25" s="415"/>
      <c r="CU25" s="415"/>
      <c r="CV25" s="415"/>
      <c r="CW25" s="415"/>
      <c r="CX25" s="415"/>
      <c r="CY25" s="415"/>
      <c r="CZ25" s="415"/>
      <c r="DA25" s="415"/>
      <c r="DB25" s="415"/>
      <c r="DC25" s="415"/>
      <c r="DD25" s="415"/>
      <c r="DE25" s="415"/>
      <c r="DF25" s="415"/>
      <c r="DG25" s="415"/>
      <c r="DH25" s="415"/>
      <c r="DI25" s="414">
        <v>0</v>
      </c>
      <c r="DJ25" s="442">
        <v>0</v>
      </c>
      <c r="DK25" s="442">
        <v>0</v>
      </c>
      <c r="DL25" s="414">
        <v>0</v>
      </c>
      <c r="DM25" s="442">
        <v>0</v>
      </c>
      <c r="DN25" s="415">
        <v>2112663000</v>
      </c>
      <c r="DO25" s="304"/>
      <c r="DP25" s="304"/>
      <c r="DQ25" s="304"/>
      <c r="DR25" s="304"/>
      <c r="DS25" s="304"/>
      <c r="DT25" s="304"/>
      <c r="DU25" s="304"/>
      <c r="DV25" s="304"/>
      <c r="DW25" s="304"/>
      <c r="DX25" s="304"/>
      <c r="DY25" s="304"/>
      <c r="DZ25" s="304"/>
      <c r="EA25" s="304"/>
      <c r="EB25" s="304"/>
      <c r="EC25" s="304"/>
      <c r="ED25" s="304"/>
      <c r="EE25" s="304"/>
      <c r="EF25" s="304"/>
      <c r="EG25" s="304"/>
      <c r="EH25" s="304"/>
      <c r="EI25" s="304"/>
      <c r="EJ25" s="304"/>
      <c r="EK25" s="304"/>
      <c r="EL25" s="304"/>
      <c r="EM25" s="347">
        <f t="shared" si="96"/>
        <v>0</v>
      </c>
      <c r="EN25" s="332">
        <f t="shared" si="99"/>
        <v>0</v>
      </c>
      <c r="EO25" s="332">
        <f t="shared" si="100"/>
        <v>0</v>
      </c>
      <c r="EP25" s="333">
        <f t="shared" si="101"/>
        <v>0</v>
      </c>
      <c r="EQ25" s="332">
        <f t="shared" si="102"/>
        <v>0</v>
      </c>
      <c r="ER25" s="461">
        <v>0</v>
      </c>
      <c r="ES25" s="459">
        <f t="shared" si="15"/>
        <v>0.84447517184796361</v>
      </c>
      <c r="ET25" s="460">
        <f t="shared" si="16"/>
        <v>0.84261317510894329</v>
      </c>
      <c r="EU25" s="460">
        <f t="shared" si="17"/>
        <v>0.88052364828817009</v>
      </c>
      <c r="EV25" s="462">
        <f t="shared" si="66"/>
        <v>0.24292217431624463</v>
      </c>
      <c r="EW25" s="685"/>
      <c r="EX25" s="682"/>
      <c r="EY25" s="682"/>
      <c r="EZ25" s="684"/>
      <c r="FA25" s="684"/>
      <c r="FB25" s="686"/>
    </row>
    <row r="26" spans="1:158" s="288" customFormat="1" ht="29.25" customHeight="1" thickBot="1" x14ac:dyDescent="0.3">
      <c r="A26" s="728"/>
      <c r="B26" s="730"/>
      <c r="C26" s="730"/>
      <c r="D26" s="730"/>
      <c r="E26" s="730"/>
      <c r="F26" s="395" t="s">
        <v>305</v>
      </c>
      <c r="G26" s="415"/>
      <c r="H26" s="456"/>
      <c r="I26" s="415"/>
      <c r="J26" s="415"/>
      <c r="K26" s="415"/>
      <c r="L26" s="415"/>
      <c r="M26" s="415"/>
      <c r="N26" s="415"/>
      <c r="O26" s="415"/>
      <c r="P26" s="415"/>
      <c r="Q26" s="415"/>
      <c r="R26" s="415"/>
      <c r="S26" s="415"/>
      <c r="T26" s="447"/>
      <c r="U26" s="448"/>
      <c r="V26" s="448"/>
      <c r="W26" s="456"/>
      <c r="X26" s="456"/>
      <c r="Y26" s="456"/>
      <c r="Z26" s="448"/>
      <c r="AA26" s="448"/>
      <c r="AB26" s="448"/>
      <c r="AC26" s="415">
        <v>0</v>
      </c>
      <c r="AD26" s="415">
        <v>0</v>
      </c>
      <c r="AE26" s="448">
        <v>0</v>
      </c>
      <c r="AF26" s="415">
        <v>0</v>
      </c>
      <c r="AG26" s="415">
        <v>38410320</v>
      </c>
      <c r="AH26" s="415">
        <v>38410320</v>
      </c>
      <c r="AI26" s="415">
        <f>121559153-AG26</f>
        <v>83148833</v>
      </c>
      <c r="AJ26" s="415">
        <f>121559153-AH26</f>
        <v>83148833</v>
      </c>
      <c r="AK26" s="415">
        <v>253856212</v>
      </c>
      <c r="AL26" s="415">
        <f>375415365-AJ26-AH26-AF26-AD26-5062267</f>
        <v>248793945</v>
      </c>
      <c r="AM26" s="415">
        <v>303351665</v>
      </c>
      <c r="AN26" s="415">
        <v>303351665</v>
      </c>
      <c r="AO26" s="415">
        <v>0</v>
      </c>
      <c r="AP26" s="415"/>
      <c r="AQ26" s="415">
        <v>0</v>
      </c>
      <c r="AR26" s="415"/>
      <c r="AS26" s="415">
        <v>0</v>
      </c>
      <c r="AT26" s="415"/>
      <c r="AU26" s="415">
        <v>0</v>
      </c>
      <c r="AV26" s="415"/>
      <c r="AW26" s="415">
        <v>0</v>
      </c>
      <c r="AX26" s="415"/>
      <c r="AY26" s="415">
        <v>0</v>
      </c>
      <c r="AZ26" s="449"/>
      <c r="BA26" s="414">
        <f>AY26+AW26+AU26+AS26+AQ26+AO26+AM26+AK26+AI26+AG26+AE26+AC26</f>
        <v>678767030</v>
      </c>
      <c r="BB26" s="442">
        <f t="shared" si="98"/>
        <v>678767030</v>
      </c>
      <c r="BC26" s="442">
        <f t="shared" si="98"/>
        <v>673704763</v>
      </c>
      <c r="BD26" s="414">
        <f t="shared" si="103"/>
        <v>678767030</v>
      </c>
      <c r="BE26" s="442">
        <f>AD26+AF26+AH26+AJ26+AL26+AN26</f>
        <v>673704763</v>
      </c>
      <c r="BF26" s="415">
        <v>0</v>
      </c>
      <c r="BG26" s="449"/>
      <c r="BH26" s="415"/>
      <c r="BI26" s="415"/>
      <c r="BJ26" s="415"/>
      <c r="BK26" s="415"/>
      <c r="BL26" s="415"/>
      <c r="BM26" s="415"/>
      <c r="BN26" s="415"/>
      <c r="BO26" s="415"/>
      <c r="BP26" s="415"/>
      <c r="BQ26" s="415"/>
      <c r="BR26" s="415"/>
      <c r="BS26" s="415"/>
      <c r="BT26" s="415"/>
      <c r="BU26" s="415"/>
      <c r="BV26" s="415"/>
      <c r="BW26" s="415"/>
      <c r="BX26" s="415"/>
      <c r="BY26" s="415"/>
      <c r="BZ26" s="415"/>
      <c r="CA26" s="415"/>
      <c r="CB26" s="415"/>
      <c r="CC26" s="415"/>
      <c r="CD26" s="415"/>
      <c r="CE26" s="414"/>
      <c r="CF26" s="442"/>
      <c r="CG26" s="442"/>
      <c r="CH26" s="414"/>
      <c r="CI26" s="442"/>
      <c r="CJ26" s="415">
        <v>0</v>
      </c>
      <c r="CK26" s="415"/>
      <c r="CL26" s="415"/>
      <c r="CM26" s="415"/>
      <c r="CN26" s="415"/>
      <c r="CO26" s="415"/>
      <c r="CP26" s="415"/>
      <c r="CQ26" s="415"/>
      <c r="CR26" s="415"/>
      <c r="CS26" s="415"/>
      <c r="CT26" s="415"/>
      <c r="CU26" s="415"/>
      <c r="CV26" s="415"/>
      <c r="CW26" s="415"/>
      <c r="CX26" s="415"/>
      <c r="CY26" s="415"/>
      <c r="CZ26" s="415"/>
      <c r="DA26" s="415"/>
      <c r="DB26" s="415"/>
      <c r="DC26" s="415"/>
      <c r="DD26" s="415"/>
      <c r="DE26" s="415"/>
      <c r="DF26" s="415"/>
      <c r="DG26" s="415"/>
      <c r="DH26" s="415"/>
      <c r="DI26" s="414"/>
      <c r="DJ26" s="442"/>
      <c r="DK26" s="442"/>
      <c r="DL26" s="414"/>
      <c r="DM26" s="442"/>
      <c r="DN26" s="415">
        <v>0</v>
      </c>
      <c r="DO26" s="304"/>
      <c r="DP26" s="304"/>
      <c r="DQ26" s="304"/>
      <c r="DR26" s="304"/>
      <c r="DS26" s="304"/>
      <c r="DT26" s="304"/>
      <c r="DU26" s="304"/>
      <c r="DV26" s="304"/>
      <c r="DW26" s="304"/>
      <c r="DX26" s="304"/>
      <c r="DY26" s="304"/>
      <c r="DZ26" s="304"/>
      <c r="EA26" s="304"/>
      <c r="EB26" s="304"/>
      <c r="EC26" s="304"/>
      <c r="ED26" s="304"/>
      <c r="EE26" s="304"/>
      <c r="EF26" s="304"/>
      <c r="EG26" s="304"/>
      <c r="EH26" s="304"/>
      <c r="EI26" s="304"/>
      <c r="EJ26" s="304"/>
      <c r="EK26" s="304"/>
      <c r="EL26" s="304"/>
      <c r="EM26" s="347">
        <f t="shared" ref="EM26:EM29" si="104">EI26+EG26+EE26+EC26+EA26+DY26+DW26+DU26+DS26+DQ26+DO26+EK26</f>
        <v>0</v>
      </c>
      <c r="EN26" s="332">
        <f t="shared" si="99"/>
        <v>0</v>
      </c>
      <c r="EO26" s="332">
        <f t="shared" si="100"/>
        <v>0</v>
      </c>
      <c r="EP26" s="328">
        <f t="shared" ref="EP26:EP27" si="105">DQ26+DS26+DU26+DW26+DY26+EA26+EC26+EE26+EG26+EI26+EK26</f>
        <v>0</v>
      </c>
      <c r="EQ26" s="332">
        <f t="shared" si="102"/>
        <v>0</v>
      </c>
      <c r="ER26" s="461">
        <f>+AN26/AM26</f>
        <v>1</v>
      </c>
      <c r="ES26" s="459">
        <f t="shared" si="15"/>
        <v>0.99254196686600993</v>
      </c>
      <c r="ET26" s="460">
        <f t="shared" si="16"/>
        <v>0.99254196686600993</v>
      </c>
      <c r="EU26" s="460">
        <f t="shared" si="17"/>
        <v>0.99254196686600993</v>
      </c>
      <c r="EV26" s="462" t="e">
        <f t="shared" si="66"/>
        <v>#DIV/0!</v>
      </c>
      <c r="EW26" s="685"/>
      <c r="EX26" s="682"/>
      <c r="EY26" s="682"/>
      <c r="EZ26" s="684"/>
      <c r="FA26" s="684"/>
      <c r="FB26" s="686"/>
    </row>
    <row r="27" spans="1:158" s="4" customFormat="1" ht="29.25" customHeight="1" thickBot="1" x14ac:dyDescent="0.3">
      <c r="A27" s="728"/>
      <c r="B27" s="730"/>
      <c r="C27" s="730"/>
      <c r="D27" s="730"/>
      <c r="E27" s="730"/>
      <c r="F27" s="396" t="s">
        <v>42</v>
      </c>
      <c r="G27" s="454">
        <f>+AA27+BD27+BF27+CJ27+DN27</f>
        <v>0</v>
      </c>
      <c r="H27" s="414">
        <v>0</v>
      </c>
      <c r="I27" s="46"/>
      <c r="J27" s="46"/>
      <c r="K27" s="46"/>
      <c r="L27" s="46"/>
      <c r="M27" s="46"/>
      <c r="N27" s="46"/>
      <c r="O27" s="46"/>
      <c r="P27" s="46"/>
      <c r="Q27" s="46"/>
      <c r="R27" s="46"/>
      <c r="S27" s="46"/>
      <c r="T27" s="370"/>
      <c r="U27" s="46"/>
      <c r="V27" s="46"/>
      <c r="W27" s="414">
        <v>0</v>
      </c>
      <c r="X27" s="414">
        <v>0</v>
      </c>
      <c r="Y27" s="414">
        <v>0</v>
      </c>
      <c r="Z27" s="414">
        <v>0</v>
      </c>
      <c r="AA27" s="414">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370"/>
      <c r="BA27" s="454">
        <f>AY27+AW27+AU27+AS27+AQ27+AO27+AM27+AK27+AI27+AG27+AE27+AC27</f>
        <v>0</v>
      </c>
      <c r="BB27" s="46">
        <f t="shared" si="98"/>
        <v>0</v>
      </c>
      <c r="BC27" s="46">
        <f t="shared" si="98"/>
        <v>0</v>
      </c>
      <c r="BD27" s="455">
        <f t="shared" si="103"/>
        <v>0</v>
      </c>
      <c r="BE27" s="46">
        <f>AD27+AF27+AH27+AJ27+AL27+AN27</f>
        <v>0</v>
      </c>
      <c r="BF27" s="46">
        <v>0</v>
      </c>
      <c r="BG27" s="46">
        <v>0</v>
      </c>
      <c r="BH27" s="46">
        <v>0</v>
      </c>
      <c r="BI27" s="46"/>
      <c r="BJ27" s="46"/>
      <c r="BK27" s="370"/>
      <c r="BL27" s="46"/>
      <c r="BM27" s="370"/>
      <c r="BN27" s="370"/>
      <c r="BO27" s="46"/>
      <c r="BP27" s="46"/>
      <c r="BQ27" s="46"/>
      <c r="BR27" s="46"/>
      <c r="BS27" s="46"/>
      <c r="BT27" s="46"/>
      <c r="BU27" s="46"/>
      <c r="BV27" s="46"/>
      <c r="BW27" s="46"/>
      <c r="BX27" s="46"/>
      <c r="BY27" s="46"/>
      <c r="BZ27" s="46"/>
      <c r="CA27" s="46"/>
      <c r="CB27" s="46"/>
      <c r="CC27" s="46"/>
      <c r="CD27" s="46"/>
      <c r="CE27" s="370">
        <v>0</v>
      </c>
      <c r="CF27" s="46">
        <v>0</v>
      </c>
      <c r="CG27" s="370">
        <v>0</v>
      </c>
      <c r="CH27" s="455">
        <v>0</v>
      </c>
      <c r="CI27" s="46">
        <v>0</v>
      </c>
      <c r="CJ27" s="46">
        <v>0</v>
      </c>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370">
        <v>0</v>
      </c>
      <c r="DJ27" s="46">
        <v>0</v>
      </c>
      <c r="DK27" s="370">
        <v>0</v>
      </c>
      <c r="DL27" s="455">
        <v>0</v>
      </c>
      <c r="DM27" s="46">
        <v>0</v>
      </c>
      <c r="DN27" s="46">
        <v>0</v>
      </c>
      <c r="DO27" s="305"/>
      <c r="DP27" s="305"/>
      <c r="DQ27" s="305"/>
      <c r="DR27" s="305"/>
      <c r="DS27" s="305"/>
      <c r="DT27" s="305"/>
      <c r="DU27" s="305"/>
      <c r="DV27" s="305"/>
      <c r="DW27" s="305"/>
      <c r="DX27" s="305"/>
      <c r="DY27" s="305"/>
      <c r="DZ27" s="305"/>
      <c r="EA27" s="305"/>
      <c r="EB27" s="305"/>
      <c r="EC27" s="305"/>
      <c r="ED27" s="305"/>
      <c r="EE27" s="305"/>
      <c r="EF27" s="305"/>
      <c r="EG27" s="305"/>
      <c r="EH27" s="305"/>
      <c r="EI27" s="305"/>
      <c r="EJ27" s="305"/>
      <c r="EK27" s="305"/>
      <c r="EL27" s="305"/>
      <c r="EM27" s="350">
        <f t="shared" si="104"/>
        <v>0</v>
      </c>
      <c r="EN27" s="397">
        <f t="shared" si="99"/>
        <v>0</v>
      </c>
      <c r="EO27" s="334">
        <f t="shared" si="100"/>
        <v>0</v>
      </c>
      <c r="EP27" s="335">
        <f t="shared" si="105"/>
        <v>0</v>
      </c>
      <c r="EQ27" s="350">
        <f t="shared" si="102"/>
        <v>0</v>
      </c>
      <c r="ER27" s="461">
        <v>0</v>
      </c>
      <c r="ES27" s="459" t="e">
        <f t="shared" si="15"/>
        <v>#DIV/0!</v>
      </c>
      <c r="ET27" s="460" t="e">
        <f t="shared" si="16"/>
        <v>#DIV/0!</v>
      </c>
      <c r="EU27" s="460" t="e">
        <f t="shared" si="17"/>
        <v>#DIV/0!</v>
      </c>
      <c r="EV27" s="462" t="e">
        <f t="shared" si="66"/>
        <v>#DIV/0!</v>
      </c>
      <c r="EW27" s="685"/>
      <c r="EX27" s="682"/>
      <c r="EY27" s="682"/>
      <c r="EZ27" s="684"/>
      <c r="FA27" s="684"/>
      <c r="FB27" s="686"/>
    </row>
    <row r="28" spans="1:158" s="4" customFormat="1" ht="29.25" customHeight="1" thickBot="1" x14ac:dyDescent="0.3">
      <c r="A28" s="728"/>
      <c r="B28" s="730"/>
      <c r="C28" s="730"/>
      <c r="D28" s="730"/>
      <c r="E28" s="730"/>
      <c r="F28" s="394" t="s">
        <v>4</v>
      </c>
      <c r="G28" s="415">
        <f>+AA28+BD28+BF28+CJ28+DN28</f>
        <v>592742679</v>
      </c>
      <c r="H28" s="46">
        <v>0</v>
      </c>
      <c r="I28" s="415">
        <v>0</v>
      </c>
      <c r="J28" s="415">
        <v>0</v>
      </c>
      <c r="K28" s="415">
        <v>0</v>
      </c>
      <c r="L28" s="415">
        <v>0</v>
      </c>
      <c r="M28" s="415">
        <v>0</v>
      </c>
      <c r="N28" s="415">
        <v>0</v>
      </c>
      <c r="O28" s="415">
        <v>0</v>
      </c>
      <c r="P28" s="415">
        <v>0</v>
      </c>
      <c r="Q28" s="415">
        <v>0</v>
      </c>
      <c r="R28" s="415">
        <v>0</v>
      </c>
      <c r="S28" s="415">
        <v>0</v>
      </c>
      <c r="T28" s="447">
        <v>0</v>
      </c>
      <c r="U28" s="448">
        <v>0</v>
      </c>
      <c r="V28" s="448">
        <v>0</v>
      </c>
      <c r="W28" s="46">
        <v>0</v>
      </c>
      <c r="X28" s="46">
        <v>0</v>
      </c>
      <c r="Y28" s="46">
        <v>0</v>
      </c>
      <c r="Z28" s="448">
        <v>0</v>
      </c>
      <c r="AA28" s="448">
        <v>0</v>
      </c>
      <c r="AB28" s="448">
        <v>592742679</v>
      </c>
      <c r="AC28" s="415">
        <v>91072667</v>
      </c>
      <c r="AD28" s="415">
        <v>91072667</v>
      </c>
      <c r="AE28" s="415">
        <f>205477567-AC28</f>
        <v>114404900</v>
      </c>
      <c r="AF28" s="415">
        <f>205477567-AD28</f>
        <v>114404900</v>
      </c>
      <c r="AG28" s="415">
        <v>43650195</v>
      </c>
      <c r="AH28" s="415">
        <f>249127762-AF28-AD28</f>
        <v>43650195</v>
      </c>
      <c r="AI28" s="415">
        <v>52211433</v>
      </c>
      <c r="AJ28" s="415">
        <f>301339195-AH28-AF28-AD28</f>
        <v>52211433</v>
      </c>
      <c r="AK28" s="415">
        <v>38507889</v>
      </c>
      <c r="AL28" s="415">
        <f>339847084-AJ28-AH28-AF28-AD28</f>
        <v>38507889</v>
      </c>
      <c r="AM28" s="415">
        <v>92916500</v>
      </c>
      <c r="AN28" s="415">
        <v>91626500</v>
      </c>
      <c r="AO28" s="415">
        <v>63971107</v>
      </c>
      <c r="AP28" s="415"/>
      <c r="AQ28" s="415">
        <v>16343157</v>
      </c>
      <c r="AR28" s="415"/>
      <c r="AS28" s="415">
        <v>23000000</v>
      </c>
      <c r="AT28" s="415"/>
      <c r="AU28" s="415">
        <v>23000000</v>
      </c>
      <c r="AV28" s="415"/>
      <c r="AW28" s="415">
        <v>23000000</v>
      </c>
      <c r="AX28" s="415"/>
      <c r="AY28" s="415">
        <v>10664831</v>
      </c>
      <c r="AZ28" s="449"/>
      <c r="BA28" s="414">
        <f>AY28+AW28+AU28+AS28+AQ28+AO28+AM28+AK28+AI28+AG28+AE28+AC28</f>
        <v>592742679</v>
      </c>
      <c r="BB28" s="442">
        <f t="shared" si="98"/>
        <v>432763584</v>
      </c>
      <c r="BC28" s="442">
        <f t="shared" si="98"/>
        <v>431473584</v>
      </c>
      <c r="BD28" s="414">
        <f t="shared" si="103"/>
        <v>592742679</v>
      </c>
      <c r="BE28" s="442">
        <f>AD28+AF28+AH28+AJ28+AL28+AN28</f>
        <v>431473584</v>
      </c>
      <c r="BF28" s="415">
        <v>0</v>
      </c>
      <c r="BG28" s="449">
        <v>0</v>
      </c>
      <c r="BH28" s="415">
        <v>0</v>
      </c>
      <c r="BI28" s="415"/>
      <c r="BJ28" s="415"/>
      <c r="BK28" s="415"/>
      <c r="BL28" s="415"/>
      <c r="BM28" s="415"/>
      <c r="BN28" s="415"/>
      <c r="BO28" s="415"/>
      <c r="BP28" s="415"/>
      <c r="BQ28" s="415"/>
      <c r="BR28" s="415"/>
      <c r="BS28" s="415"/>
      <c r="BT28" s="415"/>
      <c r="BU28" s="415"/>
      <c r="BV28" s="415"/>
      <c r="BW28" s="415"/>
      <c r="BX28" s="415"/>
      <c r="BY28" s="415"/>
      <c r="BZ28" s="415"/>
      <c r="CA28" s="415"/>
      <c r="CB28" s="415"/>
      <c r="CC28" s="415"/>
      <c r="CD28" s="415"/>
      <c r="CE28" s="414">
        <v>0</v>
      </c>
      <c r="CF28" s="442">
        <v>0</v>
      </c>
      <c r="CG28" s="442">
        <v>0</v>
      </c>
      <c r="CH28" s="414">
        <v>0</v>
      </c>
      <c r="CI28" s="442">
        <v>0</v>
      </c>
      <c r="CJ28" s="415">
        <v>0</v>
      </c>
      <c r="CK28" s="415"/>
      <c r="CL28" s="415"/>
      <c r="CM28" s="415"/>
      <c r="CN28" s="415"/>
      <c r="CO28" s="415"/>
      <c r="CP28" s="415"/>
      <c r="CQ28" s="415"/>
      <c r="CR28" s="415"/>
      <c r="CS28" s="415"/>
      <c r="CT28" s="415"/>
      <c r="CU28" s="415"/>
      <c r="CV28" s="415"/>
      <c r="CW28" s="415"/>
      <c r="CX28" s="415"/>
      <c r="CY28" s="415"/>
      <c r="CZ28" s="415"/>
      <c r="DA28" s="415"/>
      <c r="DB28" s="415"/>
      <c r="DC28" s="415"/>
      <c r="DD28" s="415"/>
      <c r="DE28" s="415"/>
      <c r="DF28" s="415"/>
      <c r="DG28" s="415"/>
      <c r="DH28" s="415"/>
      <c r="DI28" s="414">
        <v>0</v>
      </c>
      <c r="DJ28" s="442">
        <v>0</v>
      </c>
      <c r="DK28" s="442">
        <v>0</v>
      </c>
      <c r="DL28" s="414">
        <v>0</v>
      </c>
      <c r="DM28" s="442">
        <v>0</v>
      </c>
      <c r="DN28" s="415">
        <v>0</v>
      </c>
      <c r="DO28" s="302"/>
      <c r="DP28" s="302"/>
      <c r="DQ28" s="302"/>
      <c r="DR28" s="302"/>
      <c r="DS28" s="302"/>
      <c r="DT28" s="302"/>
      <c r="DU28" s="302"/>
      <c r="DV28" s="302"/>
      <c r="DW28" s="302"/>
      <c r="DX28" s="302"/>
      <c r="DY28" s="302"/>
      <c r="DZ28" s="302"/>
      <c r="EA28" s="302"/>
      <c r="EB28" s="302"/>
      <c r="EC28" s="302"/>
      <c r="ED28" s="302"/>
      <c r="EE28" s="302"/>
      <c r="EF28" s="302"/>
      <c r="EG28" s="302"/>
      <c r="EH28" s="302"/>
      <c r="EI28" s="302"/>
      <c r="EJ28" s="302"/>
      <c r="EK28" s="302"/>
      <c r="EL28" s="302"/>
      <c r="EM28" s="350">
        <f t="shared" si="104"/>
        <v>0</v>
      </c>
      <c r="EN28" s="332">
        <f t="shared" si="99"/>
        <v>0</v>
      </c>
      <c r="EO28" s="332">
        <f t="shared" si="100"/>
        <v>0</v>
      </c>
      <c r="EP28" s="328">
        <f t="shared" ref="EP28:EP29" si="106">DQ28+DS28+DU28+DW28+DY28+EA28+EC28+EE28+EG28+EI28+EK28+DO28</f>
        <v>0</v>
      </c>
      <c r="EQ28" s="332">
        <f t="shared" si="102"/>
        <v>0</v>
      </c>
      <c r="ER28" s="461">
        <f>+AN28/AM28</f>
        <v>0.98611656702523232</v>
      </c>
      <c r="ES28" s="459">
        <f t="shared" si="15"/>
        <v>0.99701915769326843</v>
      </c>
      <c r="ET28" s="460">
        <f t="shared" si="16"/>
        <v>0.72792731025868984</v>
      </c>
      <c r="EU28" s="460">
        <f t="shared" si="17"/>
        <v>0.99701915769326843</v>
      </c>
      <c r="EV28" s="462">
        <f t="shared" si="66"/>
        <v>0.72792731025868984</v>
      </c>
      <c r="EW28" s="685"/>
      <c r="EX28" s="682"/>
      <c r="EY28" s="682"/>
      <c r="EZ28" s="684"/>
      <c r="FA28" s="684"/>
      <c r="FB28" s="686"/>
    </row>
    <row r="29" spans="1:158" s="4" customFormat="1" ht="29.25" customHeight="1" thickBot="1" x14ac:dyDescent="0.3">
      <c r="A29" s="728"/>
      <c r="B29" s="730"/>
      <c r="C29" s="730"/>
      <c r="D29" s="730"/>
      <c r="E29" s="730"/>
      <c r="F29" s="396" t="s">
        <v>43</v>
      </c>
      <c r="G29" s="454">
        <f>+G24+G27</f>
        <v>8</v>
      </c>
      <c r="H29" s="454">
        <f>+H24+H27</f>
        <v>1</v>
      </c>
      <c r="I29" s="46"/>
      <c r="J29" s="46"/>
      <c r="K29" s="46"/>
      <c r="L29" s="46"/>
      <c r="M29" s="46"/>
      <c r="N29" s="46"/>
      <c r="O29" s="46"/>
      <c r="P29" s="46"/>
      <c r="Q29" s="46"/>
      <c r="R29" s="46"/>
      <c r="S29" s="46"/>
      <c r="T29" s="370"/>
      <c r="U29" s="46"/>
      <c r="V29" s="46"/>
      <c r="W29" s="454">
        <f t="shared" ref="W29:AK29" si="107">+W24+W27</f>
        <v>1</v>
      </c>
      <c r="X29" s="454">
        <f t="shared" si="107"/>
        <v>1</v>
      </c>
      <c r="Y29" s="454">
        <f t="shared" si="107"/>
        <v>1</v>
      </c>
      <c r="Z29" s="454">
        <f t="shared" si="107"/>
        <v>1</v>
      </c>
      <c r="AA29" s="454">
        <f t="shared" si="107"/>
        <v>1</v>
      </c>
      <c r="AB29" s="454">
        <f t="shared" si="107"/>
        <v>2</v>
      </c>
      <c r="AC29" s="454">
        <f t="shared" si="107"/>
        <v>0.17</v>
      </c>
      <c r="AD29" s="454">
        <f t="shared" si="107"/>
        <v>0.15</v>
      </c>
      <c r="AE29" s="454">
        <f t="shared" si="107"/>
        <v>0.17</v>
      </c>
      <c r="AF29" s="454">
        <f t="shared" si="107"/>
        <v>0.11</v>
      </c>
      <c r="AG29" s="454">
        <f t="shared" si="107"/>
        <v>0.17</v>
      </c>
      <c r="AH29" s="454">
        <f t="shared" si="107"/>
        <v>0.1</v>
      </c>
      <c r="AI29" s="454">
        <f t="shared" si="107"/>
        <v>0.17</v>
      </c>
      <c r="AJ29" s="454">
        <f t="shared" si="107"/>
        <v>0.15</v>
      </c>
      <c r="AK29" s="454">
        <f t="shared" si="107"/>
        <v>0.14000000000000001</v>
      </c>
      <c r="AL29" s="454">
        <f t="shared" ref="AL29:AO29" si="108">+AL24+AL27</f>
        <v>0.14000000000000001</v>
      </c>
      <c r="AM29" s="454">
        <f t="shared" si="108"/>
        <v>0.17</v>
      </c>
      <c r="AN29" s="454">
        <f t="shared" si="108"/>
        <v>0.35</v>
      </c>
      <c r="AO29" s="454">
        <f t="shared" si="108"/>
        <v>0.17</v>
      </c>
      <c r="AP29" s="46"/>
      <c r="AQ29" s="454">
        <f t="shared" ref="AQ29" si="109">+AQ24+AQ27</f>
        <v>0.17</v>
      </c>
      <c r="AR29" s="46"/>
      <c r="AS29" s="454">
        <f t="shared" ref="AS29" si="110">+AS24+AS27</f>
        <v>0.17</v>
      </c>
      <c r="AT29" s="46"/>
      <c r="AU29" s="454">
        <f t="shared" ref="AU29" si="111">+AU24+AU27</f>
        <v>0.17</v>
      </c>
      <c r="AV29" s="46"/>
      <c r="AW29" s="454">
        <f t="shared" ref="AW29" si="112">+AW24+AW27</f>
        <v>0.17</v>
      </c>
      <c r="AX29" s="46"/>
      <c r="AY29" s="454">
        <f t="shared" ref="AY29" si="113">+AY24+AY27</f>
        <v>0.16</v>
      </c>
      <c r="AZ29" s="370"/>
      <c r="BA29" s="454">
        <f t="shared" ref="BA29:BE30" si="114">+BA24+BA27</f>
        <v>1.9999999999999996</v>
      </c>
      <c r="BB29" s="46">
        <f t="shared" si="114"/>
        <v>0.9900000000000001</v>
      </c>
      <c r="BC29" s="46">
        <f t="shared" si="114"/>
        <v>1</v>
      </c>
      <c r="BD29" s="455">
        <f t="shared" si="114"/>
        <v>1.9999999999999998</v>
      </c>
      <c r="BE29" s="46">
        <f t="shared" si="114"/>
        <v>1</v>
      </c>
      <c r="BF29" s="46">
        <f t="shared" ref="BF29" si="115">+BF24+BF27</f>
        <v>2</v>
      </c>
      <c r="BG29" s="46">
        <v>8</v>
      </c>
      <c r="BH29" s="46">
        <v>4</v>
      </c>
      <c r="BI29" s="46"/>
      <c r="BJ29" s="46"/>
      <c r="BK29" s="370"/>
      <c r="BL29" s="46"/>
      <c r="BM29" s="370"/>
      <c r="BN29" s="370"/>
      <c r="BO29" s="46"/>
      <c r="BP29" s="46"/>
      <c r="BQ29" s="46"/>
      <c r="BR29" s="46"/>
      <c r="BS29" s="46"/>
      <c r="BT29" s="46"/>
      <c r="BU29" s="46"/>
      <c r="BV29" s="46"/>
      <c r="BW29" s="46"/>
      <c r="BX29" s="46"/>
      <c r="BY29" s="46"/>
      <c r="BZ29" s="46"/>
      <c r="CA29" s="46"/>
      <c r="CB29" s="46"/>
      <c r="CC29" s="46"/>
      <c r="CD29" s="46"/>
      <c r="CE29" s="370">
        <v>0</v>
      </c>
      <c r="CF29" s="46">
        <v>0</v>
      </c>
      <c r="CG29" s="370">
        <v>4</v>
      </c>
      <c r="CH29" s="455">
        <v>0</v>
      </c>
      <c r="CI29" s="46">
        <v>4</v>
      </c>
      <c r="CJ29" s="46">
        <f t="shared" ref="CJ29" si="116">+CJ24+CJ27</f>
        <v>2</v>
      </c>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370">
        <v>0</v>
      </c>
      <c r="DJ29" s="46">
        <v>0</v>
      </c>
      <c r="DK29" s="370">
        <v>0</v>
      </c>
      <c r="DL29" s="455">
        <v>0</v>
      </c>
      <c r="DM29" s="46">
        <v>0</v>
      </c>
      <c r="DN29" s="46">
        <f t="shared" ref="DN29" si="117">+DN24+DN27</f>
        <v>1</v>
      </c>
      <c r="DO29" s="398"/>
      <c r="DP29" s="398"/>
      <c r="DQ29" s="398"/>
      <c r="DR29" s="398"/>
      <c r="DS29" s="398"/>
      <c r="DT29" s="398"/>
      <c r="DU29" s="398"/>
      <c r="DV29" s="398"/>
      <c r="DW29" s="398"/>
      <c r="DX29" s="398"/>
      <c r="DY29" s="398"/>
      <c r="DZ29" s="398"/>
      <c r="EA29" s="398"/>
      <c r="EB29" s="398"/>
      <c r="EC29" s="398"/>
      <c r="ED29" s="398"/>
      <c r="EE29" s="398"/>
      <c r="EF29" s="398"/>
      <c r="EG29" s="398"/>
      <c r="EH29" s="398"/>
      <c r="EI29" s="398"/>
      <c r="EJ29" s="398"/>
      <c r="EK29" s="398"/>
      <c r="EL29" s="398"/>
      <c r="EM29" s="350">
        <f t="shared" si="104"/>
        <v>0</v>
      </c>
      <c r="EN29" s="334">
        <f t="shared" si="99"/>
        <v>0</v>
      </c>
      <c r="EO29" s="334">
        <f t="shared" si="100"/>
        <v>0</v>
      </c>
      <c r="EP29" s="335">
        <f t="shared" si="106"/>
        <v>0</v>
      </c>
      <c r="EQ29" s="334">
        <f t="shared" ref="EQ29" si="118">DR29+DT29+DV29+DP29</f>
        <v>0</v>
      </c>
      <c r="ER29" s="461">
        <f>+AN29/AM29</f>
        <v>2.0588235294117645</v>
      </c>
      <c r="ES29" s="459">
        <f t="shared" si="15"/>
        <v>1.0101010101010099</v>
      </c>
      <c r="ET29" s="460">
        <f t="shared" si="16"/>
        <v>0.5</v>
      </c>
      <c r="EU29" s="460">
        <f t="shared" si="17"/>
        <v>1.0050251256281406</v>
      </c>
      <c r="EV29" s="462">
        <f t="shared" si="66"/>
        <v>0.25</v>
      </c>
      <c r="EW29" s="685"/>
      <c r="EX29" s="682"/>
      <c r="EY29" s="682"/>
      <c r="EZ29" s="684"/>
      <c r="FA29" s="684"/>
      <c r="FB29" s="686"/>
    </row>
    <row r="30" spans="1:158" s="40" customFormat="1" ht="29.25" customHeight="1" thickBot="1" x14ac:dyDescent="0.3">
      <c r="A30" s="728"/>
      <c r="B30" s="730"/>
      <c r="C30" s="730"/>
      <c r="D30" s="730"/>
      <c r="E30" s="730"/>
      <c r="F30" s="394" t="s">
        <v>45</v>
      </c>
      <c r="G30" s="440">
        <f>+G25+G28</f>
        <v>15077450742</v>
      </c>
      <c r="H30" s="440">
        <f>+H25+H28</f>
        <v>1412790000</v>
      </c>
      <c r="I30" s="440"/>
      <c r="J30" s="440"/>
      <c r="K30" s="440"/>
      <c r="L30" s="440"/>
      <c r="M30" s="440"/>
      <c r="N30" s="440"/>
      <c r="O30" s="440"/>
      <c r="P30" s="440"/>
      <c r="Q30" s="440"/>
      <c r="R30" s="440"/>
      <c r="S30" s="440"/>
      <c r="T30" s="536"/>
      <c r="U30" s="537"/>
      <c r="V30" s="537"/>
      <c r="W30" s="440">
        <f t="shared" ref="W30:AK30" si="119">+W25+W28</f>
        <v>1412790000</v>
      </c>
      <c r="X30" s="440">
        <f t="shared" si="119"/>
        <v>1412790000</v>
      </c>
      <c r="Y30" s="440">
        <f t="shared" si="119"/>
        <v>1326141063</v>
      </c>
      <c r="Z30" s="440">
        <f t="shared" si="119"/>
        <v>1399790000</v>
      </c>
      <c r="AA30" s="440">
        <f t="shared" si="119"/>
        <v>1326141063</v>
      </c>
      <c r="AB30" s="440">
        <f t="shared" si="119"/>
        <v>3566518679</v>
      </c>
      <c r="AC30" s="440">
        <f t="shared" si="119"/>
        <v>91072667</v>
      </c>
      <c r="AD30" s="440">
        <f t="shared" si="119"/>
        <v>91072667</v>
      </c>
      <c r="AE30" s="440">
        <f t="shared" si="119"/>
        <v>523194900</v>
      </c>
      <c r="AF30" s="440">
        <f t="shared" si="119"/>
        <v>523194900</v>
      </c>
      <c r="AG30" s="440">
        <f t="shared" si="119"/>
        <v>1428804345</v>
      </c>
      <c r="AH30" s="440">
        <f t="shared" si="119"/>
        <v>1428804345</v>
      </c>
      <c r="AI30" s="440">
        <f t="shared" si="119"/>
        <v>609841433</v>
      </c>
      <c r="AJ30" s="440">
        <f t="shared" si="119"/>
        <v>201051433</v>
      </c>
      <c r="AK30" s="440">
        <f t="shared" si="119"/>
        <v>38507889</v>
      </c>
      <c r="AL30" s="440">
        <f t="shared" ref="AL30:AO30" si="120">+AL25+AL28</f>
        <v>43507889</v>
      </c>
      <c r="AM30" s="440">
        <f t="shared" si="120"/>
        <v>337648064</v>
      </c>
      <c r="AN30" s="440">
        <f t="shared" si="120"/>
        <v>336358064</v>
      </c>
      <c r="AO30" s="440">
        <f t="shared" si="120"/>
        <v>63971107</v>
      </c>
      <c r="AP30" s="440"/>
      <c r="AQ30" s="440">
        <f t="shared" ref="AQ30" si="121">+AQ25+AQ28</f>
        <v>16343157</v>
      </c>
      <c r="AR30" s="440"/>
      <c r="AS30" s="440">
        <f t="shared" ref="AS30" si="122">+AS25+AS28</f>
        <v>23000000</v>
      </c>
      <c r="AT30" s="440"/>
      <c r="AU30" s="440">
        <f t="shared" ref="AU30" si="123">+AU25+AU28</f>
        <v>28737286</v>
      </c>
      <c r="AV30" s="440"/>
      <c r="AW30" s="440">
        <f t="shared" ref="AW30" si="124">+AW25+AW28</f>
        <v>23000000</v>
      </c>
      <c r="AX30" s="440"/>
      <c r="AY30" s="440">
        <f t="shared" ref="AY30" si="125">+AY25+AY28</f>
        <v>10664831</v>
      </c>
      <c r="AZ30" s="538"/>
      <c r="BA30" s="441">
        <f t="shared" si="114"/>
        <v>3194785679</v>
      </c>
      <c r="BB30" s="453">
        <f t="shared" si="114"/>
        <v>3029069298</v>
      </c>
      <c r="BC30" s="453">
        <f t="shared" si="114"/>
        <v>2623989298</v>
      </c>
      <c r="BD30" s="441">
        <f t="shared" si="114"/>
        <v>3194785679</v>
      </c>
      <c r="BE30" s="453">
        <f t="shared" si="114"/>
        <v>2623989298</v>
      </c>
      <c r="BF30" s="453">
        <f t="shared" ref="BF30" si="126">+BF25+BF28</f>
        <v>4122493000</v>
      </c>
      <c r="BG30" s="538">
        <v>1515392000</v>
      </c>
      <c r="BH30" s="440">
        <v>791006000</v>
      </c>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1">
        <v>0</v>
      </c>
      <c r="CF30" s="453">
        <v>0</v>
      </c>
      <c r="CG30" s="453">
        <v>791006000</v>
      </c>
      <c r="CH30" s="441">
        <v>0</v>
      </c>
      <c r="CI30" s="453">
        <v>791006000</v>
      </c>
      <c r="CJ30" s="453">
        <f t="shared" ref="CJ30" si="127">+CJ25+CJ28</f>
        <v>4321368000</v>
      </c>
      <c r="CK30" s="440"/>
      <c r="CL30" s="440"/>
      <c r="CM30" s="440"/>
      <c r="CN30" s="440"/>
      <c r="CO30" s="440"/>
      <c r="CP30" s="440"/>
      <c r="CQ30" s="440"/>
      <c r="CR30" s="440"/>
      <c r="CS30" s="440"/>
      <c r="CT30" s="440"/>
      <c r="CU30" s="440"/>
      <c r="CV30" s="440"/>
      <c r="CW30" s="440"/>
      <c r="CX30" s="440"/>
      <c r="CY30" s="440"/>
      <c r="CZ30" s="440"/>
      <c r="DA30" s="440"/>
      <c r="DB30" s="440"/>
      <c r="DC30" s="440"/>
      <c r="DD30" s="440"/>
      <c r="DE30" s="440"/>
      <c r="DF30" s="440"/>
      <c r="DG30" s="440"/>
      <c r="DH30" s="440"/>
      <c r="DI30" s="441">
        <v>0</v>
      </c>
      <c r="DJ30" s="453">
        <v>0</v>
      </c>
      <c r="DK30" s="453">
        <v>0</v>
      </c>
      <c r="DL30" s="441">
        <v>0</v>
      </c>
      <c r="DM30" s="453">
        <v>0</v>
      </c>
      <c r="DN30" s="453">
        <f t="shared" ref="DN30" si="128">+DN25+DN28</f>
        <v>2112663000</v>
      </c>
      <c r="DO30" s="403"/>
      <c r="DP30" s="403"/>
      <c r="DQ30" s="403"/>
      <c r="DR30" s="403"/>
      <c r="DS30" s="403"/>
      <c r="DT30" s="403"/>
      <c r="DU30" s="403"/>
      <c r="DV30" s="403"/>
      <c r="DW30" s="403"/>
      <c r="DX30" s="403"/>
      <c r="DY30" s="403"/>
      <c r="DZ30" s="403"/>
      <c r="EA30" s="403"/>
      <c r="EB30" s="403"/>
      <c r="EC30" s="403"/>
      <c r="ED30" s="403"/>
      <c r="EE30" s="403"/>
      <c r="EF30" s="403"/>
      <c r="EG30" s="403"/>
      <c r="EH30" s="403"/>
      <c r="EI30" s="403"/>
      <c r="EJ30" s="403"/>
      <c r="EK30" s="403"/>
      <c r="EL30" s="403"/>
      <c r="EM30" s="400">
        <f t="shared" ref="EM30:EM32" si="129">EK30+EI30+EG30+EE30+EC30+EA30+DY30+DW30+DU30+DS30+DQ30+DO30</f>
        <v>0</v>
      </c>
      <c r="EN30" s="401">
        <f t="shared" si="63"/>
        <v>0</v>
      </c>
      <c r="EO30" s="402">
        <f t="shared" si="64"/>
        <v>0</v>
      </c>
      <c r="EP30" s="401">
        <f t="shared" ref="EP30:EQ30" si="130">+EP25+EP28</f>
        <v>0</v>
      </c>
      <c r="EQ30" s="401">
        <f t="shared" si="130"/>
        <v>0</v>
      </c>
      <c r="ER30" s="578"/>
      <c r="ES30" s="575">
        <f t="shared" si="15"/>
        <v>0.86626915393864978</v>
      </c>
      <c r="ET30" s="576">
        <f t="shared" si="16"/>
        <v>0.82133500073198495</v>
      </c>
      <c r="EU30" s="576">
        <f t="shared" si="17"/>
        <v>0.89190694380013691</v>
      </c>
      <c r="EV30" s="577">
        <f t="shared" si="66"/>
        <v>0.2619892731598486</v>
      </c>
      <c r="EW30" s="685"/>
      <c r="EX30" s="682"/>
      <c r="EY30" s="682"/>
      <c r="EZ30" s="684"/>
      <c r="FA30" s="684"/>
      <c r="FB30" s="686"/>
    </row>
    <row r="31" spans="1:158" s="4" customFormat="1" ht="29.25" customHeight="1" thickBot="1" x14ac:dyDescent="0.3">
      <c r="A31" s="728" t="s">
        <v>400</v>
      </c>
      <c r="B31" s="730">
        <v>4</v>
      </c>
      <c r="C31" s="730" t="s">
        <v>406</v>
      </c>
      <c r="D31" s="730" t="s">
        <v>359</v>
      </c>
      <c r="E31" s="730">
        <v>269</v>
      </c>
      <c r="F31" s="396" t="s">
        <v>41</v>
      </c>
      <c r="G31" s="528">
        <f>+AA31+BD31+BF31+CJ31+DN31</f>
        <v>4700</v>
      </c>
      <c r="H31" s="528">
        <v>491</v>
      </c>
      <c r="I31" s="294"/>
      <c r="J31" s="294"/>
      <c r="K31" s="294"/>
      <c r="L31" s="294"/>
      <c r="M31" s="294"/>
      <c r="N31" s="294"/>
      <c r="O31" s="294"/>
      <c r="P31" s="294"/>
      <c r="Q31" s="294"/>
      <c r="R31" s="294"/>
      <c r="S31" s="294"/>
      <c r="T31" s="36"/>
      <c r="U31" s="294"/>
      <c r="V31" s="294"/>
      <c r="W31" s="528">
        <v>491</v>
      </c>
      <c r="X31" s="528">
        <v>491</v>
      </c>
      <c r="Y31" s="294">
        <v>491</v>
      </c>
      <c r="Z31" s="528">
        <v>491</v>
      </c>
      <c r="AA31" s="294">
        <v>491</v>
      </c>
      <c r="AB31" s="294">
        <v>893</v>
      </c>
      <c r="AC31" s="294">
        <v>15</v>
      </c>
      <c r="AD31" s="294">
        <v>36</v>
      </c>
      <c r="AE31" s="294">
        <v>18</v>
      </c>
      <c r="AF31" s="294">
        <v>16</v>
      </c>
      <c r="AG31" s="294">
        <v>90</v>
      </c>
      <c r="AH31" s="294">
        <v>104</v>
      </c>
      <c r="AI31" s="294">
        <v>97</v>
      </c>
      <c r="AJ31" s="294">
        <v>116</v>
      </c>
      <c r="AK31" s="294">
        <v>127</v>
      </c>
      <c r="AL31" s="294">
        <v>76</v>
      </c>
      <c r="AM31" s="294">
        <v>94</v>
      </c>
      <c r="AN31" s="294">
        <v>115</v>
      </c>
      <c r="AO31" s="294">
        <v>94</v>
      </c>
      <c r="AP31" s="294"/>
      <c r="AQ31" s="294">
        <v>94</v>
      </c>
      <c r="AR31" s="294"/>
      <c r="AS31" s="294">
        <v>89</v>
      </c>
      <c r="AT31" s="294"/>
      <c r="AU31" s="294">
        <v>89</v>
      </c>
      <c r="AV31" s="294"/>
      <c r="AW31" s="294">
        <v>86</v>
      </c>
      <c r="AX31" s="294"/>
      <c r="AY31" s="294">
        <v>0</v>
      </c>
      <c r="AZ31" s="36"/>
      <c r="BA31" s="528">
        <f>AY31+AW31+AU31+AS31+AQ31+AO31+AM31+AK31+AI31+AG31+AE31+AC31</f>
        <v>893</v>
      </c>
      <c r="BB31" s="528">
        <f t="shared" ref="BB31:BC35" si="131">AC31+AE31+AG31+AI31+AK31+AM31</f>
        <v>441</v>
      </c>
      <c r="BC31" s="528">
        <f t="shared" si="131"/>
        <v>463</v>
      </c>
      <c r="BD31" s="573">
        <f>AE31+AG31+AI31+AK31+AM31+AO31+AQ31+AS31+AU31+AW31+AY31+AC31</f>
        <v>893</v>
      </c>
      <c r="BE31" s="573">
        <f>AD31+AF31+AH31+AJ31+AL31+AN31</f>
        <v>463</v>
      </c>
      <c r="BF31" s="294">
        <v>1272</v>
      </c>
      <c r="BG31" s="294">
        <v>8</v>
      </c>
      <c r="BH31" s="294">
        <v>4</v>
      </c>
      <c r="BI31" s="294"/>
      <c r="BJ31" s="294"/>
      <c r="BK31" s="36"/>
      <c r="BL31" s="294"/>
      <c r="BM31" s="36"/>
      <c r="BN31" s="36"/>
      <c r="BO31" s="294"/>
      <c r="BP31" s="294"/>
      <c r="BQ31" s="294"/>
      <c r="BR31" s="294"/>
      <c r="BS31" s="294"/>
      <c r="BT31" s="294"/>
      <c r="BU31" s="294"/>
      <c r="BV31" s="294"/>
      <c r="BW31" s="294"/>
      <c r="BX31" s="294"/>
      <c r="BY31" s="294"/>
      <c r="BZ31" s="294"/>
      <c r="CA31" s="294"/>
      <c r="CB31" s="294"/>
      <c r="CC31" s="294"/>
      <c r="CD31" s="294"/>
      <c r="CE31" s="36">
        <v>0</v>
      </c>
      <c r="CF31" s="294">
        <v>0</v>
      </c>
      <c r="CG31" s="36">
        <v>4</v>
      </c>
      <c r="CH31" s="573">
        <v>0</v>
      </c>
      <c r="CI31" s="294">
        <v>4</v>
      </c>
      <c r="CJ31" s="294">
        <v>1589</v>
      </c>
      <c r="CK31" s="294"/>
      <c r="CL31" s="294"/>
      <c r="CM31" s="294"/>
      <c r="CN31" s="294"/>
      <c r="CO31" s="294"/>
      <c r="CP31" s="294"/>
      <c r="CQ31" s="294"/>
      <c r="CR31" s="294"/>
      <c r="CS31" s="294"/>
      <c r="CT31" s="294"/>
      <c r="CU31" s="294"/>
      <c r="CV31" s="294"/>
      <c r="CW31" s="294"/>
      <c r="CX31" s="294"/>
      <c r="CY31" s="294"/>
      <c r="CZ31" s="294"/>
      <c r="DA31" s="294"/>
      <c r="DB31" s="294"/>
      <c r="DC31" s="294"/>
      <c r="DD31" s="294"/>
      <c r="DE31" s="294"/>
      <c r="DF31" s="294"/>
      <c r="DG31" s="294"/>
      <c r="DH31" s="294"/>
      <c r="DI31" s="36">
        <v>0</v>
      </c>
      <c r="DJ31" s="294">
        <v>0</v>
      </c>
      <c r="DK31" s="36">
        <v>0</v>
      </c>
      <c r="DL31" s="573">
        <v>0</v>
      </c>
      <c r="DM31" s="294">
        <v>0</v>
      </c>
      <c r="DN31" s="294">
        <v>455</v>
      </c>
      <c r="DO31" s="350"/>
      <c r="DP31" s="350"/>
      <c r="DQ31" s="350"/>
      <c r="DR31" s="350"/>
      <c r="DS31" s="350"/>
      <c r="DT31" s="350"/>
      <c r="DU31" s="350"/>
      <c r="DV31" s="350"/>
      <c r="DW31" s="350"/>
      <c r="DX31" s="350"/>
      <c r="DY31" s="350"/>
      <c r="DZ31" s="350"/>
      <c r="EA31" s="350"/>
      <c r="EB31" s="350"/>
      <c r="EC31" s="350"/>
      <c r="ED31" s="350"/>
      <c r="EE31" s="350"/>
      <c r="EF31" s="350"/>
      <c r="EG31" s="347"/>
      <c r="EH31" s="347"/>
      <c r="EI31" s="347"/>
      <c r="EJ31" s="347"/>
      <c r="EK31" s="347"/>
      <c r="EL31" s="347"/>
      <c r="EM31" s="349">
        <f t="shared" si="129"/>
        <v>0</v>
      </c>
      <c r="EN31" s="347">
        <f t="shared" ref="EN31:EN36" si="132">DO31+DQ31+DS31+DU31</f>
        <v>0</v>
      </c>
      <c r="EO31" s="404">
        <f t="shared" ref="EO31:EO36" si="133">DP31+DR31+DT31+DV31</f>
        <v>0</v>
      </c>
      <c r="EP31" s="335">
        <f t="shared" ref="EP31:EP32" si="134">DQ31+DS31+DU31+DW31+DY31+EA31+EC31+EE31+EG31+EI31+EK31+DO31</f>
        <v>0</v>
      </c>
      <c r="EQ31" s="347">
        <f t="shared" ref="EQ31:EQ35" si="135">DP31+DR31+DT31+DV31</f>
        <v>0</v>
      </c>
      <c r="ER31" s="461">
        <f>+AN31/AM31</f>
        <v>1.2234042553191489</v>
      </c>
      <c r="ES31" s="459">
        <f t="shared" si="15"/>
        <v>1.0498866213151927</v>
      </c>
      <c r="ET31" s="460">
        <f t="shared" si="16"/>
        <v>0.51847704367301228</v>
      </c>
      <c r="EU31" s="460">
        <f t="shared" si="17"/>
        <v>1.0236051502145922</v>
      </c>
      <c r="EV31" s="462">
        <f t="shared" si="66"/>
        <v>0.20297872340425532</v>
      </c>
      <c r="EW31" s="685" t="s">
        <v>506</v>
      </c>
      <c r="EX31" s="682" t="s">
        <v>473</v>
      </c>
      <c r="EY31" s="682" t="s">
        <v>473</v>
      </c>
      <c r="EZ31" s="682" t="s">
        <v>479</v>
      </c>
      <c r="FA31" s="745" t="s">
        <v>480</v>
      </c>
      <c r="FB31" s="686"/>
    </row>
    <row r="32" spans="1:158" s="288" customFormat="1" ht="29.25" customHeight="1" thickBot="1" x14ac:dyDescent="0.3">
      <c r="A32" s="728"/>
      <c r="B32" s="730"/>
      <c r="C32" s="730"/>
      <c r="D32" s="730"/>
      <c r="E32" s="730"/>
      <c r="F32" s="394" t="s">
        <v>3</v>
      </c>
      <c r="G32" s="415">
        <f>+AA32+BD32+BF32+CJ32+DN32</f>
        <v>6328528131</v>
      </c>
      <c r="H32" s="415">
        <v>621054131</v>
      </c>
      <c r="I32" s="415"/>
      <c r="J32" s="415"/>
      <c r="K32" s="415"/>
      <c r="L32" s="415"/>
      <c r="M32" s="415"/>
      <c r="N32" s="415"/>
      <c r="O32" s="415"/>
      <c r="P32" s="415"/>
      <c r="Q32" s="415"/>
      <c r="R32" s="415"/>
      <c r="S32" s="415"/>
      <c r="T32" s="447"/>
      <c r="U32" s="448"/>
      <c r="V32" s="448"/>
      <c r="W32" s="415">
        <v>621054131</v>
      </c>
      <c r="X32" s="415">
        <v>621054131</v>
      </c>
      <c r="Y32" s="448">
        <v>535986131</v>
      </c>
      <c r="Z32" s="415">
        <v>556054131</v>
      </c>
      <c r="AA32" s="448">
        <v>535986131</v>
      </c>
      <c r="AB32" s="448">
        <v>1480481000</v>
      </c>
      <c r="AC32" s="415">
        <v>0</v>
      </c>
      <c r="AD32" s="448">
        <v>0</v>
      </c>
      <c r="AE32" s="448">
        <v>740287000</v>
      </c>
      <c r="AF32" s="448">
        <f>740287000-AD32</f>
        <v>740287000</v>
      </c>
      <c r="AG32" s="448">
        <v>261288000</v>
      </c>
      <c r="AH32" s="448">
        <f>1001575000-AF32-AD32</f>
        <v>261288000</v>
      </c>
      <c r="AI32" s="448">
        <v>0</v>
      </c>
      <c r="AJ32" s="448">
        <f>1001575000-AH32-AF32-AD32</f>
        <v>0</v>
      </c>
      <c r="AK32" s="415">
        <v>0</v>
      </c>
      <c r="AL32" s="415">
        <f>1001575000-AJ32-AH32-AF32-AD32</f>
        <v>0</v>
      </c>
      <c r="AM32" s="415">
        <v>150666666.66666666</v>
      </c>
      <c r="AN32" s="415">
        <v>150000000</v>
      </c>
      <c r="AO32" s="415">
        <v>0</v>
      </c>
      <c r="AP32" s="415"/>
      <c r="AQ32" s="415">
        <v>150666666.66666666</v>
      </c>
      <c r="AR32" s="415"/>
      <c r="AS32" s="415">
        <v>150666666.66666666</v>
      </c>
      <c r="AT32" s="415"/>
      <c r="AU32" s="415"/>
      <c r="AV32" s="415"/>
      <c r="AW32" s="415">
        <v>0</v>
      </c>
      <c r="AX32" s="415"/>
      <c r="AY32" s="415">
        <v>0</v>
      </c>
      <c r="AZ32" s="449"/>
      <c r="BA32" s="414">
        <f>AY32+AW32+AU32+AS32+AQ32+AO32+AM32+AK32+AI32+AG32+AE32+AC32</f>
        <v>1453575000</v>
      </c>
      <c r="BB32" s="414">
        <f t="shared" si="131"/>
        <v>1152241666.6666667</v>
      </c>
      <c r="BC32" s="414">
        <f t="shared" si="131"/>
        <v>1151575000</v>
      </c>
      <c r="BD32" s="414">
        <f>AE32+AG32+AI32+AK32+AM32+AO32+AQ32+AS32+AU32+AW32+AY32+AC32</f>
        <v>1453575000.0000002</v>
      </c>
      <c r="BE32" s="414">
        <f>AD32+AF32+AH32+AJ32+AL32+AN32</f>
        <v>1151575000</v>
      </c>
      <c r="BF32" s="415">
        <v>1633442000</v>
      </c>
      <c r="BG32" s="449">
        <v>1515392000</v>
      </c>
      <c r="BH32" s="415">
        <v>791006000</v>
      </c>
      <c r="BI32" s="415"/>
      <c r="BJ32" s="415"/>
      <c r="BK32" s="415"/>
      <c r="BL32" s="415"/>
      <c r="BM32" s="415"/>
      <c r="BN32" s="415"/>
      <c r="BO32" s="415"/>
      <c r="BP32" s="415"/>
      <c r="BQ32" s="415"/>
      <c r="BR32" s="415"/>
      <c r="BS32" s="415"/>
      <c r="BT32" s="415"/>
      <c r="BU32" s="415"/>
      <c r="BV32" s="415"/>
      <c r="BW32" s="415"/>
      <c r="BX32" s="415"/>
      <c r="BY32" s="415"/>
      <c r="BZ32" s="415"/>
      <c r="CA32" s="415"/>
      <c r="CB32" s="415"/>
      <c r="CC32" s="415"/>
      <c r="CD32" s="415"/>
      <c r="CE32" s="414">
        <v>0</v>
      </c>
      <c r="CF32" s="442">
        <v>0</v>
      </c>
      <c r="CG32" s="442">
        <v>791006000</v>
      </c>
      <c r="CH32" s="414">
        <v>0</v>
      </c>
      <c r="CI32" s="442">
        <v>791006000</v>
      </c>
      <c r="CJ32" s="415">
        <v>1710164000</v>
      </c>
      <c r="CK32" s="415"/>
      <c r="CL32" s="415"/>
      <c r="CM32" s="415"/>
      <c r="CN32" s="415"/>
      <c r="CO32" s="415"/>
      <c r="CP32" s="415"/>
      <c r="CQ32" s="415"/>
      <c r="CR32" s="415"/>
      <c r="CS32" s="415"/>
      <c r="CT32" s="415"/>
      <c r="CU32" s="415"/>
      <c r="CV32" s="415"/>
      <c r="CW32" s="415"/>
      <c r="CX32" s="415"/>
      <c r="CY32" s="415"/>
      <c r="CZ32" s="415"/>
      <c r="DA32" s="415"/>
      <c r="DB32" s="415"/>
      <c r="DC32" s="415"/>
      <c r="DD32" s="415"/>
      <c r="DE32" s="415"/>
      <c r="DF32" s="415"/>
      <c r="DG32" s="415"/>
      <c r="DH32" s="415"/>
      <c r="DI32" s="414">
        <v>0</v>
      </c>
      <c r="DJ32" s="442">
        <v>0</v>
      </c>
      <c r="DK32" s="442">
        <v>0</v>
      </c>
      <c r="DL32" s="414">
        <v>0</v>
      </c>
      <c r="DM32" s="442">
        <v>0</v>
      </c>
      <c r="DN32" s="415">
        <v>995361000</v>
      </c>
      <c r="DO32" s="304"/>
      <c r="DP32" s="304"/>
      <c r="DQ32" s="304"/>
      <c r="DR32" s="304"/>
      <c r="DS32" s="304"/>
      <c r="DT32" s="304"/>
      <c r="DU32" s="304"/>
      <c r="DV32" s="304"/>
      <c r="DW32" s="304"/>
      <c r="DX32" s="304"/>
      <c r="DY32" s="304"/>
      <c r="DZ32" s="304"/>
      <c r="EA32" s="304"/>
      <c r="EB32" s="304"/>
      <c r="EC32" s="304"/>
      <c r="ED32" s="304"/>
      <c r="EE32" s="304"/>
      <c r="EF32" s="304"/>
      <c r="EG32" s="304"/>
      <c r="EH32" s="304"/>
      <c r="EI32" s="304"/>
      <c r="EJ32" s="304"/>
      <c r="EK32" s="304"/>
      <c r="EL32" s="304"/>
      <c r="EM32" s="347">
        <f t="shared" si="129"/>
        <v>0</v>
      </c>
      <c r="EN32" s="332">
        <f t="shared" si="132"/>
        <v>0</v>
      </c>
      <c r="EO32" s="332">
        <f t="shared" si="133"/>
        <v>0</v>
      </c>
      <c r="EP32" s="333">
        <f t="shared" si="134"/>
        <v>0</v>
      </c>
      <c r="EQ32" s="332">
        <f t="shared" si="135"/>
        <v>0</v>
      </c>
      <c r="ER32" s="461">
        <v>0</v>
      </c>
      <c r="ES32" s="461">
        <f t="shared" ref="ES32:ES58" si="136">+BC32/BB32</f>
        <v>0.99942141767135073</v>
      </c>
      <c r="ET32" s="460">
        <f t="shared" si="16"/>
        <v>0.79223638271159025</v>
      </c>
      <c r="EU32" s="460">
        <f t="shared" si="17"/>
        <v>0.98786236745709499</v>
      </c>
      <c r="EV32" s="462">
        <f t="shared" si="66"/>
        <v>0.26665933943369241</v>
      </c>
      <c r="EW32" s="685"/>
      <c r="EX32" s="682"/>
      <c r="EY32" s="682"/>
      <c r="EZ32" s="682"/>
      <c r="FA32" s="745"/>
      <c r="FB32" s="686"/>
    </row>
    <row r="33" spans="1:158" s="288" customFormat="1" ht="29.25" customHeight="1" thickBot="1" x14ac:dyDescent="0.3">
      <c r="A33" s="728"/>
      <c r="B33" s="730"/>
      <c r="C33" s="730"/>
      <c r="D33" s="730"/>
      <c r="E33" s="730"/>
      <c r="F33" s="395" t="s">
        <v>305</v>
      </c>
      <c r="G33" s="415"/>
      <c r="H33" s="415"/>
      <c r="I33" s="415"/>
      <c r="J33" s="415"/>
      <c r="K33" s="415"/>
      <c r="L33" s="415"/>
      <c r="M33" s="415"/>
      <c r="N33" s="415"/>
      <c r="O33" s="415"/>
      <c r="P33" s="415"/>
      <c r="Q33" s="415"/>
      <c r="R33" s="415"/>
      <c r="S33" s="415"/>
      <c r="T33" s="447"/>
      <c r="U33" s="448"/>
      <c r="V33" s="448"/>
      <c r="W33" s="415"/>
      <c r="X33" s="415"/>
      <c r="Y33" s="448">
        <v>0</v>
      </c>
      <c r="Z33" s="415"/>
      <c r="AA33" s="448">
        <v>0</v>
      </c>
      <c r="AB33" s="448"/>
      <c r="AC33" s="415">
        <v>0</v>
      </c>
      <c r="AD33" s="415">
        <v>0</v>
      </c>
      <c r="AE33" s="448">
        <v>0</v>
      </c>
      <c r="AF33" s="448">
        <v>0</v>
      </c>
      <c r="AG33" s="448">
        <v>27208599</v>
      </c>
      <c r="AH33" s="448">
        <v>27208599</v>
      </c>
      <c r="AI33" s="448">
        <v>102633333</v>
      </c>
      <c r="AJ33" s="448">
        <f>129841932-AH33-AF33-AD33</f>
        <v>102633333</v>
      </c>
      <c r="AK33" s="415">
        <v>113778067</v>
      </c>
      <c r="AL33" s="415">
        <f>243619999-AJ33-AH33-AF33-AD33</f>
        <v>113778067</v>
      </c>
      <c r="AM33" s="415">
        <v>115052000</v>
      </c>
      <c r="AN33" s="415">
        <v>115052000</v>
      </c>
      <c r="AO33" s="415">
        <v>0</v>
      </c>
      <c r="AP33" s="415"/>
      <c r="AQ33" s="415">
        <v>0</v>
      </c>
      <c r="AR33" s="415"/>
      <c r="AS33" s="415">
        <v>0</v>
      </c>
      <c r="AT33" s="415"/>
      <c r="AU33" s="415">
        <v>0</v>
      </c>
      <c r="AV33" s="415"/>
      <c r="AW33" s="415">
        <v>0</v>
      </c>
      <c r="AX33" s="415"/>
      <c r="AY33" s="415">
        <v>0</v>
      </c>
      <c r="AZ33" s="449"/>
      <c r="BA33" s="414">
        <f>AY33+AW33+AU33+AS33+AQ33+AO33+AM33+AK33+AI33+AG33+AE33+AC33</f>
        <v>358671999</v>
      </c>
      <c r="BB33" s="414">
        <f t="shared" si="131"/>
        <v>358671999</v>
      </c>
      <c r="BC33" s="414">
        <f t="shared" si="131"/>
        <v>358671999</v>
      </c>
      <c r="BD33" s="414">
        <f t="shared" ref="BD33:BD35" si="137">AE33+AG33+AI33+AK33+AM33+AO33+AQ33+AS33+AU33+AW33+AY33+AC33</f>
        <v>358671999</v>
      </c>
      <c r="BE33" s="414">
        <f>AD33+AF33+AH33+AJ33+AL33+AN33</f>
        <v>358671999</v>
      </c>
      <c r="BF33" s="415">
        <v>0</v>
      </c>
      <c r="BG33" s="449"/>
      <c r="BH33" s="415"/>
      <c r="BI33" s="415"/>
      <c r="BJ33" s="415"/>
      <c r="BK33" s="415"/>
      <c r="BL33" s="415"/>
      <c r="BM33" s="415"/>
      <c r="BN33" s="415"/>
      <c r="BO33" s="415"/>
      <c r="BP33" s="415"/>
      <c r="BQ33" s="415"/>
      <c r="BR33" s="415"/>
      <c r="BS33" s="415"/>
      <c r="BT33" s="415"/>
      <c r="BU33" s="415"/>
      <c r="BV33" s="415"/>
      <c r="BW33" s="415"/>
      <c r="BX33" s="415"/>
      <c r="BY33" s="415"/>
      <c r="BZ33" s="415"/>
      <c r="CA33" s="415"/>
      <c r="CB33" s="415"/>
      <c r="CC33" s="415"/>
      <c r="CD33" s="415"/>
      <c r="CE33" s="414"/>
      <c r="CF33" s="442"/>
      <c r="CG33" s="442"/>
      <c r="CH33" s="414"/>
      <c r="CI33" s="442"/>
      <c r="CJ33" s="415">
        <v>0</v>
      </c>
      <c r="CK33" s="415"/>
      <c r="CL33" s="415"/>
      <c r="CM33" s="415"/>
      <c r="CN33" s="415"/>
      <c r="CO33" s="415"/>
      <c r="CP33" s="415"/>
      <c r="CQ33" s="415"/>
      <c r="CR33" s="415"/>
      <c r="CS33" s="415"/>
      <c r="CT33" s="415"/>
      <c r="CU33" s="415"/>
      <c r="CV33" s="415"/>
      <c r="CW33" s="415"/>
      <c r="CX33" s="415"/>
      <c r="CY33" s="415"/>
      <c r="CZ33" s="415"/>
      <c r="DA33" s="415"/>
      <c r="DB33" s="415"/>
      <c r="DC33" s="415"/>
      <c r="DD33" s="415"/>
      <c r="DE33" s="415"/>
      <c r="DF33" s="415"/>
      <c r="DG33" s="415"/>
      <c r="DH33" s="415"/>
      <c r="DI33" s="414"/>
      <c r="DJ33" s="442"/>
      <c r="DK33" s="442"/>
      <c r="DL33" s="414"/>
      <c r="DM33" s="442"/>
      <c r="DN33" s="415">
        <v>0</v>
      </c>
      <c r="DO33" s="304"/>
      <c r="DP33" s="304"/>
      <c r="DQ33" s="304"/>
      <c r="DR33" s="304"/>
      <c r="DS33" s="304"/>
      <c r="DT33" s="304"/>
      <c r="DU33" s="304"/>
      <c r="DV33" s="304"/>
      <c r="DW33" s="304"/>
      <c r="DX33" s="304"/>
      <c r="DY33" s="304"/>
      <c r="DZ33" s="304"/>
      <c r="EA33" s="304"/>
      <c r="EB33" s="304"/>
      <c r="EC33" s="304"/>
      <c r="ED33" s="304"/>
      <c r="EE33" s="304"/>
      <c r="EF33" s="304"/>
      <c r="EG33" s="304"/>
      <c r="EH33" s="304"/>
      <c r="EI33" s="304"/>
      <c r="EJ33" s="304"/>
      <c r="EK33" s="304"/>
      <c r="EL33" s="304"/>
      <c r="EM33" s="347">
        <f t="shared" ref="EM33:EM36" si="138">EI33+EG33+EE33+EC33+EA33+DY33+DW33+DU33+DS33+DQ33+DO33+EK33</f>
        <v>0</v>
      </c>
      <c r="EN33" s="332">
        <f t="shared" si="132"/>
        <v>0</v>
      </c>
      <c r="EO33" s="332">
        <f t="shared" si="133"/>
        <v>0</v>
      </c>
      <c r="EP33" s="328">
        <f t="shared" ref="EP33:EP34" si="139">DQ33+DS33+DU33+DW33+DY33+EA33+EC33+EE33+EG33+EI33+EK33</f>
        <v>0</v>
      </c>
      <c r="EQ33" s="332">
        <f t="shared" si="135"/>
        <v>0</v>
      </c>
      <c r="ER33" s="461">
        <f>+AN33/AM33</f>
        <v>1</v>
      </c>
      <c r="ES33" s="461">
        <f t="shared" si="136"/>
        <v>1</v>
      </c>
      <c r="ET33" s="460">
        <f t="shared" si="16"/>
        <v>1</v>
      </c>
      <c r="EU33" s="460">
        <f t="shared" si="17"/>
        <v>1</v>
      </c>
      <c r="EV33" s="462" t="e">
        <f t="shared" si="66"/>
        <v>#DIV/0!</v>
      </c>
      <c r="EW33" s="685"/>
      <c r="EX33" s="682"/>
      <c r="EY33" s="682"/>
      <c r="EZ33" s="682"/>
      <c r="FA33" s="745"/>
      <c r="FB33" s="686"/>
    </row>
    <row r="34" spans="1:158" s="4" customFormat="1" ht="29.25" customHeight="1" thickBot="1" x14ac:dyDescent="0.3">
      <c r="A34" s="728"/>
      <c r="B34" s="730"/>
      <c r="C34" s="730"/>
      <c r="D34" s="730"/>
      <c r="E34" s="730"/>
      <c r="F34" s="396" t="s">
        <v>42</v>
      </c>
      <c r="G34" s="454">
        <f>+AA34+BD34+BF34+CJ34+DN34</f>
        <v>0</v>
      </c>
      <c r="H34" s="414">
        <v>0</v>
      </c>
      <c r="I34" s="46"/>
      <c r="J34" s="46"/>
      <c r="K34" s="46"/>
      <c r="L34" s="46"/>
      <c r="M34" s="46"/>
      <c r="N34" s="46"/>
      <c r="O34" s="46"/>
      <c r="P34" s="46"/>
      <c r="Q34" s="46"/>
      <c r="R34" s="46"/>
      <c r="S34" s="46"/>
      <c r="T34" s="370"/>
      <c r="U34" s="46"/>
      <c r="V34" s="46"/>
      <c r="W34" s="414">
        <v>0</v>
      </c>
      <c r="X34" s="414">
        <v>0</v>
      </c>
      <c r="Y34" s="414">
        <v>0</v>
      </c>
      <c r="Z34" s="414">
        <v>0</v>
      </c>
      <c r="AA34" s="414">
        <v>0</v>
      </c>
      <c r="AB34" s="46">
        <v>0</v>
      </c>
      <c r="AC34" s="46">
        <v>0</v>
      </c>
      <c r="AD34" s="46">
        <v>0</v>
      </c>
      <c r="AE34" s="46">
        <v>0</v>
      </c>
      <c r="AF34" s="46">
        <v>0</v>
      </c>
      <c r="AG34" s="46">
        <v>0</v>
      </c>
      <c r="AH34" s="46">
        <v>0</v>
      </c>
      <c r="AI34" s="46">
        <v>0</v>
      </c>
      <c r="AJ34" s="46">
        <v>0</v>
      </c>
      <c r="AK34" s="46">
        <v>0</v>
      </c>
      <c r="AL34" s="46">
        <v>0</v>
      </c>
      <c r="AM34" s="46">
        <v>0</v>
      </c>
      <c r="AN34" s="46">
        <v>0</v>
      </c>
      <c r="AO34" s="46">
        <v>0</v>
      </c>
      <c r="AP34" s="46">
        <v>0</v>
      </c>
      <c r="AQ34" s="46">
        <v>0</v>
      </c>
      <c r="AR34" s="46">
        <v>0</v>
      </c>
      <c r="AS34" s="46">
        <v>0</v>
      </c>
      <c r="AT34" s="46">
        <v>0</v>
      </c>
      <c r="AU34" s="46">
        <v>0</v>
      </c>
      <c r="AV34" s="46">
        <v>0</v>
      </c>
      <c r="AW34" s="46">
        <v>0</v>
      </c>
      <c r="AX34" s="46">
        <v>0</v>
      </c>
      <c r="AY34" s="46">
        <v>0</v>
      </c>
      <c r="AZ34" s="370"/>
      <c r="BA34" s="454">
        <f>AY34+AW34+AU34+AS34+AQ34+AO34+AM34+AK34+AI34+AG34+AE34+AC34</f>
        <v>0</v>
      </c>
      <c r="BB34" s="454">
        <f t="shared" si="131"/>
        <v>0</v>
      </c>
      <c r="BC34" s="454">
        <f t="shared" si="131"/>
        <v>0</v>
      </c>
      <c r="BD34" s="455">
        <f t="shared" si="137"/>
        <v>0</v>
      </c>
      <c r="BE34" s="455">
        <f>AD34+AF34+AH34+AJ34+AL34+AN34</f>
        <v>0</v>
      </c>
      <c r="BF34" s="46">
        <v>0</v>
      </c>
      <c r="BG34" s="46">
        <v>0</v>
      </c>
      <c r="BH34" s="46">
        <v>0</v>
      </c>
      <c r="BI34" s="46"/>
      <c r="BJ34" s="46"/>
      <c r="BK34" s="370"/>
      <c r="BL34" s="46"/>
      <c r="BM34" s="370"/>
      <c r="BN34" s="370"/>
      <c r="BO34" s="46"/>
      <c r="BP34" s="46"/>
      <c r="BQ34" s="46"/>
      <c r="BR34" s="46"/>
      <c r="BS34" s="46"/>
      <c r="BT34" s="46"/>
      <c r="BU34" s="46"/>
      <c r="BV34" s="46"/>
      <c r="BW34" s="46"/>
      <c r="BX34" s="46"/>
      <c r="BY34" s="46"/>
      <c r="BZ34" s="46"/>
      <c r="CA34" s="46"/>
      <c r="CB34" s="46"/>
      <c r="CC34" s="46"/>
      <c r="CD34" s="46"/>
      <c r="CE34" s="370">
        <v>0</v>
      </c>
      <c r="CF34" s="46">
        <v>0</v>
      </c>
      <c r="CG34" s="370">
        <v>0</v>
      </c>
      <c r="CH34" s="455">
        <v>0</v>
      </c>
      <c r="CI34" s="46">
        <v>0</v>
      </c>
      <c r="CJ34" s="46">
        <v>0</v>
      </c>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370">
        <v>0</v>
      </c>
      <c r="DJ34" s="46">
        <v>0</v>
      </c>
      <c r="DK34" s="370">
        <v>0</v>
      </c>
      <c r="DL34" s="455">
        <v>0</v>
      </c>
      <c r="DM34" s="46">
        <v>0</v>
      </c>
      <c r="DN34" s="46">
        <v>0</v>
      </c>
      <c r="DO34" s="305"/>
      <c r="DP34" s="305"/>
      <c r="DQ34" s="305"/>
      <c r="DR34" s="305"/>
      <c r="DS34" s="305"/>
      <c r="DT34" s="305"/>
      <c r="DU34" s="305"/>
      <c r="DV34" s="305"/>
      <c r="DW34" s="305"/>
      <c r="DX34" s="305"/>
      <c r="DY34" s="305"/>
      <c r="DZ34" s="305"/>
      <c r="EA34" s="305"/>
      <c r="EB34" s="305"/>
      <c r="EC34" s="305"/>
      <c r="ED34" s="305"/>
      <c r="EE34" s="305"/>
      <c r="EF34" s="305"/>
      <c r="EG34" s="305"/>
      <c r="EH34" s="305"/>
      <c r="EI34" s="305"/>
      <c r="EJ34" s="305"/>
      <c r="EK34" s="305"/>
      <c r="EL34" s="305"/>
      <c r="EM34" s="350">
        <f t="shared" si="138"/>
        <v>0</v>
      </c>
      <c r="EN34" s="397">
        <f t="shared" si="132"/>
        <v>0</v>
      </c>
      <c r="EO34" s="334">
        <f t="shared" si="133"/>
        <v>0</v>
      </c>
      <c r="EP34" s="335">
        <f t="shared" si="139"/>
        <v>0</v>
      </c>
      <c r="EQ34" s="350">
        <f t="shared" si="135"/>
        <v>0</v>
      </c>
      <c r="ER34" s="461">
        <v>0</v>
      </c>
      <c r="ES34" s="461" t="e">
        <f t="shared" si="136"/>
        <v>#DIV/0!</v>
      </c>
      <c r="ET34" s="460" t="e">
        <f t="shared" si="16"/>
        <v>#DIV/0!</v>
      </c>
      <c r="EU34" s="460" t="e">
        <f t="shared" si="17"/>
        <v>#DIV/0!</v>
      </c>
      <c r="EV34" s="462" t="e">
        <f t="shared" si="66"/>
        <v>#DIV/0!</v>
      </c>
      <c r="EW34" s="685"/>
      <c r="EX34" s="682"/>
      <c r="EY34" s="682"/>
      <c r="EZ34" s="682"/>
      <c r="FA34" s="745"/>
      <c r="FB34" s="686"/>
    </row>
    <row r="35" spans="1:158" s="4" customFormat="1" ht="29.25" customHeight="1" thickBot="1" x14ac:dyDescent="0.3">
      <c r="A35" s="728"/>
      <c r="B35" s="730"/>
      <c r="C35" s="730"/>
      <c r="D35" s="730"/>
      <c r="E35" s="730"/>
      <c r="F35" s="394" t="s">
        <v>4</v>
      </c>
      <c r="G35" s="415">
        <f>+AA35+BD35+BF35+CJ35+DN35</f>
        <v>131226434</v>
      </c>
      <c r="H35" s="415">
        <v>200998268</v>
      </c>
      <c r="I35" s="415">
        <v>0</v>
      </c>
      <c r="J35" s="415">
        <v>0</v>
      </c>
      <c r="K35" s="415">
        <v>0</v>
      </c>
      <c r="L35" s="415">
        <v>0</v>
      </c>
      <c r="M35" s="415">
        <v>0</v>
      </c>
      <c r="N35" s="415">
        <v>0</v>
      </c>
      <c r="O35" s="415">
        <v>0</v>
      </c>
      <c r="P35" s="415">
        <v>0</v>
      </c>
      <c r="Q35" s="415">
        <v>0</v>
      </c>
      <c r="R35" s="415">
        <v>0</v>
      </c>
      <c r="S35" s="415">
        <v>0</v>
      </c>
      <c r="T35" s="447">
        <v>0</v>
      </c>
      <c r="U35" s="448">
        <v>0</v>
      </c>
      <c r="V35" s="448">
        <v>0</v>
      </c>
      <c r="W35" s="415">
        <v>200998268</v>
      </c>
      <c r="X35" s="415">
        <v>200998268</v>
      </c>
      <c r="Y35" s="414">
        <v>0</v>
      </c>
      <c r="Z35" s="415">
        <v>200998268</v>
      </c>
      <c r="AA35" s="414">
        <v>0</v>
      </c>
      <c r="AB35" s="448">
        <v>131226434</v>
      </c>
      <c r="AC35" s="448">
        <v>69771834</v>
      </c>
      <c r="AD35" s="448">
        <v>69771834</v>
      </c>
      <c r="AE35" s="448">
        <v>42432466</v>
      </c>
      <c r="AF35" s="448">
        <f>112204300-AD35</f>
        <v>42432466</v>
      </c>
      <c r="AG35" s="448">
        <v>19022134</v>
      </c>
      <c r="AH35" s="448">
        <f>131226434-AF35-AD35</f>
        <v>19022134</v>
      </c>
      <c r="AI35" s="448">
        <v>0</v>
      </c>
      <c r="AJ35" s="448">
        <f>131226434-AH35-AF35-AD35</f>
        <v>0</v>
      </c>
      <c r="AK35" s="415">
        <v>0</v>
      </c>
      <c r="AL35" s="415">
        <f>131226434-AJ35-AH35-AF35-AD35</f>
        <v>0</v>
      </c>
      <c r="AM35" s="415">
        <v>0</v>
      </c>
      <c r="AN35" s="415">
        <v>0</v>
      </c>
      <c r="AO35" s="415">
        <v>0</v>
      </c>
      <c r="AP35" s="415"/>
      <c r="AQ35" s="415">
        <v>0</v>
      </c>
      <c r="AR35" s="415"/>
      <c r="AS35" s="415">
        <v>0</v>
      </c>
      <c r="AT35" s="415"/>
      <c r="AU35" s="415">
        <v>0</v>
      </c>
      <c r="AV35" s="415"/>
      <c r="AW35" s="415">
        <v>0</v>
      </c>
      <c r="AX35" s="415"/>
      <c r="AY35" s="415">
        <v>0</v>
      </c>
      <c r="AZ35" s="449"/>
      <c r="BA35" s="414">
        <f>AY35+AW35+AU35+AS35+AQ35+AO35+AM35+AK35+AI35+AG35+AE35+AC35</f>
        <v>131226434</v>
      </c>
      <c r="BB35" s="414">
        <f t="shared" si="131"/>
        <v>131226434</v>
      </c>
      <c r="BC35" s="414">
        <f t="shared" si="131"/>
        <v>131226434</v>
      </c>
      <c r="BD35" s="414">
        <f t="shared" si="137"/>
        <v>131226434</v>
      </c>
      <c r="BE35" s="414">
        <f>AD35+AF35+AH35+AJ35+AL35+AN35</f>
        <v>131226434</v>
      </c>
      <c r="BF35" s="415">
        <v>0</v>
      </c>
      <c r="BG35" s="449">
        <v>0</v>
      </c>
      <c r="BH35" s="415">
        <v>0</v>
      </c>
      <c r="BI35" s="415"/>
      <c r="BJ35" s="415"/>
      <c r="BK35" s="415"/>
      <c r="BL35" s="415"/>
      <c r="BM35" s="415"/>
      <c r="BN35" s="415"/>
      <c r="BO35" s="415"/>
      <c r="BP35" s="415"/>
      <c r="BQ35" s="415"/>
      <c r="BR35" s="415"/>
      <c r="BS35" s="415"/>
      <c r="BT35" s="415"/>
      <c r="BU35" s="415"/>
      <c r="BV35" s="415"/>
      <c r="BW35" s="415"/>
      <c r="BX35" s="415"/>
      <c r="BY35" s="415"/>
      <c r="BZ35" s="415"/>
      <c r="CA35" s="415"/>
      <c r="CB35" s="415"/>
      <c r="CC35" s="415"/>
      <c r="CD35" s="415"/>
      <c r="CE35" s="414">
        <v>0</v>
      </c>
      <c r="CF35" s="442">
        <v>0</v>
      </c>
      <c r="CG35" s="442">
        <v>0</v>
      </c>
      <c r="CH35" s="414">
        <v>0</v>
      </c>
      <c r="CI35" s="442">
        <v>0</v>
      </c>
      <c r="CJ35" s="415">
        <v>0</v>
      </c>
      <c r="CK35" s="415"/>
      <c r="CL35" s="415"/>
      <c r="CM35" s="415"/>
      <c r="CN35" s="415"/>
      <c r="CO35" s="415"/>
      <c r="CP35" s="415"/>
      <c r="CQ35" s="415"/>
      <c r="CR35" s="415"/>
      <c r="CS35" s="415"/>
      <c r="CT35" s="415"/>
      <c r="CU35" s="415"/>
      <c r="CV35" s="415"/>
      <c r="CW35" s="415"/>
      <c r="CX35" s="415"/>
      <c r="CY35" s="415"/>
      <c r="CZ35" s="415"/>
      <c r="DA35" s="415"/>
      <c r="DB35" s="415"/>
      <c r="DC35" s="415"/>
      <c r="DD35" s="415"/>
      <c r="DE35" s="415"/>
      <c r="DF35" s="415"/>
      <c r="DG35" s="415"/>
      <c r="DH35" s="415"/>
      <c r="DI35" s="414">
        <v>0</v>
      </c>
      <c r="DJ35" s="442">
        <v>0</v>
      </c>
      <c r="DK35" s="442">
        <v>0</v>
      </c>
      <c r="DL35" s="414">
        <v>0</v>
      </c>
      <c r="DM35" s="442">
        <v>0</v>
      </c>
      <c r="DN35" s="415">
        <v>0</v>
      </c>
      <c r="DO35" s="302"/>
      <c r="DP35" s="302"/>
      <c r="DQ35" s="302"/>
      <c r="DR35" s="302"/>
      <c r="DS35" s="302"/>
      <c r="DT35" s="302"/>
      <c r="DU35" s="302"/>
      <c r="DV35" s="302"/>
      <c r="DW35" s="302"/>
      <c r="DX35" s="302"/>
      <c r="DY35" s="302"/>
      <c r="DZ35" s="302"/>
      <c r="EA35" s="302"/>
      <c r="EB35" s="302"/>
      <c r="EC35" s="302"/>
      <c r="ED35" s="302"/>
      <c r="EE35" s="302"/>
      <c r="EF35" s="302"/>
      <c r="EG35" s="302"/>
      <c r="EH35" s="302"/>
      <c r="EI35" s="302"/>
      <c r="EJ35" s="302"/>
      <c r="EK35" s="302"/>
      <c r="EL35" s="302"/>
      <c r="EM35" s="350">
        <f t="shared" si="138"/>
        <v>0</v>
      </c>
      <c r="EN35" s="332">
        <f t="shared" si="132"/>
        <v>0</v>
      </c>
      <c r="EO35" s="332">
        <f t="shared" si="133"/>
        <v>0</v>
      </c>
      <c r="EP35" s="328">
        <f t="shared" ref="EP35:EP36" si="140">DQ35+DS35+DU35+DW35+DY35+EA35+EC35+EE35+EG35+EI35+EK35+DO35</f>
        <v>0</v>
      </c>
      <c r="EQ35" s="332">
        <f t="shared" si="135"/>
        <v>0</v>
      </c>
      <c r="ER35" s="461">
        <v>0</v>
      </c>
      <c r="ES35" s="461">
        <f t="shared" si="136"/>
        <v>1</v>
      </c>
      <c r="ET35" s="460">
        <f t="shared" si="16"/>
        <v>1</v>
      </c>
      <c r="EU35" s="460">
        <f t="shared" si="17"/>
        <v>0.39499300687159622</v>
      </c>
      <c r="EV35" s="462">
        <f t="shared" si="66"/>
        <v>1</v>
      </c>
      <c r="EW35" s="685"/>
      <c r="EX35" s="682"/>
      <c r="EY35" s="682"/>
      <c r="EZ35" s="682"/>
      <c r="FA35" s="745"/>
      <c r="FB35" s="686"/>
    </row>
    <row r="36" spans="1:158" s="4" customFormat="1" ht="29.25" customHeight="1" thickBot="1" x14ac:dyDescent="0.3">
      <c r="A36" s="728"/>
      <c r="B36" s="730"/>
      <c r="C36" s="730"/>
      <c r="D36" s="730"/>
      <c r="E36" s="730"/>
      <c r="F36" s="396" t="s">
        <v>43</v>
      </c>
      <c r="G36" s="454">
        <f>+G31+G34</f>
        <v>4700</v>
      </c>
      <c r="H36" s="454">
        <f t="shared" ref="H36:AA36" si="141">+H31+H34</f>
        <v>491</v>
      </c>
      <c r="I36" s="454">
        <f t="shared" si="141"/>
        <v>0</v>
      </c>
      <c r="J36" s="454">
        <f t="shared" si="141"/>
        <v>0</v>
      </c>
      <c r="K36" s="454">
        <f t="shared" si="141"/>
        <v>0</v>
      </c>
      <c r="L36" s="454">
        <f t="shared" si="141"/>
        <v>0</v>
      </c>
      <c r="M36" s="454">
        <f t="shared" si="141"/>
        <v>0</v>
      </c>
      <c r="N36" s="454">
        <f t="shared" si="141"/>
        <v>0</v>
      </c>
      <c r="O36" s="454">
        <f t="shared" si="141"/>
        <v>0</v>
      </c>
      <c r="P36" s="454">
        <f t="shared" si="141"/>
        <v>0</v>
      </c>
      <c r="Q36" s="454">
        <f t="shared" si="141"/>
        <v>0</v>
      </c>
      <c r="R36" s="454">
        <f t="shared" si="141"/>
        <v>0</v>
      </c>
      <c r="S36" s="454">
        <f t="shared" si="141"/>
        <v>0</v>
      </c>
      <c r="T36" s="454">
        <f t="shared" si="141"/>
        <v>0</v>
      </c>
      <c r="U36" s="454">
        <f t="shared" si="141"/>
        <v>0</v>
      </c>
      <c r="V36" s="454">
        <f t="shared" si="141"/>
        <v>0</v>
      </c>
      <c r="W36" s="454">
        <f t="shared" si="141"/>
        <v>491</v>
      </c>
      <c r="X36" s="454">
        <f t="shared" si="141"/>
        <v>491</v>
      </c>
      <c r="Y36" s="454">
        <f t="shared" si="141"/>
        <v>491</v>
      </c>
      <c r="Z36" s="454">
        <f t="shared" si="141"/>
        <v>491</v>
      </c>
      <c r="AA36" s="454">
        <f t="shared" si="141"/>
        <v>491</v>
      </c>
      <c r="AB36" s="46">
        <f t="shared" ref="AB36:AY36" si="142">+AB31+AB34</f>
        <v>893</v>
      </c>
      <c r="AC36" s="454">
        <f t="shared" si="142"/>
        <v>15</v>
      </c>
      <c r="AD36" s="454">
        <f t="shared" si="142"/>
        <v>36</v>
      </c>
      <c r="AE36" s="454">
        <f t="shared" si="142"/>
        <v>18</v>
      </c>
      <c r="AF36" s="454">
        <f t="shared" si="142"/>
        <v>16</v>
      </c>
      <c r="AG36" s="454">
        <f t="shared" si="142"/>
        <v>90</v>
      </c>
      <c r="AH36" s="454">
        <f t="shared" si="142"/>
        <v>104</v>
      </c>
      <c r="AI36" s="454">
        <f t="shared" si="142"/>
        <v>97</v>
      </c>
      <c r="AJ36" s="454">
        <f t="shared" si="142"/>
        <v>116</v>
      </c>
      <c r="AK36" s="454">
        <f t="shared" si="142"/>
        <v>127</v>
      </c>
      <c r="AL36" s="454">
        <f>+AL31+AL34</f>
        <v>76</v>
      </c>
      <c r="AM36" s="454">
        <f t="shared" si="142"/>
        <v>94</v>
      </c>
      <c r="AN36" s="454">
        <f t="shared" ref="AN36" si="143">+AN31+AN34</f>
        <v>115</v>
      </c>
      <c r="AO36" s="454">
        <f t="shared" si="142"/>
        <v>94</v>
      </c>
      <c r="AP36" s="454">
        <f t="shared" si="142"/>
        <v>0</v>
      </c>
      <c r="AQ36" s="454">
        <f t="shared" si="142"/>
        <v>94</v>
      </c>
      <c r="AR36" s="454">
        <f t="shared" si="142"/>
        <v>0</v>
      </c>
      <c r="AS36" s="454">
        <f t="shared" si="142"/>
        <v>89</v>
      </c>
      <c r="AT36" s="454">
        <f t="shared" si="142"/>
        <v>0</v>
      </c>
      <c r="AU36" s="454">
        <f t="shared" si="142"/>
        <v>89</v>
      </c>
      <c r="AV36" s="454">
        <f t="shared" si="142"/>
        <v>0</v>
      </c>
      <c r="AW36" s="454">
        <f t="shared" si="142"/>
        <v>86</v>
      </c>
      <c r="AX36" s="454">
        <f t="shared" si="142"/>
        <v>0</v>
      </c>
      <c r="AY36" s="454">
        <f t="shared" si="142"/>
        <v>0</v>
      </c>
      <c r="AZ36" s="370"/>
      <c r="BA36" s="454">
        <f t="shared" ref="BA36:BE36" si="144">+BA31+BA34</f>
        <v>893</v>
      </c>
      <c r="BB36" s="46">
        <f t="shared" si="144"/>
        <v>441</v>
      </c>
      <c r="BC36" s="370">
        <f t="shared" si="144"/>
        <v>463</v>
      </c>
      <c r="BD36" s="455">
        <f t="shared" si="144"/>
        <v>893</v>
      </c>
      <c r="BE36" s="46">
        <f t="shared" si="144"/>
        <v>463</v>
      </c>
      <c r="BF36" s="46">
        <f t="shared" ref="BF36" si="145">+BF31+BF34</f>
        <v>1272</v>
      </c>
      <c r="BG36" s="46">
        <v>8</v>
      </c>
      <c r="BH36" s="46">
        <v>4</v>
      </c>
      <c r="BI36" s="46"/>
      <c r="BJ36" s="46"/>
      <c r="BK36" s="370"/>
      <c r="BL36" s="46"/>
      <c r="BM36" s="370"/>
      <c r="BN36" s="370"/>
      <c r="BO36" s="46"/>
      <c r="BP36" s="46"/>
      <c r="BQ36" s="46"/>
      <c r="BR36" s="46"/>
      <c r="BS36" s="46"/>
      <c r="BT36" s="46"/>
      <c r="BU36" s="46"/>
      <c r="BV36" s="46"/>
      <c r="BW36" s="46"/>
      <c r="BX36" s="46"/>
      <c r="BY36" s="46"/>
      <c r="BZ36" s="46"/>
      <c r="CA36" s="46"/>
      <c r="CB36" s="46"/>
      <c r="CC36" s="46"/>
      <c r="CD36" s="46"/>
      <c r="CE36" s="370">
        <v>0</v>
      </c>
      <c r="CF36" s="46">
        <v>0</v>
      </c>
      <c r="CG36" s="370">
        <v>4</v>
      </c>
      <c r="CH36" s="455">
        <v>0</v>
      </c>
      <c r="CI36" s="46">
        <v>4</v>
      </c>
      <c r="CJ36" s="46">
        <f t="shared" ref="CJ36" si="146">+CJ31+CJ34</f>
        <v>1589</v>
      </c>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370">
        <v>0</v>
      </c>
      <c r="DJ36" s="46">
        <v>0</v>
      </c>
      <c r="DK36" s="370">
        <v>0</v>
      </c>
      <c r="DL36" s="455">
        <v>0</v>
      </c>
      <c r="DM36" s="46">
        <v>0</v>
      </c>
      <c r="DN36" s="46">
        <f t="shared" ref="DN36" si="147">+DN31+DN34</f>
        <v>455</v>
      </c>
      <c r="DO36" s="398"/>
      <c r="DP36" s="398"/>
      <c r="DQ36" s="398"/>
      <c r="DR36" s="398"/>
      <c r="DS36" s="398"/>
      <c r="DT36" s="398"/>
      <c r="DU36" s="398"/>
      <c r="DV36" s="398"/>
      <c r="DW36" s="398"/>
      <c r="DX36" s="398"/>
      <c r="DY36" s="398"/>
      <c r="DZ36" s="398"/>
      <c r="EA36" s="398"/>
      <c r="EB36" s="398"/>
      <c r="EC36" s="398"/>
      <c r="ED36" s="398"/>
      <c r="EE36" s="398"/>
      <c r="EF36" s="398"/>
      <c r="EG36" s="398"/>
      <c r="EH36" s="398"/>
      <c r="EI36" s="398"/>
      <c r="EJ36" s="398"/>
      <c r="EK36" s="398"/>
      <c r="EL36" s="398"/>
      <c r="EM36" s="350">
        <f t="shared" si="138"/>
        <v>0</v>
      </c>
      <c r="EN36" s="334">
        <f t="shared" si="132"/>
        <v>0</v>
      </c>
      <c r="EO36" s="334">
        <f t="shared" si="133"/>
        <v>0</v>
      </c>
      <c r="EP36" s="335">
        <f t="shared" si="140"/>
        <v>0</v>
      </c>
      <c r="EQ36" s="334">
        <f t="shared" ref="EQ36" si="148">DR36+DT36+DV36+DP36</f>
        <v>0</v>
      </c>
      <c r="ER36" s="461">
        <f>+AN36/AM36</f>
        <v>1.2234042553191489</v>
      </c>
      <c r="ES36" s="461">
        <f t="shared" si="136"/>
        <v>1.0498866213151927</v>
      </c>
      <c r="ET36" s="460">
        <f t="shared" si="16"/>
        <v>0.51847704367301228</v>
      </c>
      <c r="EU36" s="460">
        <f t="shared" si="17"/>
        <v>1.0236051502145922</v>
      </c>
      <c r="EV36" s="462">
        <f t="shared" si="66"/>
        <v>0.20297872340425532</v>
      </c>
      <c r="EW36" s="685"/>
      <c r="EX36" s="682"/>
      <c r="EY36" s="682"/>
      <c r="EZ36" s="682"/>
      <c r="FA36" s="745"/>
      <c r="FB36" s="686"/>
    </row>
    <row r="37" spans="1:158" s="40" customFormat="1" ht="29.25" customHeight="1" thickBot="1" x14ac:dyDescent="0.3">
      <c r="A37" s="728"/>
      <c r="B37" s="730"/>
      <c r="C37" s="730"/>
      <c r="D37" s="730"/>
      <c r="E37" s="730"/>
      <c r="F37" s="394" t="s">
        <v>45</v>
      </c>
      <c r="G37" s="440">
        <f>+G32+G35</f>
        <v>6459754565</v>
      </c>
      <c r="H37" s="440">
        <f t="shared" ref="H37:AA37" si="149">+H32+H35</f>
        <v>822052399</v>
      </c>
      <c r="I37" s="440">
        <f t="shared" si="149"/>
        <v>0</v>
      </c>
      <c r="J37" s="440">
        <f t="shared" si="149"/>
        <v>0</v>
      </c>
      <c r="K37" s="440">
        <f t="shared" si="149"/>
        <v>0</v>
      </c>
      <c r="L37" s="440">
        <f t="shared" si="149"/>
        <v>0</v>
      </c>
      <c r="M37" s="440">
        <f t="shared" si="149"/>
        <v>0</v>
      </c>
      <c r="N37" s="440">
        <f t="shared" si="149"/>
        <v>0</v>
      </c>
      <c r="O37" s="440">
        <f t="shared" si="149"/>
        <v>0</v>
      </c>
      <c r="P37" s="440">
        <f t="shared" si="149"/>
        <v>0</v>
      </c>
      <c r="Q37" s="440">
        <f t="shared" si="149"/>
        <v>0</v>
      </c>
      <c r="R37" s="440">
        <f t="shared" si="149"/>
        <v>0</v>
      </c>
      <c r="S37" s="440">
        <f t="shared" si="149"/>
        <v>0</v>
      </c>
      <c r="T37" s="440">
        <f t="shared" si="149"/>
        <v>0</v>
      </c>
      <c r="U37" s="440">
        <f t="shared" si="149"/>
        <v>0</v>
      </c>
      <c r="V37" s="440">
        <f t="shared" si="149"/>
        <v>0</v>
      </c>
      <c r="W37" s="440">
        <f t="shared" si="149"/>
        <v>822052399</v>
      </c>
      <c r="X37" s="440">
        <f t="shared" si="149"/>
        <v>822052399</v>
      </c>
      <c r="Y37" s="440">
        <f t="shared" si="149"/>
        <v>535986131</v>
      </c>
      <c r="Z37" s="440">
        <f t="shared" si="149"/>
        <v>757052399</v>
      </c>
      <c r="AA37" s="440">
        <f t="shared" si="149"/>
        <v>535986131</v>
      </c>
      <c r="AB37" s="537">
        <f t="shared" ref="AB37:AY37" si="150">+AB32+AB35</f>
        <v>1611707434</v>
      </c>
      <c r="AC37" s="440">
        <f t="shared" si="150"/>
        <v>69771834</v>
      </c>
      <c r="AD37" s="440">
        <f t="shared" si="150"/>
        <v>69771834</v>
      </c>
      <c r="AE37" s="440">
        <f t="shared" si="150"/>
        <v>782719466</v>
      </c>
      <c r="AF37" s="440">
        <f t="shared" si="150"/>
        <v>782719466</v>
      </c>
      <c r="AG37" s="440">
        <f t="shared" si="150"/>
        <v>280310134</v>
      </c>
      <c r="AH37" s="440">
        <f t="shared" si="150"/>
        <v>280310134</v>
      </c>
      <c r="AI37" s="440">
        <f t="shared" si="150"/>
        <v>0</v>
      </c>
      <c r="AJ37" s="440">
        <f t="shared" si="150"/>
        <v>0</v>
      </c>
      <c r="AK37" s="440">
        <f t="shared" si="150"/>
        <v>0</v>
      </c>
      <c r="AL37" s="440">
        <f>+AL32+AL35</f>
        <v>0</v>
      </c>
      <c r="AM37" s="440">
        <f t="shared" si="150"/>
        <v>150666666.66666666</v>
      </c>
      <c r="AN37" s="440">
        <f t="shared" ref="AN37" si="151">+AN32+AN35</f>
        <v>150000000</v>
      </c>
      <c r="AO37" s="440">
        <f t="shared" si="150"/>
        <v>0</v>
      </c>
      <c r="AP37" s="440">
        <f t="shared" si="150"/>
        <v>0</v>
      </c>
      <c r="AQ37" s="440">
        <f t="shared" si="150"/>
        <v>150666666.66666666</v>
      </c>
      <c r="AR37" s="440">
        <f t="shared" si="150"/>
        <v>0</v>
      </c>
      <c r="AS37" s="440">
        <f t="shared" si="150"/>
        <v>150666666.66666666</v>
      </c>
      <c r="AT37" s="440">
        <f t="shared" si="150"/>
        <v>0</v>
      </c>
      <c r="AU37" s="440">
        <f t="shared" si="150"/>
        <v>0</v>
      </c>
      <c r="AV37" s="440">
        <f t="shared" si="150"/>
        <v>0</v>
      </c>
      <c r="AW37" s="440">
        <f t="shared" si="150"/>
        <v>0</v>
      </c>
      <c r="AX37" s="440">
        <f t="shared" si="150"/>
        <v>0</v>
      </c>
      <c r="AY37" s="440">
        <f t="shared" si="150"/>
        <v>0</v>
      </c>
      <c r="AZ37" s="538"/>
      <c r="BA37" s="441">
        <f t="shared" ref="BA37:BE37" si="152">+BA32+BA35</f>
        <v>1584801434</v>
      </c>
      <c r="BB37" s="453">
        <f t="shared" si="152"/>
        <v>1283468100.6666667</v>
      </c>
      <c r="BC37" s="453">
        <f t="shared" si="152"/>
        <v>1282801434</v>
      </c>
      <c r="BD37" s="441">
        <f t="shared" si="152"/>
        <v>1584801434.0000002</v>
      </c>
      <c r="BE37" s="453">
        <f t="shared" si="152"/>
        <v>1282801434</v>
      </c>
      <c r="BF37" s="453">
        <f t="shared" ref="BF37" si="153">+BF32+BF35</f>
        <v>1633442000</v>
      </c>
      <c r="BG37" s="538">
        <v>1515392000</v>
      </c>
      <c r="BH37" s="440">
        <v>791006000</v>
      </c>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1">
        <v>0</v>
      </c>
      <c r="CF37" s="453">
        <v>0</v>
      </c>
      <c r="CG37" s="453">
        <v>791006000</v>
      </c>
      <c r="CH37" s="441">
        <v>0</v>
      </c>
      <c r="CI37" s="453">
        <v>791006000</v>
      </c>
      <c r="CJ37" s="453">
        <f t="shared" ref="CJ37" si="154">+CJ32+CJ35</f>
        <v>1710164000</v>
      </c>
      <c r="CK37" s="440"/>
      <c r="CL37" s="440"/>
      <c r="CM37" s="440"/>
      <c r="CN37" s="440"/>
      <c r="CO37" s="440"/>
      <c r="CP37" s="440"/>
      <c r="CQ37" s="440"/>
      <c r="CR37" s="440"/>
      <c r="CS37" s="440"/>
      <c r="CT37" s="440"/>
      <c r="CU37" s="440"/>
      <c r="CV37" s="440"/>
      <c r="CW37" s="440"/>
      <c r="CX37" s="440"/>
      <c r="CY37" s="440"/>
      <c r="CZ37" s="440"/>
      <c r="DA37" s="440"/>
      <c r="DB37" s="440"/>
      <c r="DC37" s="440"/>
      <c r="DD37" s="440"/>
      <c r="DE37" s="440"/>
      <c r="DF37" s="440"/>
      <c r="DG37" s="440"/>
      <c r="DH37" s="440"/>
      <c r="DI37" s="441">
        <v>0</v>
      </c>
      <c r="DJ37" s="453">
        <v>0</v>
      </c>
      <c r="DK37" s="453">
        <v>0</v>
      </c>
      <c r="DL37" s="441">
        <v>0</v>
      </c>
      <c r="DM37" s="453">
        <v>0</v>
      </c>
      <c r="DN37" s="453">
        <f>+DN32+DN35</f>
        <v>995361000</v>
      </c>
      <c r="DO37" s="403"/>
      <c r="DP37" s="403"/>
      <c r="DQ37" s="403"/>
      <c r="DR37" s="403"/>
      <c r="DS37" s="403"/>
      <c r="DT37" s="403"/>
      <c r="DU37" s="403"/>
      <c r="DV37" s="403"/>
      <c r="DW37" s="403"/>
      <c r="DX37" s="403"/>
      <c r="DY37" s="403"/>
      <c r="DZ37" s="403"/>
      <c r="EA37" s="403"/>
      <c r="EB37" s="403"/>
      <c r="EC37" s="403"/>
      <c r="ED37" s="403"/>
      <c r="EE37" s="403"/>
      <c r="EF37" s="403"/>
      <c r="EG37" s="403"/>
      <c r="EH37" s="403"/>
      <c r="EI37" s="403"/>
      <c r="EJ37" s="403"/>
      <c r="EK37" s="403"/>
      <c r="EL37" s="403"/>
      <c r="EM37" s="400">
        <f t="shared" ref="EM37" si="155">EK37+EI37+EG37+EE37+EC37+EA37+DY37+DW37+DU37+DS37+DQ37+DO37</f>
        <v>0</v>
      </c>
      <c r="EN37" s="401">
        <f t="shared" ref="EN37" si="156">+EN32+EN35</f>
        <v>0</v>
      </c>
      <c r="EO37" s="402">
        <f t="shared" ref="EO37" si="157">EO32+EO35</f>
        <v>0</v>
      </c>
      <c r="EP37" s="401">
        <f t="shared" ref="EP37:EQ37" si="158">+EP32+EP35</f>
        <v>0</v>
      </c>
      <c r="EQ37" s="401">
        <f t="shared" si="158"/>
        <v>0</v>
      </c>
      <c r="ER37" s="578"/>
      <c r="ES37" s="578">
        <f t="shared" si="136"/>
        <v>0.9994805740272622</v>
      </c>
      <c r="ET37" s="576">
        <f t="shared" si="16"/>
        <v>0.80943984935844004</v>
      </c>
      <c r="EU37" s="576">
        <f t="shared" si="17"/>
        <v>0.89133511047652381</v>
      </c>
      <c r="EV37" s="577">
        <f t="shared" si="66"/>
        <v>0.28155675988906553</v>
      </c>
      <c r="EW37" s="685"/>
      <c r="EX37" s="682"/>
      <c r="EY37" s="682"/>
      <c r="EZ37" s="682"/>
      <c r="FA37" s="745"/>
      <c r="FB37" s="686"/>
    </row>
    <row r="38" spans="1:158" s="4" customFormat="1" ht="29.25" customHeight="1" thickBot="1" x14ac:dyDescent="0.3">
      <c r="A38" s="728" t="s">
        <v>401</v>
      </c>
      <c r="B38" s="730">
        <v>5</v>
      </c>
      <c r="C38" s="730" t="s">
        <v>407</v>
      </c>
      <c r="D38" s="730" t="s">
        <v>410</v>
      </c>
      <c r="E38" s="730">
        <v>270</v>
      </c>
      <c r="F38" s="396" t="s">
        <v>41</v>
      </c>
      <c r="G38" s="380">
        <v>1</v>
      </c>
      <c r="H38" s="380" t="s">
        <v>411</v>
      </c>
      <c r="I38" s="380" t="s">
        <v>411</v>
      </c>
      <c r="J38" s="380" t="s">
        <v>411</v>
      </c>
      <c r="K38" s="380" t="s">
        <v>411</v>
      </c>
      <c r="L38" s="380" t="s">
        <v>411</v>
      </c>
      <c r="M38" s="380" t="s">
        <v>411</v>
      </c>
      <c r="N38" s="380" t="s">
        <v>411</v>
      </c>
      <c r="O38" s="380" t="s">
        <v>411</v>
      </c>
      <c r="P38" s="380" t="s">
        <v>411</v>
      </c>
      <c r="Q38" s="380" t="s">
        <v>411</v>
      </c>
      <c r="R38" s="380" t="s">
        <v>411</v>
      </c>
      <c r="S38" s="380" t="s">
        <v>411</v>
      </c>
      <c r="T38" s="380" t="s">
        <v>411</v>
      </c>
      <c r="U38" s="380" t="s">
        <v>411</v>
      </c>
      <c r="V38" s="380" t="s">
        <v>411</v>
      </c>
      <c r="W38" s="380" t="s">
        <v>411</v>
      </c>
      <c r="X38" s="380" t="s">
        <v>411</v>
      </c>
      <c r="Y38" s="380" t="s">
        <v>411</v>
      </c>
      <c r="Z38" s="380">
        <v>1</v>
      </c>
      <c r="AA38" s="380">
        <v>1</v>
      </c>
      <c r="AB38" s="380">
        <v>1</v>
      </c>
      <c r="AC38" s="380">
        <v>1</v>
      </c>
      <c r="AD38" s="380">
        <v>1</v>
      </c>
      <c r="AE38" s="380">
        <v>1</v>
      </c>
      <c r="AF38" s="380">
        <v>1</v>
      </c>
      <c r="AG38" s="380">
        <v>1</v>
      </c>
      <c r="AH38" s="380">
        <v>1</v>
      </c>
      <c r="AI38" s="380">
        <v>1</v>
      </c>
      <c r="AJ38" s="380">
        <v>1</v>
      </c>
      <c r="AK38" s="380">
        <v>1</v>
      </c>
      <c r="AL38" s="380">
        <v>1</v>
      </c>
      <c r="AM38" s="380">
        <v>1</v>
      </c>
      <c r="AN38" s="380">
        <v>1</v>
      </c>
      <c r="AO38" s="380">
        <v>1</v>
      </c>
      <c r="AP38" s="380"/>
      <c r="AQ38" s="380">
        <v>1</v>
      </c>
      <c r="AR38" s="380"/>
      <c r="AS38" s="380">
        <v>1</v>
      </c>
      <c r="AT38" s="380"/>
      <c r="AU38" s="380">
        <v>1</v>
      </c>
      <c r="AV38" s="380"/>
      <c r="AW38" s="380">
        <v>1</v>
      </c>
      <c r="AX38" s="380"/>
      <c r="AY38" s="380">
        <v>1</v>
      </c>
      <c r="AZ38" s="380"/>
      <c r="BA38" s="380">
        <f>+AB38</f>
        <v>1</v>
      </c>
      <c r="BB38" s="380">
        <f>+AM38</f>
        <v>1</v>
      </c>
      <c r="BC38" s="380">
        <f>+AN38</f>
        <v>1</v>
      </c>
      <c r="BD38" s="380">
        <f>+G38</f>
        <v>1</v>
      </c>
      <c r="BE38" s="380">
        <f>+AN38</f>
        <v>1</v>
      </c>
      <c r="BF38" s="452">
        <v>1</v>
      </c>
      <c r="BG38" s="380"/>
      <c r="BH38" s="380"/>
      <c r="BI38" s="380"/>
      <c r="BJ38" s="380"/>
      <c r="BK38" s="380"/>
      <c r="BL38" s="380"/>
      <c r="BM38" s="380"/>
      <c r="BN38" s="380"/>
      <c r="BO38" s="380"/>
      <c r="BP38" s="380"/>
      <c r="BQ38" s="380"/>
      <c r="BR38" s="380"/>
      <c r="BS38" s="380"/>
      <c r="BT38" s="380"/>
      <c r="BU38" s="380"/>
      <c r="BV38" s="380"/>
      <c r="BW38" s="380"/>
      <c r="BX38" s="380"/>
      <c r="BY38" s="380"/>
      <c r="BZ38" s="380"/>
      <c r="CA38" s="380"/>
      <c r="CB38" s="380"/>
      <c r="CC38" s="380"/>
      <c r="CD38" s="380"/>
      <c r="CE38" s="380">
        <f t="shared" ref="CE38:CE39" si="159">CC38+CA38+BY38+BW38+BU38+BS38+BQ38+BO38+BM38+BK38+BI38+AZ38</f>
        <v>0</v>
      </c>
      <c r="CF38" s="380">
        <f t="shared" ref="CF38:CF42" si="160">AZ38+BI38+BK38+BM38</f>
        <v>0</v>
      </c>
      <c r="CG38" s="380">
        <f t="shared" ref="CG38:CG42" si="161">BH38+BJ38+BL38+BN38</f>
        <v>0</v>
      </c>
      <c r="CH38" s="380">
        <f t="shared" ref="CH38:CH39" si="162">BI38+BK38+BM38+BO38+BQ38+BS38+BU38+BW38+BY38+CA38+CC38+AZ38</f>
        <v>0</v>
      </c>
      <c r="CI38" s="380">
        <f t="shared" ref="CI38:CI42" si="163">BH38+BJ38+BL38+BN38</f>
        <v>0</v>
      </c>
      <c r="CJ38" s="380">
        <v>1</v>
      </c>
      <c r="CK38" s="380"/>
      <c r="CL38" s="380"/>
      <c r="CM38" s="380"/>
      <c r="CN38" s="380"/>
      <c r="CO38" s="380"/>
      <c r="CP38" s="380"/>
      <c r="CQ38" s="380"/>
      <c r="CR38" s="380"/>
      <c r="CS38" s="380"/>
      <c r="CT38" s="380"/>
      <c r="CU38" s="380"/>
      <c r="CV38" s="380"/>
      <c r="CW38" s="380"/>
      <c r="CX38" s="380"/>
      <c r="CY38" s="380"/>
      <c r="CZ38" s="380"/>
      <c r="DA38" s="380"/>
      <c r="DB38" s="380"/>
      <c r="DC38" s="380"/>
      <c r="DD38" s="380"/>
      <c r="DE38" s="380"/>
      <c r="DF38" s="380"/>
      <c r="DG38" s="380"/>
      <c r="DH38" s="380"/>
      <c r="DI38" s="380">
        <f t="shared" ref="DI38:DI39" si="164">DG38+DE38+DC38+DA38+CY38+CW38+CU38+CS38+CQ38+CO38+CM38+CK38</f>
        <v>0</v>
      </c>
      <c r="DJ38" s="380">
        <f t="shared" ref="DJ38:DJ39" si="165">CK38+CM38+CO38+CQ38</f>
        <v>0</v>
      </c>
      <c r="DK38" s="380">
        <f t="shared" ref="DK38:DK39" si="166">CL38+CN38+CP38+CR38</f>
        <v>0</v>
      </c>
      <c r="DL38" s="380">
        <f t="shared" ref="DL38:DL39" si="167">CM38+CO38+CQ38+CS38+CU38+CW38+CY38+DA38+DC38+DE38+DG38+CK38</f>
        <v>0</v>
      </c>
      <c r="DM38" s="380">
        <f t="shared" ref="DM38:DM39" si="168">CL38+CN38+CP38+CR38</f>
        <v>0</v>
      </c>
      <c r="DN38" s="380">
        <v>1</v>
      </c>
      <c r="DO38" s="529"/>
      <c r="DP38" s="529"/>
      <c r="DQ38" s="529"/>
      <c r="DR38" s="529"/>
      <c r="DS38" s="529"/>
      <c r="DT38" s="529"/>
      <c r="DU38" s="529"/>
      <c r="DV38" s="529"/>
      <c r="DW38" s="529"/>
      <c r="DX38" s="529"/>
      <c r="DY38" s="529"/>
      <c r="DZ38" s="529"/>
      <c r="EA38" s="529"/>
      <c r="EB38" s="529"/>
      <c r="EC38" s="529"/>
      <c r="ED38" s="529"/>
      <c r="EE38" s="529"/>
      <c r="EF38" s="529"/>
      <c r="EG38" s="529"/>
      <c r="EH38" s="529"/>
      <c r="EI38" s="529"/>
      <c r="EJ38" s="529"/>
      <c r="EK38" s="529"/>
      <c r="EL38" s="529"/>
      <c r="EM38" s="530">
        <f>EK38+EI38+EG38+EE38+EA38+DY38+DW38+DU38+DS38+DQ38+DO38</f>
        <v>0</v>
      </c>
      <c r="EN38" s="530">
        <f>DO38+DQ38+DS38+DU38</f>
        <v>0</v>
      </c>
      <c r="EO38" s="530">
        <f>DP38+DR38+DT38+DV38</f>
        <v>0</v>
      </c>
      <c r="EP38" s="530">
        <f>EM38+CO38</f>
        <v>0</v>
      </c>
      <c r="EQ38" s="531">
        <f>EO38+CO38</f>
        <v>0</v>
      </c>
      <c r="ER38" s="461">
        <f t="shared" ref="ER38:ER47" si="169">+AN38/AM38</f>
        <v>1</v>
      </c>
      <c r="ES38" s="461">
        <f t="shared" si="136"/>
        <v>1</v>
      </c>
      <c r="ET38" s="460">
        <f t="shared" si="16"/>
        <v>1</v>
      </c>
      <c r="EU38" s="460">
        <f t="shared" si="17"/>
        <v>1</v>
      </c>
      <c r="EV38" s="462">
        <f>200/500</f>
        <v>0.4</v>
      </c>
      <c r="EW38" s="687" t="s">
        <v>531</v>
      </c>
      <c r="EX38" s="682" t="s">
        <v>454</v>
      </c>
      <c r="EY38" s="682" t="s">
        <v>454</v>
      </c>
      <c r="EZ38" s="684" t="s">
        <v>468</v>
      </c>
      <c r="FA38" s="688" t="s">
        <v>481</v>
      </c>
      <c r="FB38" s="686"/>
    </row>
    <row r="39" spans="1:158" s="154" customFormat="1" ht="29.25" customHeight="1" thickBot="1" x14ac:dyDescent="0.3">
      <c r="A39" s="728"/>
      <c r="B39" s="730"/>
      <c r="C39" s="730"/>
      <c r="D39" s="730"/>
      <c r="E39" s="730"/>
      <c r="F39" s="394" t="s">
        <v>3</v>
      </c>
      <c r="G39" s="415">
        <f>+AA39+BD39+BF39+CJ39+DN39</f>
        <v>3045791000</v>
      </c>
      <c r="H39" s="414">
        <v>403410000</v>
      </c>
      <c r="I39" s="415"/>
      <c r="J39" s="415"/>
      <c r="K39" s="415"/>
      <c r="L39" s="415"/>
      <c r="M39" s="415"/>
      <c r="N39" s="415"/>
      <c r="O39" s="415"/>
      <c r="P39" s="415"/>
      <c r="Q39" s="415"/>
      <c r="R39" s="415"/>
      <c r="S39" s="415"/>
      <c r="T39" s="414"/>
      <c r="U39" s="448"/>
      <c r="V39" s="448"/>
      <c r="W39" s="414">
        <v>403410000</v>
      </c>
      <c r="X39" s="414">
        <v>403410000</v>
      </c>
      <c r="Y39" s="414">
        <v>232617000</v>
      </c>
      <c r="Z39" s="414">
        <v>263410000</v>
      </c>
      <c r="AA39" s="414">
        <v>232617000</v>
      </c>
      <c r="AB39" s="414">
        <v>689070000</v>
      </c>
      <c r="AC39" s="415">
        <v>0</v>
      </c>
      <c r="AD39" s="415">
        <v>0</v>
      </c>
      <c r="AE39" s="415">
        <v>34584000</v>
      </c>
      <c r="AF39" s="415">
        <f>34584000-AD39</f>
        <v>34584000</v>
      </c>
      <c r="AG39" s="415">
        <v>308422000</v>
      </c>
      <c r="AH39" s="415">
        <f>343006000-AF39-AD39</f>
        <v>308422000</v>
      </c>
      <c r="AI39" s="415">
        <v>1738634</v>
      </c>
      <c r="AJ39" s="415">
        <f>344744634-AH39-AF39-AD39</f>
        <v>1738634</v>
      </c>
      <c r="AK39" s="415">
        <v>14241944</v>
      </c>
      <c r="AL39" s="415">
        <f>358986578-AJ39-AH39-AF39-AD39-5000000</f>
        <v>9241944</v>
      </c>
      <c r="AM39" s="415">
        <v>0</v>
      </c>
      <c r="AN39" s="415">
        <v>101779714</v>
      </c>
      <c r="AO39" s="415">
        <v>0</v>
      </c>
      <c r="AP39" s="415"/>
      <c r="AQ39" s="415">
        <v>41419807.333333336</v>
      </c>
      <c r="AR39" s="415"/>
      <c r="AS39" s="415">
        <v>41419807.333333336</v>
      </c>
      <c r="AT39" s="415"/>
      <c r="AU39" s="415">
        <v>41419807.333333336</v>
      </c>
      <c r="AV39" s="415"/>
      <c r="AW39" s="415">
        <v>0</v>
      </c>
      <c r="AX39" s="415"/>
      <c r="AY39" s="415">
        <v>0</v>
      </c>
      <c r="AZ39" s="415"/>
      <c r="BA39" s="415">
        <f>AY39+AW39+AU39+AS39+AQ39+AO39+AM39+AK39+AI39+AG39+AE39+AC39</f>
        <v>483246000</v>
      </c>
      <c r="BB39" s="415">
        <f>AC39+AE39+AG39+AI39+AK39+AM39</f>
        <v>358986578</v>
      </c>
      <c r="BC39" s="415">
        <f>AD39+AF39+AH39+AJ39+AL39+AN39</f>
        <v>455766292</v>
      </c>
      <c r="BD39" s="414">
        <f>AE39+AG39+AI39+AK39+AM39+AO39+AQ39+AS39+AU39+AW39+AY39+AC39</f>
        <v>483245999.99999994</v>
      </c>
      <c r="BE39" s="442">
        <f>AD39+AF39+AH39+AJ39+AL39+AN39</f>
        <v>455766292</v>
      </c>
      <c r="BF39" s="415">
        <v>722702000</v>
      </c>
      <c r="BG39" s="415"/>
      <c r="BH39" s="415"/>
      <c r="BI39" s="415"/>
      <c r="BJ39" s="415"/>
      <c r="BK39" s="415"/>
      <c r="BL39" s="415"/>
      <c r="BM39" s="415"/>
      <c r="BN39" s="415"/>
      <c r="BO39" s="415"/>
      <c r="BP39" s="415"/>
      <c r="BQ39" s="415"/>
      <c r="BR39" s="415"/>
      <c r="BS39" s="415"/>
      <c r="BT39" s="415"/>
      <c r="BU39" s="415"/>
      <c r="BV39" s="415"/>
      <c r="BW39" s="415"/>
      <c r="BX39" s="415"/>
      <c r="BY39" s="415"/>
      <c r="BZ39" s="415"/>
      <c r="CA39" s="415"/>
      <c r="CB39" s="415"/>
      <c r="CC39" s="415"/>
      <c r="CD39" s="415"/>
      <c r="CE39" s="414">
        <f t="shared" si="159"/>
        <v>0</v>
      </c>
      <c r="CF39" s="442">
        <f t="shared" si="160"/>
        <v>0</v>
      </c>
      <c r="CG39" s="442">
        <f t="shared" si="161"/>
        <v>0</v>
      </c>
      <c r="CH39" s="414">
        <f t="shared" si="162"/>
        <v>0</v>
      </c>
      <c r="CI39" s="442">
        <f t="shared" si="163"/>
        <v>0</v>
      </c>
      <c r="CJ39" s="415">
        <v>758837000</v>
      </c>
      <c r="CK39" s="415"/>
      <c r="CL39" s="415"/>
      <c r="CM39" s="415"/>
      <c r="CN39" s="415"/>
      <c r="CO39" s="415"/>
      <c r="CP39" s="415"/>
      <c r="CQ39" s="415"/>
      <c r="CR39" s="415"/>
      <c r="CS39" s="415"/>
      <c r="CT39" s="415"/>
      <c r="CU39" s="415"/>
      <c r="CV39" s="415"/>
      <c r="CW39" s="415"/>
      <c r="CX39" s="415"/>
      <c r="CY39" s="415"/>
      <c r="CZ39" s="415"/>
      <c r="DA39" s="415"/>
      <c r="DB39" s="415"/>
      <c r="DC39" s="415"/>
      <c r="DD39" s="415"/>
      <c r="DE39" s="415"/>
      <c r="DF39" s="415"/>
      <c r="DG39" s="415"/>
      <c r="DH39" s="415"/>
      <c r="DI39" s="414">
        <f t="shared" si="164"/>
        <v>0</v>
      </c>
      <c r="DJ39" s="442">
        <f t="shared" si="165"/>
        <v>0</v>
      </c>
      <c r="DK39" s="442">
        <f t="shared" si="166"/>
        <v>0</v>
      </c>
      <c r="DL39" s="414">
        <f t="shared" si="167"/>
        <v>0</v>
      </c>
      <c r="DM39" s="442">
        <f t="shared" si="168"/>
        <v>0</v>
      </c>
      <c r="DN39" s="415">
        <v>848389000</v>
      </c>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150"/>
      <c r="EM39" s="351">
        <f>EK39+EI39+EG39+EE39+EC39+EA39+DY39+DW39+DU39+DS39+DQ39+DO39</f>
        <v>0</v>
      </c>
      <c r="EN39" s="328">
        <f>DO39+DQ39+DS39+DU39</f>
        <v>0</v>
      </c>
      <c r="EO39" s="328">
        <f>DP39+DR39+DT39+DV39</f>
        <v>0</v>
      </c>
      <c r="EP39" s="328">
        <f>DO39+DQ39+DS39+DU39+DW39+DY39+EA39+EC39+EE39+EI39+EK39</f>
        <v>0</v>
      </c>
      <c r="EQ39" s="332">
        <f>DP39+DR39+DT39+DV39</f>
        <v>0</v>
      </c>
      <c r="ER39" s="461">
        <v>0</v>
      </c>
      <c r="ES39" s="461">
        <f t="shared" si="136"/>
        <v>1.2695914553106216</v>
      </c>
      <c r="ET39" s="460">
        <f t="shared" si="16"/>
        <v>0.94313515683523519</v>
      </c>
      <c r="EU39" s="460">
        <f t="shared" si="17"/>
        <v>1.1060203676119826</v>
      </c>
      <c r="EV39" s="462">
        <v>0.4</v>
      </c>
      <c r="EW39" s="687"/>
      <c r="EX39" s="682"/>
      <c r="EY39" s="682"/>
      <c r="EZ39" s="684"/>
      <c r="FA39" s="688"/>
      <c r="FB39" s="686"/>
    </row>
    <row r="40" spans="1:158" s="154" customFormat="1" ht="29.25" customHeight="1" thickBot="1" x14ac:dyDescent="0.3">
      <c r="A40" s="728"/>
      <c r="B40" s="730"/>
      <c r="C40" s="730"/>
      <c r="D40" s="730"/>
      <c r="E40" s="730"/>
      <c r="F40" s="395" t="s">
        <v>305</v>
      </c>
      <c r="G40" s="415"/>
      <c r="H40" s="414"/>
      <c r="I40" s="415"/>
      <c r="J40" s="415"/>
      <c r="K40" s="415"/>
      <c r="L40" s="415"/>
      <c r="M40" s="415"/>
      <c r="N40" s="415"/>
      <c r="O40" s="415"/>
      <c r="P40" s="415"/>
      <c r="Q40" s="415"/>
      <c r="R40" s="415"/>
      <c r="S40" s="415"/>
      <c r="T40" s="414"/>
      <c r="U40" s="448"/>
      <c r="V40" s="448"/>
      <c r="W40" s="414"/>
      <c r="X40" s="414"/>
      <c r="Y40" s="414"/>
      <c r="Z40" s="414"/>
      <c r="AA40" s="415"/>
      <c r="AB40" s="414"/>
      <c r="AC40" s="415">
        <v>0</v>
      </c>
      <c r="AD40" s="415">
        <v>0</v>
      </c>
      <c r="AE40" s="415">
        <v>0</v>
      </c>
      <c r="AF40" s="415">
        <v>0</v>
      </c>
      <c r="AG40" s="415">
        <v>0</v>
      </c>
      <c r="AH40" s="415">
        <v>0</v>
      </c>
      <c r="AI40" s="415">
        <v>29463567</v>
      </c>
      <c r="AJ40" s="415">
        <f>29463567-AH40</f>
        <v>29463567</v>
      </c>
      <c r="AK40" s="415">
        <v>42312234</v>
      </c>
      <c r="AL40" s="415">
        <f>71775801-AJ40+5062267</f>
        <v>47374501</v>
      </c>
      <c r="AM40" s="415">
        <v>45547691</v>
      </c>
      <c r="AN40" s="415">
        <v>45547691</v>
      </c>
      <c r="AO40" s="415">
        <v>0</v>
      </c>
      <c r="AP40" s="415"/>
      <c r="AQ40" s="415">
        <v>0</v>
      </c>
      <c r="AR40" s="415"/>
      <c r="AS40" s="415">
        <v>0</v>
      </c>
      <c r="AT40" s="415"/>
      <c r="AU40" s="415">
        <v>0</v>
      </c>
      <c r="AV40" s="415"/>
      <c r="AW40" s="415">
        <v>0</v>
      </c>
      <c r="AX40" s="415"/>
      <c r="AY40" s="415">
        <v>0</v>
      </c>
      <c r="AZ40" s="415"/>
      <c r="BA40" s="415">
        <f>AY40+AW40+AU40+AS40+AQ40+AO40+AM40+AK40+AI40+AG40+AE40+AC40</f>
        <v>117323492</v>
      </c>
      <c r="BB40" s="415">
        <f>AC40+AE40+AG40+AI40+AK40+AM40</f>
        <v>117323492</v>
      </c>
      <c r="BC40" s="442">
        <f>AD40+AF40+AH40+AJ40+AL40+AN40</f>
        <v>122385759</v>
      </c>
      <c r="BD40" s="414">
        <f>AE40+AG40+AI40+AK40+AM40+AO40+AQ40+AS40+AU40+AW40+AY40+AC40</f>
        <v>117323492</v>
      </c>
      <c r="BE40" s="442">
        <f>AD40+AF40+AH40+AJ40+AL40+AN40</f>
        <v>122385759</v>
      </c>
      <c r="BF40" s="415">
        <v>0</v>
      </c>
      <c r="BG40" s="415"/>
      <c r="BH40" s="415"/>
      <c r="BI40" s="415"/>
      <c r="BJ40" s="415"/>
      <c r="BK40" s="415"/>
      <c r="BL40" s="415"/>
      <c r="BM40" s="415"/>
      <c r="BN40" s="415"/>
      <c r="BO40" s="415"/>
      <c r="BP40" s="415"/>
      <c r="BQ40" s="415"/>
      <c r="BR40" s="415"/>
      <c r="BS40" s="415"/>
      <c r="BT40" s="415"/>
      <c r="BU40" s="415"/>
      <c r="BV40" s="415"/>
      <c r="BW40" s="415"/>
      <c r="BX40" s="415"/>
      <c r="BY40" s="415"/>
      <c r="BZ40" s="415"/>
      <c r="CA40" s="415"/>
      <c r="CB40" s="415"/>
      <c r="CC40" s="415"/>
      <c r="CD40" s="415"/>
      <c r="CE40" s="414"/>
      <c r="CF40" s="442"/>
      <c r="CG40" s="442"/>
      <c r="CH40" s="414"/>
      <c r="CI40" s="442"/>
      <c r="CJ40" s="415">
        <v>0</v>
      </c>
      <c r="CK40" s="415"/>
      <c r="CL40" s="415"/>
      <c r="CM40" s="415"/>
      <c r="CN40" s="415"/>
      <c r="CO40" s="415"/>
      <c r="CP40" s="415"/>
      <c r="CQ40" s="415"/>
      <c r="CR40" s="415"/>
      <c r="CS40" s="415"/>
      <c r="CT40" s="415"/>
      <c r="CU40" s="415"/>
      <c r="CV40" s="415"/>
      <c r="CW40" s="415"/>
      <c r="CX40" s="415"/>
      <c r="CY40" s="415"/>
      <c r="CZ40" s="415"/>
      <c r="DA40" s="415"/>
      <c r="DB40" s="415"/>
      <c r="DC40" s="415"/>
      <c r="DD40" s="415"/>
      <c r="DE40" s="415"/>
      <c r="DF40" s="415"/>
      <c r="DG40" s="415"/>
      <c r="DH40" s="415"/>
      <c r="DI40" s="414"/>
      <c r="DJ40" s="442"/>
      <c r="DK40" s="442"/>
      <c r="DL40" s="414"/>
      <c r="DM40" s="442"/>
      <c r="DN40" s="415">
        <v>0</v>
      </c>
      <c r="DO40" s="150"/>
      <c r="DP40" s="150"/>
      <c r="DQ40" s="150"/>
      <c r="DR40" s="150"/>
      <c r="DS40" s="150"/>
      <c r="DT40" s="150"/>
      <c r="DU40" s="150"/>
      <c r="DV40" s="150"/>
      <c r="DW40" s="150"/>
      <c r="DX40" s="150"/>
      <c r="DY40" s="150"/>
      <c r="DZ40" s="150"/>
      <c r="EA40" s="150"/>
      <c r="EB40" s="150"/>
      <c r="EC40" s="150"/>
      <c r="ED40" s="150"/>
      <c r="EE40" s="150"/>
      <c r="EF40" s="150"/>
      <c r="EG40" s="150"/>
      <c r="EH40" s="150"/>
      <c r="EI40" s="150"/>
      <c r="EJ40" s="150"/>
      <c r="EK40" s="150"/>
      <c r="EL40" s="150"/>
      <c r="EM40" s="404">
        <f>EI40+EG40+EE40+EC40+EA40+DY40+DW40+DU40+DS40+DQ40+DO40+EK40</f>
        <v>0</v>
      </c>
      <c r="EN40" s="328">
        <f>+DO40+DQ40+DS40+DU40</f>
        <v>0</v>
      </c>
      <c r="EO40" s="328">
        <f>DP40+DR40+DT40+DV40</f>
        <v>0</v>
      </c>
      <c r="EP40" s="328">
        <f>DQ40+DS40+DU40+DW40+DY40+EA40+EC40+EE40+EG40+EI40+EK40</f>
        <v>0</v>
      </c>
      <c r="EQ40" s="332">
        <f>DP40+DR40+DT40+DV40</f>
        <v>0</v>
      </c>
      <c r="ER40" s="461">
        <f t="shared" si="169"/>
        <v>1</v>
      </c>
      <c r="ES40" s="461">
        <f t="shared" si="136"/>
        <v>1.0431479400561996</v>
      </c>
      <c r="ET40" s="460">
        <f t="shared" si="16"/>
        <v>1.0431479400561996</v>
      </c>
      <c r="EU40" s="460">
        <f t="shared" si="17"/>
        <v>1.0431479400561996</v>
      </c>
      <c r="EV40" s="462" t="e">
        <f t="shared" si="66"/>
        <v>#DIV/0!</v>
      </c>
      <c r="EW40" s="687"/>
      <c r="EX40" s="682"/>
      <c r="EY40" s="682"/>
      <c r="EZ40" s="684"/>
      <c r="FA40" s="688"/>
      <c r="FB40" s="686"/>
    </row>
    <row r="41" spans="1:158" s="4" customFormat="1" ht="29.25" customHeight="1" thickBot="1" x14ac:dyDescent="0.3">
      <c r="A41" s="728"/>
      <c r="B41" s="730"/>
      <c r="C41" s="730"/>
      <c r="D41" s="730"/>
      <c r="E41" s="730"/>
      <c r="F41" s="396" t="s">
        <v>42</v>
      </c>
      <c r="G41" s="380">
        <v>0</v>
      </c>
      <c r="H41" s="413">
        <v>0</v>
      </c>
      <c r="I41" s="294">
        <v>0</v>
      </c>
      <c r="J41" s="294">
        <v>0</v>
      </c>
      <c r="K41" s="294">
        <v>0</v>
      </c>
      <c r="L41" s="294">
        <v>0</v>
      </c>
      <c r="M41" s="294">
        <v>0</v>
      </c>
      <c r="N41" s="46">
        <v>0</v>
      </c>
      <c r="O41" s="294">
        <v>0</v>
      </c>
      <c r="P41" s="46">
        <v>0</v>
      </c>
      <c r="Q41" s="294">
        <v>0</v>
      </c>
      <c r="R41" s="451">
        <v>0</v>
      </c>
      <c r="S41" s="294">
        <v>0</v>
      </c>
      <c r="T41" s="46">
        <v>0</v>
      </c>
      <c r="U41" s="294">
        <v>0</v>
      </c>
      <c r="V41" s="294">
        <v>0</v>
      </c>
      <c r="W41" s="380">
        <v>0</v>
      </c>
      <c r="X41" s="380">
        <v>0</v>
      </c>
      <c r="Y41" s="380">
        <v>0</v>
      </c>
      <c r="Z41" s="380">
        <v>0</v>
      </c>
      <c r="AA41" s="380">
        <v>0</v>
      </c>
      <c r="AB41" s="380">
        <v>0</v>
      </c>
      <c r="AC41" s="380">
        <v>0</v>
      </c>
      <c r="AD41" s="380">
        <v>0</v>
      </c>
      <c r="AE41" s="380">
        <v>0</v>
      </c>
      <c r="AF41" s="380">
        <v>0</v>
      </c>
      <c r="AG41" s="380">
        <v>0</v>
      </c>
      <c r="AH41" s="380">
        <v>0</v>
      </c>
      <c r="AI41" s="380">
        <v>0</v>
      </c>
      <c r="AJ41" s="380">
        <v>0</v>
      </c>
      <c r="AK41" s="380">
        <v>0</v>
      </c>
      <c r="AL41" s="380">
        <v>0</v>
      </c>
      <c r="AM41" s="380">
        <v>0</v>
      </c>
      <c r="AN41" s="380">
        <v>0</v>
      </c>
      <c r="AO41" s="380">
        <v>0</v>
      </c>
      <c r="AP41" s="46"/>
      <c r="AQ41" s="380">
        <v>0</v>
      </c>
      <c r="AR41" s="46"/>
      <c r="AS41" s="380">
        <v>0</v>
      </c>
      <c r="AT41" s="46"/>
      <c r="AU41" s="380">
        <v>0</v>
      </c>
      <c r="AV41" s="46"/>
      <c r="AW41" s="380">
        <v>0</v>
      </c>
      <c r="AX41" s="46"/>
      <c r="AY41" s="380">
        <v>0</v>
      </c>
      <c r="AZ41" s="46"/>
      <c r="BA41" s="380">
        <f>+AB41</f>
        <v>0</v>
      </c>
      <c r="BB41" s="380">
        <f>+AK41</f>
        <v>0</v>
      </c>
      <c r="BC41" s="380">
        <f>+AL41</f>
        <v>0</v>
      </c>
      <c r="BD41" s="380">
        <f>+G41</f>
        <v>0</v>
      </c>
      <c r="BE41" s="380">
        <f>+AL41</f>
        <v>0</v>
      </c>
      <c r="BF41" s="452">
        <v>0</v>
      </c>
      <c r="BG41" s="294"/>
      <c r="BH41" s="294"/>
      <c r="BI41" s="294"/>
      <c r="BJ41" s="294"/>
      <c r="BK41" s="294"/>
      <c r="BL41" s="294"/>
      <c r="BM41" s="294"/>
      <c r="BN41" s="294"/>
      <c r="BO41" s="294"/>
      <c r="BP41" s="294"/>
      <c r="BQ41" s="294"/>
      <c r="BR41" s="294"/>
      <c r="BS41" s="294"/>
      <c r="BT41" s="294"/>
      <c r="BU41" s="294"/>
      <c r="BV41" s="294"/>
      <c r="BW41" s="294"/>
      <c r="BX41" s="294"/>
      <c r="BY41" s="294"/>
      <c r="BZ41" s="294"/>
      <c r="CA41" s="294"/>
      <c r="CB41" s="294"/>
      <c r="CC41" s="294"/>
      <c r="CD41" s="294"/>
      <c r="CE41" s="294">
        <f t="shared" ref="CE41:CE42" si="170">CA41+BY41+BW41+BU41+BS41+BQ41+BO41+BM41+BK41+BI41+AZ41+CC41</f>
        <v>0</v>
      </c>
      <c r="CF41" s="294">
        <f t="shared" si="160"/>
        <v>0</v>
      </c>
      <c r="CG41" s="46">
        <f t="shared" si="161"/>
        <v>0</v>
      </c>
      <c r="CH41" s="371">
        <f t="shared" ref="CH41" si="171">AZ41+BI41+BK41+BM41+BO41+BQ41+BS41+BU41+BW41+BY41+CA41+CC41</f>
        <v>0</v>
      </c>
      <c r="CI41" s="46">
        <f t="shared" si="163"/>
        <v>0</v>
      </c>
      <c r="CJ41" s="380">
        <v>0</v>
      </c>
      <c r="CK41" s="294">
        <v>0</v>
      </c>
      <c r="CL41" s="294">
        <v>0</v>
      </c>
      <c r="CM41" s="294">
        <v>0</v>
      </c>
      <c r="CN41" s="294">
        <v>0</v>
      </c>
      <c r="CO41" s="294">
        <v>0</v>
      </c>
      <c r="CP41" s="294">
        <v>0</v>
      </c>
      <c r="CQ41" s="294">
        <v>0</v>
      </c>
      <c r="CR41" s="294">
        <v>0</v>
      </c>
      <c r="CS41" s="294">
        <v>0</v>
      </c>
      <c r="CT41" s="294">
        <v>0</v>
      </c>
      <c r="CU41" s="294">
        <v>0</v>
      </c>
      <c r="CV41" s="294">
        <v>0</v>
      </c>
      <c r="CW41" s="294">
        <v>0</v>
      </c>
      <c r="CX41" s="294">
        <v>0</v>
      </c>
      <c r="CY41" s="294">
        <v>0</v>
      </c>
      <c r="CZ41" s="294">
        <v>0</v>
      </c>
      <c r="DA41" s="294">
        <v>0</v>
      </c>
      <c r="DB41" s="294">
        <v>0</v>
      </c>
      <c r="DC41" s="294">
        <v>0</v>
      </c>
      <c r="DD41" s="294">
        <v>0</v>
      </c>
      <c r="DE41" s="294">
        <v>0</v>
      </c>
      <c r="DF41" s="294">
        <v>0</v>
      </c>
      <c r="DG41" s="294">
        <v>0</v>
      </c>
      <c r="DH41" s="294">
        <v>0</v>
      </c>
      <c r="DI41" s="294">
        <v>0</v>
      </c>
      <c r="DJ41" s="294">
        <v>0</v>
      </c>
      <c r="DK41" s="294">
        <v>0</v>
      </c>
      <c r="DL41" s="371">
        <v>0</v>
      </c>
      <c r="DM41" s="294">
        <v>0</v>
      </c>
      <c r="DN41" s="380">
        <v>0</v>
      </c>
      <c r="DO41" s="155"/>
      <c r="DP41" s="155"/>
      <c r="DQ41" s="155"/>
      <c r="DR41" s="155"/>
      <c r="DS41" s="155"/>
      <c r="DT41" s="155"/>
      <c r="DU41" s="155"/>
      <c r="DV41" s="155"/>
      <c r="DW41" s="155"/>
      <c r="DX41" s="155"/>
      <c r="DY41" s="155"/>
      <c r="DZ41" s="155"/>
      <c r="EA41" s="155"/>
      <c r="EB41" s="155"/>
      <c r="EC41" s="155"/>
      <c r="ED41" s="155"/>
      <c r="EE41" s="155"/>
      <c r="EF41" s="155"/>
      <c r="EG41" s="38"/>
      <c r="EH41" s="155"/>
      <c r="EI41" s="38"/>
      <c r="EJ41" s="155"/>
      <c r="EK41" s="38"/>
      <c r="EL41" s="155"/>
      <c r="EM41" s="329"/>
      <c r="EN41" s="330">
        <f>DO41+DQ41+DS41+DU41</f>
        <v>0</v>
      </c>
      <c r="EO41" s="330">
        <f>DP41+DR41+DT41+DV41</f>
        <v>0</v>
      </c>
      <c r="EP41" s="330">
        <f>DQ41+DS41+DU41+DW41+DY41+EA41+EC41+EE41+EG41+EI41+EK41</f>
        <v>0</v>
      </c>
      <c r="EQ41" s="405">
        <v>0</v>
      </c>
      <c r="ER41" s="461">
        <v>0</v>
      </c>
      <c r="ES41" s="461" t="e">
        <f t="shared" si="136"/>
        <v>#DIV/0!</v>
      </c>
      <c r="ET41" s="460" t="e">
        <f t="shared" si="16"/>
        <v>#DIV/0!</v>
      </c>
      <c r="EU41" s="460" t="e">
        <f t="shared" si="17"/>
        <v>#DIV/0!</v>
      </c>
      <c r="EV41" s="462" t="e">
        <f t="shared" si="66"/>
        <v>#DIV/0!</v>
      </c>
      <c r="EW41" s="687"/>
      <c r="EX41" s="682"/>
      <c r="EY41" s="682"/>
      <c r="EZ41" s="684"/>
      <c r="FA41" s="688"/>
      <c r="FB41" s="686"/>
    </row>
    <row r="42" spans="1:158" s="152" customFormat="1" ht="29.25" customHeight="1" thickBot="1" x14ac:dyDescent="0.3">
      <c r="A42" s="728"/>
      <c r="B42" s="730"/>
      <c r="C42" s="730"/>
      <c r="D42" s="730"/>
      <c r="E42" s="730"/>
      <c r="F42" s="394" t="s">
        <v>4</v>
      </c>
      <c r="G42" s="415">
        <f>+AA42+BD42+BF42+CJ42+DN42</f>
        <v>84042144</v>
      </c>
      <c r="H42" s="414">
        <v>104209010</v>
      </c>
      <c r="I42" s="415">
        <v>0</v>
      </c>
      <c r="J42" s="415">
        <v>0</v>
      </c>
      <c r="K42" s="415">
        <v>0</v>
      </c>
      <c r="L42" s="415">
        <v>0</v>
      </c>
      <c r="M42" s="415">
        <v>0</v>
      </c>
      <c r="N42" s="415">
        <v>0</v>
      </c>
      <c r="O42" s="415">
        <v>0</v>
      </c>
      <c r="P42" s="415">
        <v>0</v>
      </c>
      <c r="Q42" s="415">
        <v>0</v>
      </c>
      <c r="R42" s="415">
        <v>0</v>
      </c>
      <c r="S42" s="415">
        <v>0</v>
      </c>
      <c r="T42" s="414">
        <v>0</v>
      </c>
      <c r="U42" s="448">
        <v>0</v>
      </c>
      <c r="V42" s="448">
        <v>0</v>
      </c>
      <c r="W42" s="414">
        <v>104209010</v>
      </c>
      <c r="X42" s="414">
        <v>104209010</v>
      </c>
      <c r="Y42" s="414">
        <v>0</v>
      </c>
      <c r="Z42" s="414">
        <v>104209010</v>
      </c>
      <c r="AA42" s="415">
        <v>0</v>
      </c>
      <c r="AB42" s="414">
        <v>88778010</v>
      </c>
      <c r="AC42" s="415">
        <v>15431000</v>
      </c>
      <c r="AD42" s="415">
        <v>15431000</v>
      </c>
      <c r="AE42" s="415">
        <v>26156334</v>
      </c>
      <c r="AF42" s="415">
        <f>41587334-AD42</f>
        <v>26156334</v>
      </c>
      <c r="AG42" s="415">
        <v>10660833</v>
      </c>
      <c r="AH42" s="415">
        <f>52248167-AF42-AD42</f>
        <v>10660833</v>
      </c>
      <c r="AI42" s="415">
        <v>15349934</v>
      </c>
      <c r="AJ42" s="415">
        <f>67598101-AH42-AF42-AD42</f>
        <v>15349934</v>
      </c>
      <c r="AK42" s="415">
        <v>1480833</v>
      </c>
      <c r="AL42" s="415">
        <f>69078934-AJ42-AH42-AF42-AD42</f>
        <v>1480833</v>
      </c>
      <c r="AM42" s="415">
        <v>2673933</v>
      </c>
      <c r="AN42" s="415">
        <v>4986645</v>
      </c>
      <c r="AO42" s="415">
        <v>0</v>
      </c>
      <c r="AP42" s="415"/>
      <c r="AQ42" s="415">
        <v>11094200</v>
      </c>
      <c r="AR42" s="415"/>
      <c r="AS42" s="415">
        <v>1195077</v>
      </c>
      <c r="AT42" s="415"/>
      <c r="AU42" s="415">
        <v>0</v>
      </c>
      <c r="AV42" s="415"/>
      <c r="AW42" s="415">
        <v>0</v>
      </c>
      <c r="AX42" s="415"/>
      <c r="AY42" s="415">
        <v>0</v>
      </c>
      <c r="AZ42" s="415"/>
      <c r="BA42" s="415">
        <f>AY42+AW42+AU42+AS42+AQ42+AO42+AM42+AK42+AI42+AG42+AE42+AC42</f>
        <v>84042144</v>
      </c>
      <c r="BB42" s="415">
        <f>AC42+AE42+AG42+AI42+AK42+AM42</f>
        <v>71752867</v>
      </c>
      <c r="BC42" s="442">
        <f>AD42+AF42+AH42+AJ42+AL42+AN42</f>
        <v>74065579</v>
      </c>
      <c r="BD42" s="414">
        <f>AE42+AG42+AI42+AK42+AM42+AO42+AQ42+AS42+AU42+AW42+AY42+AC42</f>
        <v>84042144</v>
      </c>
      <c r="BE42" s="442">
        <f>AD42+AF42+AH42+AJ42+AL42+AN42</f>
        <v>74065579</v>
      </c>
      <c r="BF42" s="415">
        <v>0</v>
      </c>
      <c r="BG42" s="415"/>
      <c r="BH42" s="415"/>
      <c r="BI42" s="415"/>
      <c r="BJ42" s="415"/>
      <c r="BK42" s="415"/>
      <c r="BL42" s="415"/>
      <c r="BM42" s="415"/>
      <c r="BN42" s="415"/>
      <c r="BO42" s="415"/>
      <c r="BP42" s="415"/>
      <c r="BQ42" s="415"/>
      <c r="BR42" s="415"/>
      <c r="BS42" s="415"/>
      <c r="BT42" s="415"/>
      <c r="BU42" s="415"/>
      <c r="BV42" s="415"/>
      <c r="BW42" s="415"/>
      <c r="BX42" s="415"/>
      <c r="BY42" s="415"/>
      <c r="BZ42" s="415"/>
      <c r="CA42" s="415"/>
      <c r="CB42" s="415"/>
      <c r="CC42" s="415"/>
      <c r="CD42" s="415"/>
      <c r="CE42" s="414">
        <f t="shared" si="170"/>
        <v>0</v>
      </c>
      <c r="CF42" s="442">
        <f t="shared" si="160"/>
        <v>0</v>
      </c>
      <c r="CG42" s="442">
        <f t="shared" si="161"/>
        <v>0</v>
      </c>
      <c r="CH42" s="414">
        <f t="shared" ref="CH42" si="172">BI42+BK42+BM42+BO42+BQ42+BS42+BU42+BW42+BY42+CA42+CC42+AZ42</f>
        <v>0</v>
      </c>
      <c r="CI42" s="442">
        <f t="shared" si="163"/>
        <v>0</v>
      </c>
      <c r="CJ42" s="415">
        <v>0</v>
      </c>
      <c r="CK42" s="415">
        <v>0</v>
      </c>
      <c r="CL42" s="415">
        <v>0</v>
      </c>
      <c r="CM42" s="415">
        <v>0</v>
      </c>
      <c r="CN42" s="415">
        <v>0</v>
      </c>
      <c r="CO42" s="415">
        <v>0</v>
      </c>
      <c r="CP42" s="415">
        <v>0</v>
      </c>
      <c r="CQ42" s="415">
        <v>0</v>
      </c>
      <c r="CR42" s="415">
        <v>0</v>
      </c>
      <c r="CS42" s="415">
        <v>0</v>
      </c>
      <c r="CT42" s="415">
        <v>0</v>
      </c>
      <c r="CU42" s="415">
        <v>0</v>
      </c>
      <c r="CV42" s="415">
        <v>0</v>
      </c>
      <c r="CW42" s="415">
        <v>0</v>
      </c>
      <c r="CX42" s="415">
        <v>0</v>
      </c>
      <c r="CY42" s="415">
        <v>0</v>
      </c>
      <c r="CZ42" s="415">
        <v>0</v>
      </c>
      <c r="DA42" s="415">
        <v>0</v>
      </c>
      <c r="DB42" s="415">
        <v>0</v>
      </c>
      <c r="DC42" s="415">
        <v>0</v>
      </c>
      <c r="DD42" s="415">
        <v>0</v>
      </c>
      <c r="DE42" s="415">
        <v>0</v>
      </c>
      <c r="DF42" s="415">
        <v>0</v>
      </c>
      <c r="DG42" s="415">
        <v>0</v>
      </c>
      <c r="DH42" s="415">
        <v>0</v>
      </c>
      <c r="DI42" s="414">
        <v>0</v>
      </c>
      <c r="DJ42" s="442">
        <v>0</v>
      </c>
      <c r="DK42" s="442">
        <v>0</v>
      </c>
      <c r="DL42" s="414">
        <v>0</v>
      </c>
      <c r="DM42" s="442">
        <v>0</v>
      </c>
      <c r="DN42" s="415">
        <v>0</v>
      </c>
      <c r="DO42" s="151"/>
      <c r="DP42" s="151"/>
      <c r="DQ42" s="151"/>
      <c r="DR42" s="151"/>
      <c r="DS42" s="151"/>
      <c r="DT42" s="151"/>
      <c r="DU42" s="151"/>
      <c r="DV42" s="151"/>
      <c r="DW42" s="151"/>
      <c r="DX42" s="151"/>
      <c r="DY42" s="151"/>
      <c r="DZ42" s="151"/>
      <c r="EA42" s="151"/>
      <c r="EB42" s="151"/>
      <c r="EC42" s="151"/>
      <c r="ED42" s="151"/>
      <c r="EE42" s="151"/>
      <c r="EF42" s="151"/>
      <c r="EG42" s="151"/>
      <c r="EH42" s="151"/>
      <c r="EI42" s="151"/>
      <c r="EJ42" s="151"/>
      <c r="EK42" s="151"/>
      <c r="EL42" s="151"/>
      <c r="EM42" s="347">
        <f>EI42+EG42+EE42+EC42+EA42+DY42+DW42+DU42+DS42+DQ42+DO42+EK42</f>
        <v>0</v>
      </c>
      <c r="EN42" s="328">
        <f>DO42+DQ42+DS42+DU42</f>
        <v>0</v>
      </c>
      <c r="EO42" s="331">
        <f>DP42+DR42+DT42+DV42</f>
        <v>0</v>
      </c>
      <c r="EP42" s="328">
        <f>DQ42+DS42+DU42+DW42+DY42+EA42+EC42+EE42+EG42+EI42+EK42+DO42</f>
        <v>0</v>
      </c>
      <c r="EQ42" s="332">
        <f>DP42+DR42+DT42+DV42</f>
        <v>0</v>
      </c>
      <c r="ER42" s="461">
        <f t="shared" si="169"/>
        <v>1.8649102277431784</v>
      </c>
      <c r="ES42" s="461">
        <f t="shared" si="136"/>
        <v>1.0322316319430136</v>
      </c>
      <c r="ET42" s="460">
        <f t="shared" si="16"/>
        <v>0.88129092708534418</v>
      </c>
      <c r="EU42" s="460">
        <f t="shared" ref="EU42:EU58" si="173">+(AA42+BC42)/(Z42+BB42)</f>
        <v>0.42091832766707754</v>
      </c>
      <c r="EV42" s="462">
        <f t="shared" si="66"/>
        <v>0.88129092708534418</v>
      </c>
      <c r="EW42" s="687"/>
      <c r="EX42" s="682"/>
      <c r="EY42" s="682"/>
      <c r="EZ42" s="684"/>
      <c r="FA42" s="688"/>
      <c r="FB42" s="686"/>
    </row>
    <row r="43" spans="1:158" s="4" customFormat="1" ht="29.25" customHeight="1" thickBot="1" x14ac:dyDescent="0.3">
      <c r="A43" s="728"/>
      <c r="B43" s="730"/>
      <c r="C43" s="730"/>
      <c r="D43" s="730"/>
      <c r="E43" s="730"/>
      <c r="F43" s="396" t="s">
        <v>43</v>
      </c>
      <c r="G43" s="380">
        <f>+G38+G41</f>
        <v>1</v>
      </c>
      <c r="H43" s="413" t="e">
        <f>+H38+H41</f>
        <v>#VALUE!</v>
      </c>
      <c r="I43" s="294"/>
      <c r="J43" s="294"/>
      <c r="K43" s="294"/>
      <c r="L43" s="294"/>
      <c r="M43" s="294"/>
      <c r="N43" s="46"/>
      <c r="O43" s="294"/>
      <c r="P43" s="46"/>
      <c r="Q43" s="294"/>
      <c r="R43" s="451"/>
      <c r="S43" s="294"/>
      <c r="T43" s="46"/>
      <c r="U43" s="294"/>
      <c r="V43" s="294"/>
      <c r="W43" s="380" t="e">
        <f t="shared" ref="W43:AM44" si="174">+W38+W41</f>
        <v>#VALUE!</v>
      </c>
      <c r="X43" s="380" t="e">
        <f t="shared" si="174"/>
        <v>#VALUE!</v>
      </c>
      <c r="Y43" s="380" t="e">
        <f t="shared" si="174"/>
        <v>#VALUE!</v>
      </c>
      <c r="Z43" s="380">
        <f t="shared" si="174"/>
        <v>1</v>
      </c>
      <c r="AA43" s="380">
        <f t="shared" si="174"/>
        <v>1</v>
      </c>
      <c r="AB43" s="380">
        <f t="shared" si="174"/>
        <v>1</v>
      </c>
      <c r="AC43" s="380">
        <f t="shared" ref="AC43:AK43" si="175">+AC38+AC41</f>
        <v>1</v>
      </c>
      <c r="AD43" s="380">
        <f t="shared" si="175"/>
        <v>1</v>
      </c>
      <c r="AE43" s="380">
        <f t="shared" si="175"/>
        <v>1</v>
      </c>
      <c r="AF43" s="380">
        <f t="shared" si="175"/>
        <v>1</v>
      </c>
      <c r="AG43" s="380">
        <f t="shared" si="175"/>
        <v>1</v>
      </c>
      <c r="AH43" s="380">
        <f t="shared" si="175"/>
        <v>1</v>
      </c>
      <c r="AI43" s="380">
        <f t="shared" si="175"/>
        <v>1</v>
      </c>
      <c r="AJ43" s="380">
        <f t="shared" si="175"/>
        <v>1</v>
      </c>
      <c r="AK43" s="380">
        <f t="shared" si="175"/>
        <v>1</v>
      </c>
      <c r="AL43" s="380">
        <f t="shared" si="174"/>
        <v>1</v>
      </c>
      <c r="AM43" s="380">
        <f t="shared" si="174"/>
        <v>1</v>
      </c>
      <c r="AN43" s="380">
        <f t="shared" ref="AN43" si="176">+AN38+AN41</f>
        <v>1</v>
      </c>
      <c r="AO43" s="380">
        <f t="shared" ref="AO43:AO44" si="177">+AO38+AO41</f>
        <v>1</v>
      </c>
      <c r="AP43" s="46"/>
      <c r="AQ43" s="380">
        <f t="shared" ref="AQ43:AQ44" si="178">+AQ38+AQ41</f>
        <v>1</v>
      </c>
      <c r="AR43" s="46"/>
      <c r="AS43" s="380">
        <f t="shared" ref="AS43:AS44" si="179">+AS38+AS41</f>
        <v>1</v>
      </c>
      <c r="AT43" s="46"/>
      <c r="AU43" s="380">
        <f t="shared" ref="AU43:AU44" si="180">+AU38+AU41</f>
        <v>1</v>
      </c>
      <c r="AV43" s="46"/>
      <c r="AW43" s="380">
        <f t="shared" ref="AW43:AW44" si="181">+AW38+AW41</f>
        <v>1</v>
      </c>
      <c r="AX43" s="46"/>
      <c r="AY43" s="380">
        <f>+AY38+AY41</f>
        <v>1</v>
      </c>
      <c r="AZ43" s="46"/>
      <c r="BA43" s="380">
        <f t="shared" ref="BA43:DL43" si="182">+BA38+BA41</f>
        <v>1</v>
      </c>
      <c r="BB43" s="380">
        <f t="shared" si="182"/>
        <v>1</v>
      </c>
      <c r="BC43" s="380">
        <f t="shared" si="182"/>
        <v>1</v>
      </c>
      <c r="BD43" s="380">
        <f t="shared" si="182"/>
        <v>1</v>
      </c>
      <c r="BE43" s="380">
        <f t="shared" si="182"/>
        <v>1</v>
      </c>
      <c r="BF43" s="380">
        <f t="shared" si="182"/>
        <v>1</v>
      </c>
      <c r="BG43" s="380">
        <f t="shared" si="182"/>
        <v>0</v>
      </c>
      <c r="BH43" s="380">
        <f t="shared" si="182"/>
        <v>0</v>
      </c>
      <c r="BI43" s="380">
        <f t="shared" si="182"/>
        <v>0</v>
      </c>
      <c r="BJ43" s="380">
        <f t="shared" si="182"/>
        <v>0</v>
      </c>
      <c r="BK43" s="380">
        <f t="shared" si="182"/>
        <v>0</v>
      </c>
      <c r="BL43" s="380">
        <f t="shared" si="182"/>
        <v>0</v>
      </c>
      <c r="BM43" s="380">
        <f t="shared" si="182"/>
        <v>0</v>
      </c>
      <c r="BN43" s="380">
        <f t="shared" si="182"/>
        <v>0</v>
      </c>
      <c r="BO43" s="380">
        <f t="shared" si="182"/>
        <v>0</v>
      </c>
      <c r="BP43" s="380">
        <f t="shared" si="182"/>
        <v>0</v>
      </c>
      <c r="BQ43" s="380">
        <f t="shared" si="182"/>
        <v>0</v>
      </c>
      <c r="BR43" s="380">
        <f t="shared" si="182"/>
        <v>0</v>
      </c>
      <c r="BS43" s="380">
        <f t="shared" si="182"/>
        <v>0</v>
      </c>
      <c r="BT43" s="380">
        <f t="shared" si="182"/>
        <v>0</v>
      </c>
      <c r="BU43" s="380">
        <f t="shared" si="182"/>
        <v>0</v>
      </c>
      <c r="BV43" s="380">
        <f t="shared" si="182"/>
        <v>0</v>
      </c>
      <c r="BW43" s="380">
        <f t="shared" si="182"/>
        <v>0</v>
      </c>
      <c r="BX43" s="380">
        <f t="shared" si="182"/>
        <v>0</v>
      </c>
      <c r="BY43" s="380">
        <f t="shared" si="182"/>
        <v>0</v>
      </c>
      <c r="BZ43" s="380">
        <f t="shared" si="182"/>
        <v>0</v>
      </c>
      <c r="CA43" s="380">
        <f t="shared" si="182"/>
        <v>0</v>
      </c>
      <c r="CB43" s="380">
        <f t="shared" si="182"/>
        <v>0</v>
      </c>
      <c r="CC43" s="380">
        <f t="shared" si="182"/>
        <v>0</v>
      </c>
      <c r="CD43" s="380">
        <f t="shared" si="182"/>
        <v>0</v>
      </c>
      <c r="CE43" s="380">
        <f t="shared" si="182"/>
        <v>0</v>
      </c>
      <c r="CF43" s="380">
        <f t="shared" si="182"/>
        <v>0</v>
      </c>
      <c r="CG43" s="380">
        <f t="shared" si="182"/>
        <v>0</v>
      </c>
      <c r="CH43" s="380">
        <f t="shared" si="182"/>
        <v>0</v>
      </c>
      <c r="CI43" s="380">
        <f t="shared" si="182"/>
        <v>0</v>
      </c>
      <c r="CJ43" s="380">
        <f t="shared" si="182"/>
        <v>1</v>
      </c>
      <c r="CK43" s="380">
        <f t="shared" si="182"/>
        <v>0</v>
      </c>
      <c r="CL43" s="380">
        <f t="shared" si="182"/>
        <v>0</v>
      </c>
      <c r="CM43" s="380">
        <f t="shared" si="182"/>
        <v>0</v>
      </c>
      <c r="CN43" s="380">
        <f t="shared" si="182"/>
        <v>0</v>
      </c>
      <c r="CO43" s="380">
        <f t="shared" si="182"/>
        <v>0</v>
      </c>
      <c r="CP43" s="380">
        <f t="shared" si="182"/>
        <v>0</v>
      </c>
      <c r="CQ43" s="380">
        <f t="shared" si="182"/>
        <v>0</v>
      </c>
      <c r="CR43" s="380">
        <f t="shared" si="182"/>
        <v>0</v>
      </c>
      <c r="CS43" s="380">
        <f t="shared" si="182"/>
        <v>0</v>
      </c>
      <c r="CT43" s="380">
        <f t="shared" si="182"/>
        <v>0</v>
      </c>
      <c r="CU43" s="380">
        <f t="shared" si="182"/>
        <v>0</v>
      </c>
      <c r="CV43" s="380">
        <f t="shared" si="182"/>
        <v>0</v>
      </c>
      <c r="CW43" s="380">
        <f t="shared" si="182"/>
        <v>0</v>
      </c>
      <c r="CX43" s="380">
        <f t="shared" si="182"/>
        <v>0</v>
      </c>
      <c r="CY43" s="380">
        <f t="shared" si="182"/>
        <v>0</v>
      </c>
      <c r="CZ43" s="380">
        <f t="shared" si="182"/>
        <v>0</v>
      </c>
      <c r="DA43" s="380">
        <f t="shared" si="182"/>
        <v>0</v>
      </c>
      <c r="DB43" s="380">
        <f t="shared" si="182"/>
        <v>0</v>
      </c>
      <c r="DC43" s="380">
        <f t="shared" si="182"/>
        <v>0</v>
      </c>
      <c r="DD43" s="380">
        <f t="shared" si="182"/>
        <v>0</v>
      </c>
      <c r="DE43" s="380">
        <f t="shared" si="182"/>
        <v>0</v>
      </c>
      <c r="DF43" s="380">
        <f t="shared" si="182"/>
        <v>0</v>
      </c>
      <c r="DG43" s="380">
        <f t="shared" si="182"/>
        <v>0</v>
      </c>
      <c r="DH43" s="380">
        <f t="shared" si="182"/>
        <v>0</v>
      </c>
      <c r="DI43" s="380">
        <f t="shared" si="182"/>
        <v>0</v>
      </c>
      <c r="DJ43" s="380">
        <f t="shared" si="182"/>
        <v>0</v>
      </c>
      <c r="DK43" s="380">
        <f t="shared" si="182"/>
        <v>0</v>
      </c>
      <c r="DL43" s="380">
        <f t="shared" si="182"/>
        <v>0</v>
      </c>
      <c r="DM43" s="380">
        <f t="shared" ref="DM43:DN43" si="183">+DM38+DM41</f>
        <v>0</v>
      </c>
      <c r="DN43" s="380">
        <f t="shared" si="183"/>
        <v>1</v>
      </c>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9">
        <f t="shared" ref="EM43" si="184">EM38+EM41</f>
        <v>0</v>
      </c>
      <c r="EN43" s="346">
        <f>EN38+EN41</f>
        <v>0</v>
      </c>
      <c r="EO43" s="330">
        <f>EO38+EO41</f>
        <v>0</v>
      </c>
      <c r="EP43" s="406">
        <f>EP38+EP41</f>
        <v>0</v>
      </c>
      <c r="EQ43" s="399">
        <f>EQ38+EQ41</f>
        <v>0</v>
      </c>
      <c r="ER43" s="461">
        <f t="shared" si="169"/>
        <v>1</v>
      </c>
      <c r="ES43" s="461">
        <f t="shared" si="136"/>
        <v>1</v>
      </c>
      <c r="ET43" s="460">
        <f t="shared" si="16"/>
        <v>1</v>
      </c>
      <c r="EU43" s="460">
        <f t="shared" si="173"/>
        <v>1</v>
      </c>
      <c r="EV43" s="462">
        <v>0.4</v>
      </c>
      <c r="EW43" s="687"/>
      <c r="EX43" s="682"/>
      <c r="EY43" s="682"/>
      <c r="EZ43" s="684"/>
      <c r="FA43" s="688"/>
      <c r="FB43" s="686"/>
    </row>
    <row r="44" spans="1:158" s="152" customFormat="1" ht="29.25" customHeight="1" thickBot="1" x14ac:dyDescent="0.3">
      <c r="A44" s="728"/>
      <c r="B44" s="730"/>
      <c r="C44" s="730"/>
      <c r="D44" s="730"/>
      <c r="E44" s="730"/>
      <c r="F44" s="394" t="s">
        <v>45</v>
      </c>
      <c r="G44" s="440">
        <f>+G39+G42</f>
        <v>3129833144</v>
      </c>
      <c r="H44" s="440">
        <f>+H39+H42</f>
        <v>507619010</v>
      </c>
      <c r="I44" s="440"/>
      <c r="J44" s="440"/>
      <c r="K44" s="440"/>
      <c r="L44" s="440"/>
      <c r="M44" s="440"/>
      <c r="N44" s="440"/>
      <c r="O44" s="440"/>
      <c r="P44" s="440"/>
      <c r="Q44" s="440"/>
      <c r="R44" s="440"/>
      <c r="S44" s="440"/>
      <c r="T44" s="441"/>
      <c r="U44" s="440"/>
      <c r="V44" s="440"/>
      <c r="W44" s="440">
        <f t="shared" ref="W44:AB44" si="185">+W39+W42</f>
        <v>507619010</v>
      </c>
      <c r="X44" s="440">
        <f t="shared" si="185"/>
        <v>507619010</v>
      </c>
      <c r="Y44" s="440">
        <f t="shared" si="185"/>
        <v>232617000</v>
      </c>
      <c r="Z44" s="440">
        <f t="shared" si="185"/>
        <v>367619010</v>
      </c>
      <c r="AA44" s="440">
        <f t="shared" si="185"/>
        <v>232617000</v>
      </c>
      <c r="AB44" s="440">
        <f t="shared" si="185"/>
        <v>777848010</v>
      </c>
      <c r="AC44" s="440">
        <f t="shared" ref="AC44:AK44" si="186">+AC39+AC42</f>
        <v>15431000</v>
      </c>
      <c r="AD44" s="440">
        <f t="shared" si="186"/>
        <v>15431000</v>
      </c>
      <c r="AE44" s="440">
        <f t="shared" si="186"/>
        <v>60740334</v>
      </c>
      <c r="AF44" s="440">
        <f t="shared" si="186"/>
        <v>60740334</v>
      </c>
      <c r="AG44" s="440">
        <f t="shared" si="186"/>
        <v>319082833</v>
      </c>
      <c r="AH44" s="440">
        <f t="shared" si="186"/>
        <v>319082833</v>
      </c>
      <c r="AI44" s="440">
        <f t="shared" si="186"/>
        <v>17088568</v>
      </c>
      <c r="AJ44" s="440">
        <f t="shared" si="186"/>
        <v>17088568</v>
      </c>
      <c r="AK44" s="440">
        <f t="shared" si="186"/>
        <v>15722777</v>
      </c>
      <c r="AL44" s="440">
        <f t="shared" si="174"/>
        <v>10722777</v>
      </c>
      <c r="AM44" s="440">
        <f t="shared" si="174"/>
        <v>2673933</v>
      </c>
      <c r="AN44" s="440">
        <f t="shared" ref="AN44" si="187">+AN39+AN42</f>
        <v>106766359</v>
      </c>
      <c r="AO44" s="440">
        <f t="shared" si="177"/>
        <v>0</v>
      </c>
      <c r="AP44" s="440"/>
      <c r="AQ44" s="440">
        <f t="shared" si="178"/>
        <v>52514007.333333336</v>
      </c>
      <c r="AR44" s="440"/>
      <c r="AS44" s="440">
        <f t="shared" si="179"/>
        <v>42614884.333333336</v>
      </c>
      <c r="AT44" s="440"/>
      <c r="AU44" s="440">
        <f t="shared" si="180"/>
        <v>41419807.333333336</v>
      </c>
      <c r="AV44" s="440"/>
      <c r="AW44" s="440">
        <f t="shared" si="181"/>
        <v>0</v>
      </c>
      <c r="AX44" s="440"/>
      <c r="AY44" s="440">
        <f>+AY39+AY42</f>
        <v>0</v>
      </c>
      <c r="AZ44" s="440"/>
      <c r="BA44" s="440">
        <f t="shared" ref="BA44:DL44" si="188">+BA39+BA42</f>
        <v>567288144</v>
      </c>
      <c r="BB44" s="440">
        <f t="shared" si="188"/>
        <v>430739445</v>
      </c>
      <c r="BC44" s="440">
        <f t="shared" si="188"/>
        <v>529831871</v>
      </c>
      <c r="BD44" s="440">
        <f t="shared" si="188"/>
        <v>567288144</v>
      </c>
      <c r="BE44" s="440">
        <f t="shared" si="188"/>
        <v>529831871</v>
      </c>
      <c r="BF44" s="440">
        <f t="shared" si="188"/>
        <v>722702000</v>
      </c>
      <c r="BG44" s="440">
        <f t="shared" si="188"/>
        <v>0</v>
      </c>
      <c r="BH44" s="440">
        <f t="shared" si="188"/>
        <v>0</v>
      </c>
      <c r="BI44" s="440">
        <f t="shared" si="188"/>
        <v>0</v>
      </c>
      <c r="BJ44" s="440">
        <f t="shared" si="188"/>
        <v>0</v>
      </c>
      <c r="BK44" s="440">
        <f t="shared" si="188"/>
        <v>0</v>
      </c>
      <c r="BL44" s="440">
        <f t="shared" si="188"/>
        <v>0</v>
      </c>
      <c r="BM44" s="440">
        <f t="shared" si="188"/>
        <v>0</v>
      </c>
      <c r="BN44" s="440">
        <f t="shared" si="188"/>
        <v>0</v>
      </c>
      <c r="BO44" s="440">
        <f t="shared" si="188"/>
        <v>0</v>
      </c>
      <c r="BP44" s="440">
        <f t="shared" si="188"/>
        <v>0</v>
      </c>
      <c r="BQ44" s="440">
        <f t="shared" si="188"/>
        <v>0</v>
      </c>
      <c r="BR44" s="440">
        <f t="shared" si="188"/>
        <v>0</v>
      </c>
      <c r="BS44" s="440">
        <f t="shared" si="188"/>
        <v>0</v>
      </c>
      <c r="BT44" s="440">
        <f t="shared" si="188"/>
        <v>0</v>
      </c>
      <c r="BU44" s="440">
        <f t="shared" si="188"/>
        <v>0</v>
      </c>
      <c r="BV44" s="440">
        <f t="shared" si="188"/>
        <v>0</v>
      </c>
      <c r="BW44" s="440">
        <f t="shared" si="188"/>
        <v>0</v>
      </c>
      <c r="BX44" s="440">
        <f t="shared" si="188"/>
        <v>0</v>
      </c>
      <c r="BY44" s="440">
        <f t="shared" si="188"/>
        <v>0</v>
      </c>
      <c r="BZ44" s="440">
        <f t="shared" si="188"/>
        <v>0</v>
      </c>
      <c r="CA44" s="440">
        <f t="shared" si="188"/>
        <v>0</v>
      </c>
      <c r="CB44" s="440">
        <f t="shared" si="188"/>
        <v>0</v>
      </c>
      <c r="CC44" s="440">
        <f t="shared" si="188"/>
        <v>0</v>
      </c>
      <c r="CD44" s="440">
        <f t="shared" si="188"/>
        <v>0</v>
      </c>
      <c r="CE44" s="440">
        <f t="shared" si="188"/>
        <v>0</v>
      </c>
      <c r="CF44" s="440">
        <f t="shared" si="188"/>
        <v>0</v>
      </c>
      <c r="CG44" s="440">
        <f t="shared" si="188"/>
        <v>0</v>
      </c>
      <c r="CH44" s="440">
        <f t="shared" si="188"/>
        <v>0</v>
      </c>
      <c r="CI44" s="440">
        <f t="shared" si="188"/>
        <v>0</v>
      </c>
      <c r="CJ44" s="440">
        <f t="shared" si="188"/>
        <v>758837000</v>
      </c>
      <c r="CK44" s="440">
        <f t="shared" si="188"/>
        <v>0</v>
      </c>
      <c r="CL44" s="440">
        <f t="shared" si="188"/>
        <v>0</v>
      </c>
      <c r="CM44" s="440">
        <f t="shared" si="188"/>
        <v>0</v>
      </c>
      <c r="CN44" s="440">
        <f t="shared" si="188"/>
        <v>0</v>
      </c>
      <c r="CO44" s="440">
        <f t="shared" si="188"/>
        <v>0</v>
      </c>
      <c r="CP44" s="440">
        <f t="shared" si="188"/>
        <v>0</v>
      </c>
      <c r="CQ44" s="440">
        <f t="shared" si="188"/>
        <v>0</v>
      </c>
      <c r="CR44" s="440">
        <f t="shared" si="188"/>
        <v>0</v>
      </c>
      <c r="CS44" s="440">
        <f t="shared" si="188"/>
        <v>0</v>
      </c>
      <c r="CT44" s="440">
        <f t="shared" si="188"/>
        <v>0</v>
      </c>
      <c r="CU44" s="440">
        <f t="shared" si="188"/>
        <v>0</v>
      </c>
      <c r="CV44" s="440">
        <f t="shared" si="188"/>
        <v>0</v>
      </c>
      <c r="CW44" s="440">
        <f t="shared" si="188"/>
        <v>0</v>
      </c>
      <c r="CX44" s="440">
        <f t="shared" si="188"/>
        <v>0</v>
      </c>
      <c r="CY44" s="440">
        <f t="shared" si="188"/>
        <v>0</v>
      </c>
      <c r="CZ44" s="440">
        <f t="shared" si="188"/>
        <v>0</v>
      </c>
      <c r="DA44" s="440">
        <f t="shared" si="188"/>
        <v>0</v>
      </c>
      <c r="DB44" s="440">
        <f t="shared" si="188"/>
        <v>0</v>
      </c>
      <c r="DC44" s="440">
        <f t="shared" si="188"/>
        <v>0</v>
      </c>
      <c r="DD44" s="440">
        <f t="shared" si="188"/>
        <v>0</v>
      </c>
      <c r="DE44" s="440">
        <f t="shared" si="188"/>
        <v>0</v>
      </c>
      <c r="DF44" s="440">
        <f t="shared" si="188"/>
        <v>0</v>
      </c>
      <c r="DG44" s="440">
        <f t="shared" si="188"/>
        <v>0</v>
      </c>
      <c r="DH44" s="440">
        <f t="shared" si="188"/>
        <v>0</v>
      </c>
      <c r="DI44" s="440">
        <f t="shared" si="188"/>
        <v>0</v>
      </c>
      <c r="DJ44" s="440">
        <f t="shared" si="188"/>
        <v>0</v>
      </c>
      <c r="DK44" s="440">
        <f t="shared" si="188"/>
        <v>0</v>
      </c>
      <c r="DL44" s="440">
        <f t="shared" si="188"/>
        <v>0</v>
      </c>
      <c r="DM44" s="440">
        <f t="shared" ref="DM44:DN44" si="189">+DM39+DM42</f>
        <v>0</v>
      </c>
      <c r="DN44" s="440">
        <f t="shared" si="189"/>
        <v>848389000</v>
      </c>
      <c r="DO44" s="407"/>
      <c r="DP44" s="407"/>
      <c r="DQ44" s="407"/>
      <c r="DR44" s="407"/>
      <c r="DS44" s="407"/>
      <c r="DT44" s="407"/>
      <c r="DU44" s="407"/>
      <c r="DV44" s="407"/>
      <c r="DW44" s="407"/>
      <c r="DX44" s="407"/>
      <c r="DY44" s="407"/>
      <c r="DZ44" s="407"/>
      <c r="EA44" s="407"/>
      <c r="EB44" s="407"/>
      <c r="EC44" s="407"/>
      <c r="ED44" s="407"/>
      <c r="EE44" s="407"/>
      <c r="EF44" s="407"/>
      <c r="EG44" s="407"/>
      <c r="EH44" s="407"/>
      <c r="EI44" s="407"/>
      <c r="EJ44" s="407"/>
      <c r="EK44" s="407"/>
      <c r="EL44" s="407"/>
      <c r="EM44" s="400">
        <f>EK44+EI44+EG44+EE44+EC44+EA44+DY44+DW44+DU44+DS44+DQ44+DO44</f>
        <v>0</v>
      </c>
      <c r="EN44" s="401">
        <f>+EN39+EN42</f>
        <v>0</v>
      </c>
      <c r="EO44" s="401">
        <f t="shared" ref="EO44:EQ44" si="190">+EO39+EO42</f>
        <v>0</v>
      </c>
      <c r="EP44" s="401">
        <f t="shared" si="190"/>
        <v>0</v>
      </c>
      <c r="EQ44" s="401">
        <f t="shared" si="190"/>
        <v>0</v>
      </c>
      <c r="ER44" s="578"/>
      <c r="ES44" s="578">
        <f t="shared" si="136"/>
        <v>1.2300518959901618</v>
      </c>
      <c r="ET44" s="576">
        <f t="shared" si="16"/>
        <v>0.93397310802955891</v>
      </c>
      <c r="EU44" s="576">
        <f t="shared" si="173"/>
        <v>0.95502072562130003</v>
      </c>
      <c r="EV44" s="577">
        <f t="shared" si="66"/>
        <v>0.24360687484623303</v>
      </c>
      <c r="EW44" s="687"/>
      <c r="EX44" s="682"/>
      <c r="EY44" s="682"/>
      <c r="EZ44" s="684"/>
      <c r="FA44" s="688"/>
      <c r="FB44" s="686"/>
    </row>
    <row r="45" spans="1:158" s="4" customFormat="1" ht="29.25" customHeight="1" thickBot="1" x14ac:dyDescent="0.3">
      <c r="A45" s="728" t="s">
        <v>402</v>
      </c>
      <c r="B45" s="730">
        <v>6</v>
      </c>
      <c r="C45" s="730" t="s">
        <v>408</v>
      </c>
      <c r="D45" s="730" t="s">
        <v>359</v>
      </c>
      <c r="E45" s="730">
        <v>268</v>
      </c>
      <c r="F45" s="396" t="s">
        <v>41</v>
      </c>
      <c r="G45" s="528">
        <f>+AA45+BD45+BF45+CJ45+DN45</f>
        <v>7948</v>
      </c>
      <c r="H45" s="294">
        <v>1292</v>
      </c>
      <c r="I45" s="294"/>
      <c r="J45" s="294"/>
      <c r="K45" s="294"/>
      <c r="L45" s="294"/>
      <c r="M45" s="294"/>
      <c r="N45" s="294"/>
      <c r="O45" s="294"/>
      <c r="P45" s="294"/>
      <c r="Q45" s="294"/>
      <c r="R45" s="294"/>
      <c r="S45" s="294"/>
      <c r="T45" s="36"/>
      <c r="U45" s="294"/>
      <c r="V45" s="294"/>
      <c r="W45" s="294">
        <v>1292</v>
      </c>
      <c r="X45" s="294">
        <v>1292</v>
      </c>
      <c r="Y45" s="294">
        <v>1292</v>
      </c>
      <c r="Z45" s="294">
        <v>1292</v>
      </c>
      <c r="AA45" s="294">
        <v>1292</v>
      </c>
      <c r="AB45" s="294">
        <v>759</v>
      </c>
      <c r="AC45" s="294">
        <v>51</v>
      </c>
      <c r="AD45" s="294">
        <v>278</v>
      </c>
      <c r="AE45" s="294">
        <v>66</v>
      </c>
      <c r="AF45" s="294">
        <v>211</v>
      </c>
      <c r="AG45" s="294">
        <v>66</v>
      </c>
      <c r="AH45" s="294">
        <v>837</v>
      </c>
      <c r="AI45" s="294">
        <v>473</v>
      </c>
      <c r="AJ45" s="294">
        <v>488</v>
      </c>
      <c r="AK45" s="294">
        <v>2050</v>
      </c>
      <c r="AL45" s="294">
        <v>892</v>
      </c>
      <c r="AM45" s="294">
        <v>295</v>
      </c>
      <c r="AN45" s="294">
        <v>798</v>
      </c>
      <c r="AO45" s="294">
        <v>295</v>
      </c>
      <c r="AP45" s="294"/>
      <c r="AQ45" s="294">
        <v>295</v>
      </c>
      <c r="AR45" s="294"/>
      <c r="AS45" s="294">
        <v>295</v>
      </c>
      <c r="AT45" s="294"/>
      <c r="AU45" s="294">
        <v>295</v>
      </c>
      <c r="AV45" s="294"/>
      <c r="AW45" s="294">
        <v>295</v>
      </c>
      <c r="AX45" s="294"/>
      <c r="AY45" s="294">
        <v>231</v>
      </c>
      <c r="AZ45" s="36"/>
      <c r="BA45" s="528">
        <f>AY45+AW45+AU45+AS45+AQ45+AO45+AM45+AK45+AI45+AG45+AE45+AC45</f>
        <v>4707</v>
      </c>
      <c r="BB45" s="528">
        <f t="shared" ref="BB45:BC49" si="191">AC45+AE45+AG45+AI45+AK45+AM45</f>
        <v>3001</v>
      </c>
      <c r="BC45" s="528">
        <f t="shared" si="191"/>
        <v>3504</v>
      </c>
      <c r="BD45" s="573">
        <f>AE45+AG45+AI45+AK45+AM45+AO45+AQ45+AS45+AU45+AW45+AY45+AC45</f>
        <v>4707</v>
      </c>
      <c r="BE45" s="573">
        <f>AD45+AF45+AH45+AJ45+AL45+AN45</f>
        <v>3504</v>
      </c>
      <c r="BF45" s="294">
        <v>1097</v>
      </c>
      <c r="BG45" s="294">
        <v>8</v>
      </c>
      <c r="BH45" s="294">
        <v>4</v>
      </c>
      <c r="BI45" s="294"/>
      <c r="BJ45" s="294"/>
      <c r="BK45" s="36"/>
      <c r="BL45" s="294"/>
      <c r="BM45" s="36"/>
      <c r="BN45" s="36"/>
      <c r="BO45" s="294"/>
      <c r="BP45" s="294"/>
      <c r="BQ45" s="294"/>
      <c r="BR45" s="294"/>
      <c r="BS45" s="294"/>
      <c r="BT45" s="294"/>
      <c r="BU45" s="294"/>
      <c r="BV45" s="294"/>
      <c r="BW45" s="294"/>
      <c r="BX45" s="294"/>
      <c r="BY45" s="294"/>
      <c r="BZ45" s="294"/>
      <c r="CA45" s="294"/>
      <c r="CB45" s="294"/>
      <c r="CC45" s="294"/>
      <c r="CD45" s="294"/>
      <c r="CE45" s="36">
        <v>0</v>
      </c>
      <c r="CF45" s="294">
        <v>0</v>
      </c>
      <c r="CG45" s="36">
        <v>4</v>
      </c>
      <c r="CH45" s="573">
        <v>0</v>
      </c>
      <c r="CI45" s="294">
        <v>4</v>
      </c>
      <c r="CJ45" s="294">
        <v>370</v>
      </c>
      <c r="CK45" s="294"/>
      <c r="CL45" s="294"/>
      <c r="CM45" s="294"/>
      <c r="CN45" s="294"/>
      <c r="CO45" s="294"/>
      <c r="CP45" s="294"/>
      <c r="CQ45" s="294"/>
      <c r="CR45" s="294"/>
      <c r="CS45" s="294"/>
      <c r="CT45" s="294"/>
      <c r="CU45" s="294"/>
      <c r="CV45" s="294"/>
      <c r="CW45" s="294"/>
      <c r="CX45" s="294"/>
      <c r="CY45" s="294"/>
      <c r="CZ45" s="294"/>
      <c r="DA45" s="294"/>
      <c r="DB45" s="294"/>
      <c r="DC45" s="294"/>
      <c r="DD45" s="294"/>
      <c r="DE45" s="294"/>
      <c r="DF45" s="294"/>
      <c r="DG45" s="294"/>
      <c r="DH45" s="294"/>
      <c r="DI45" s="36">
        <v>0</v>
      </c>
      <c r="DJ45" s="294">
        <v>0</v>
      </c>
      <c r="DK45" s="36">
        <v>0</v>
      </c>
      <c r="DL45" s="573">
        <v>0</v>
      </c>
      <c r="DM45" s="294">
        <v>0</v>
      </c>
      <c r="DN45" s="294">
        <v>482</v>
      </c>
      <c r="DO45" s="350"/>
      <c r="DP45" s="350"/>
      <c r="DQ45" s="350"/>
      <c r="DR45" s="350"/>
      <c r="DS45" s="350"/>
      <c r="DT45" s="350"/>
      <c r="DU45" s="350"/>
      <c r="DV45" s="350"/>
      <c r="DW45" s="350"/>
      <c r="DX45" s="350"/>
      <c r="DY45" s="350"/>
      <c r="DZ45" s="350"/>
      <c r="EA45" s="350"/>
      <c r="EB45" s="350"/>
      <c r="EC45" s="350"/>
      <c r="ED45" s="350"/>
      <c r="EE45" s="350"/>
      <c r="EF45" s="350"/>
      <c r="EG45" s="347"/>
      <c r="EH45" s="347"/>
      <c r="EI45" s="347"/>
      <c r="EJ45" s="347"/>
      <c r="EK45" s="347"/>
      <c r="EL45" s="347"/>
      <c r="EM45" s="349">
        <f>EK45+EI45+EG45+EE45+EC45+EA45+DY45+DW45+DU45+DS45+DQ45+DO45</f>
        <v>0</v>
      </c>
      <c r="EN45" s="347">
        <f t="shared" ref="EN45:EN50" si="192">DO45+DQ45+DS45+DU45</f>
        <v>0</v>
      </c>
      <c r="EO45" s="404">
        <f t="shared" ref="EO45:EO50" si="193">DP45+DR45+DT45+DV45</f>
        <v>0</v>
      </c>
      <c r="EP45" s="335">
        <f>DQ45+DS45+DU45+DW45+DY45+EA45+EC45+EE45+EG45+EI45+EK45+DO45</f>
        <v>0</v>
      </c>
      <c r="EQ45" s="347">
        <f>DP45+DR45+DT45+DV45</f>
        <v>0</v>
      </c>
      <c r="ER45" s="461">
        <f t="shared" si="169"/>
        <v>2.7050847457627119</v>
      </c>
      <c r="ES45" s="461">
        <f t="shared" si="136"/>
        <v>1.1676107964011997</v>
      </c>
      <c r="ET45" s="460">
        <f t="shared" si="16"/>
        <v>0.74442319949012115</v>
      </c>
      <c r="EU45" s="460">
        <f t="shared" si="173"/>
        <v>1.1171674819473563</v>
      </c>
      <c r="EV45" s="462">
        <f t="shared" si="66"/>
        <v>0.60342224458983396</v>
      </c>
      <c r="EW45" s="685" t="s">
        <v>530</v>
      </c>
      <c r="EX45" s="682" t="s">
        <v>454</v>
      </c>
      <c r="EY45" s="682" t="s">
        <v>454</v>
      </c>
      <c r="EZ45" s="684" t="s">
        <v>465</v>
      </c>
      <c r="FA45" s="688" t="s">
        <v>464</v>
      </c>
      <c r="FB45" s="686"/>
    </row>
    <row r="46" spans="1:158" s="288" customFormat="1" ht="29.25" customHeight="1" thickBot="1" x14ac:dyDescent="0.3">
      <c r="A46" s="728"/>
      <c r="B46" s="730"/>
      <c r="C46" s="730"/>
      <c r="D46" s="730"/>
      <c r="E46" s="730"/>
      <c r="F46" s="394" t="s">
        <v>3</v>
      </c>
      <c r="G46" s="442">
        <f>+AA46+BD46+BF46+CJ46+DN46</f>
        <v>6744703000</v>
      </c>
      <c r="H46" s="414">
        <v>658814131</v>
      </c>
      <c r="I46" s="442"/>
      <c r="J46" s="442"/>
      <c r="K46" s="442"/>
      <c r="L46" s="442"/>
      <c r="M46" s="442"/>
      <c r="N46" s="442"/>
      <c r="O46" s="442"/>
      <c r="P46" s="442"/>
      <c r="Q46" s="442"/>
      <c r="R46" s="442"/>
      <c r="S46" s="442"/>
      <c r="T46" s="447"/>
      <c r="U46" s="414"/>
      <c r="V46" s="414"/>
      <c r="W46" s="414">
        <v>658814131</v>
      </c>
      <c r="X46" s="414">
        <v>658814131</v>
      </c>
      <c r="Y46" s="414">
        <v>644978000</v>
      </c>
      <c r="Z46" s="414">
        <v>658814131</v>
      </c>
      <c r="AA46" s="414">
        <v>644978000</v>
      </c>
      <c r="AB46" s="414">
        <v>1294148000</v>
      </c>
      <c r="AC46" s="442">
        <v>0</v>
      </c>
      <c r="AD46" s="414">
        <v>0</v>
      </c>
      <c r="AE46" s="414">
        <v>385283000</v>
      </c>
      <c r="AF46" s="414">
        <f>385283000-AD46</f>
        <v>385283000</v>
      </c>
      <c r="AG46" s="414">
        <v>752696000</v>
      </c>
      <c r="AH46" s="414">
        <f>1137979000-AF46-AD46</f>
        <v>752696000</v>
      </c>
      <c r="AI46" s="414">
        <v>0</v>
      </c>
      <c r="AJ46" s="414">
        <f>1137979000-AH46-AF46-AD46</f>
        <v>0</v>
      </c>
      <c r="AK46" s="442">
        <v>24066000</v>
      </c>
      <c r="AL46" s="442">
        <f>1162045000-AJ46-AH46-AF46-AD46</f>
        <v>24066000</v>
      </c>
      <c r="AM46" s="442">
        <v>0</v>
      </c>
      <c r="AN46" s="442">
        <v>0</v>
      </c>
      <c r="AO46" s="442">
        <v>0</v>
      </c>
      <c r="AP46" s="442"/>
      <c r="AQ46" s="442">
        <v>44034333.333333336</v>
      </c>
      <c r="AR46" s="442"/>
      <c r="AS46" s="442">
        <v>44034333.333333336</v>
      </c>
      <c r="AT46" s="442"/>
      <c r="AU46" s="442">
        <v>44034333.333333336</v>
      </c>
      <c r="AV46" s="442"/>
      <c r="AW46" s="442">
        <v>0</v>
      </c>
      <c r="AX46" s="442"/>
      <c r="AY46" s="442">
        <v>0</v>
      </c>
      <c r="AZ46" s="480"/>
      <c r="BA46" s="414">
        <f>AY46+AW46+AU46+AS46+AQ46+AO46+AM46+AK46+AI46+AG46+AE46+AC46</f>
        <v>1294148000</v>
      </c>
      <c r="BB46" s="414">
        <f t="shared" si="191"/>
        <v>1162045000</v>
      </c>
      <c r="BC46" s="414">
        <f t="shared" si="191"/>
        <v>1162045000</v>
      </c>
      <c r="BD46" s="414">
        <f t="shared" ref="BD46:BD48" si="194">AE46+AG46+AI46+AK46+AM46+AO46+AQ46+AS46+AU46+AW46+AY46+AC46</f>
        <v>1294147999.9999998</v>
      </c>
      <c r="BE46" s="414">
        <f>AD46+AF46+AH46+AJ46+AL46+AN46</f>
        <v>1162045000</v>
      </c>
      <c r="BF46" s="442">
        <v>1847411000</v>
      </c>
      <c r="BG46" s="480"/>
      <c r="BH46" s="442"/>
      <c r="BI46" s="442"/>
      <c r="BJ46" s="442"/>
      <c r="BK46" s="442"/>
      <c r="BL46" s="442"/>
      <c r="BM46" s="442"/>
      <c r="BN46" s="442"/>
      <c r="BO46" s="442"/>
      <c r="BP46" s="442"/>
      <c r="BQ46" s="442"/>
      <c r="BR46" s="442"/>
      <c r="BS46" s="442"/>
      <c r="BT46" s="442"/>
      <c r="BU46" s="442"/>
      <c r="BV46" s="442"/>
      <c r="BW46" s="442"/>
      <c r="BX46" s="442"/>
      <c r="BY46" s="442"/>
      <c r="BZ46" s="442"/>
      <c r="CA46" s="442"/>
      <c r="CB46" s="442"/>
      <c r="CC46" s="442"/>
      <c r="CD46" s="442"/>
      <c r="CE46" s="414"/>
      <c r="CF46" s="442"/>
      <c r="CG46" s="442"/>
      <c r="CH46" s="414"/>
      <c r="CI46" s="442"/>
      <c r="CJ46" s="442">
        <v>1939781000</v>
      </c>
      <c r="CK46" s="442"/>
      <c r="CL46" s="442"/>
      <c r="CM46" s="442"/>
      <c r="CN46" s="442"/>
      <c r="CO46" s="442"/>
      <c r="CP46" s="442"/>
      <c r="CQ46" s="442"/>
      <c r="CR46" s="442"/>
      <c r="CS46" s="442"/>
      <c r="CT46" s="442"/>
      <c r="CU46" s="442"/>
      <c r="CV46" s="442"/>
      <c r="CW46" s="442"/>
      <c r="CX46" s="442"/>
      <c r="CY46" s="442"/>
      <c r="CZ46" s="442"/>
      <c r="DA46" s="442"/>
      <c r="DB46" s="442"/>
      <c r="DC46" s="442"/>
      <c r="DD46" s="442"/>
      <c r="DE46" s="442"/>
      <c r="DF46" s="442"/>
      <c r="DG46" s="442"/>
      <c r="DH46" s="442"/>
      <c r="DI46" s="414"/>
      <c r="DJ46" s="442"/>
      <c r="DK46" s="442"/>
      <c r="DL46" s="414"/>
      <c r="DM46" s="442"/>
      <c r="DN46" s="442">
        <v>1018385000</v>
      </c>
      <c r="DO46" s="304"/>
      <c r="DP46" s="304"/>
      <c r="DQ46" s="304"/>
      <c r="DR46" s="304"/>
      <c r="DS46" s="304"/>
      <c r="DT46" s="304"/>
      <c r="DU46" s="304"/>
      <c r="DV46" s="304"/>
      <c r="DW46" s="304"/>
      <c r="DX46" s="304"/>
      <c r="DY46" s="304"/>
      <c r="DZ46" s="304"/>
      <c r="EA46" s="304"/>
      <c r="EB46" s="304"/>
      <c r="EC46" s="304"/>
      <c r="ED46" s="304"/>
      <c r="EE46" s="304"/>
      <c r="EF46" s="304"/>
      <c r="EG46" s="304"/>
      <c r="EH46" s="304"/>
      <c r="EI46" s="304"/>
      <c r="EJ46" s="304"/>
      <c r="EK46" s="304"/>
      <c r="EL46" s="304"/>
      <c r="EM46" s="347">
        <f>EK46+EI46+EG46+EE46+EC46+EA46+DY46+DW46+DU46+DS46+DQ46+DO46</f>
        <v>0</v>
      </c>
      <c r="EN46" s="332">
        <f t="shared" si="192"/>
        <v>0</v>
      </c>
      <c r="EO46" s="332">
        <f t="shared" si="193"/>
        <v>0</v>
      </c>
      <c r="EP46" s="333">
        <f>DQ46+DS46+DU46+DW46+DY46+EA46+EC46+EE46+EG46+EI46+EK46+DO46</f>
        <v>0</v>
      </c>
      <c r="EQ46" s="332">
        <f>DP46+DR46+DT46+DV46</f>
        <v>0</v>
      </c>
      <c r="ER46" s="461">
        <v>0</v>
      </c>
      <c r="ES46" s="461">
        <f t="shared" si="136"/>
        <v>1</v>
      </c>
      <c r="ET46" s="460">
        <f t="shared" si="16"/>
        <v>0.89792280326515994</v>
      </c>
      <c r="EU46" s="460">
        <f t="shared" si="173"/>
        <v>0.99240131717800639</v>
      </c>
      <c r="EV46" s="462">
        <f t="shared" si="66"/>
        <v>0.26791735677612488</v>
      </c>
      <c r="EW46" s="685"/>
      <c r="EX46" s="682"/>
      <c r="EY46" s="682"/>
      <c r="EZ46" s="684"/>
      <c r="FA46" s="688"/>
      <c r="FB46" s="686"/>
    </row>
    <row r="47" spans="1:158" s="288" customFormat="1" ht="29.25" customHeight="1" thickBot="1" x14ac:dyDescent="0.3">
      <c r="A47" s="728"/>
      <c r="B47" s="730"/>
      <c r="C47" s="730"/>
      <c r="D47" s="730"/>
      <c r="E47" s="730"/>
      <c r="F47" s="395" t="s">
        <v>305</v>
      </c>
      <c r="G47" s="442"/>
      <c r="H47" s="414"/>
      <c r="I47" s="442"/>
      <c r="J47" s="442"/>
      <c r="K47" s="442"/>
      <c r="L47" s="442"/>
      <c r="M47" s="442"/>
      <c r="N47" s="442"/>
      <c r="O47" s="442"/>
      <c r="P47" s="442"/>
      <c r="Q47" s="442"/>
      <c r="R47" s="442"/>
      <c r="S47" s="442"/>
      <c r="T47" s="447"/>
      <c r="U47" s="414"/>
      <c r="V47" s="414"/>
      <c r="W47" s="414"/>
      <c r="X47" s="414"/>
      <c r="Y47" s="414"/>
      <c r="Z47" s="414"/>
      <c r="AA47" s="414"/>
      <c r="AB47" s="414"/>
      <c r="AC47" s="442">
        <v>0</v>
      </c>
      <c r="AD47" s="442">
        <v>0</v>
      </c>
      <c r="AE47" s="414">
        <v>0</v>
      </c>
      <c r="AF47" s="414">
        <v>0</v>
      </c>
      <c r="AG47" s="414">
        <v>2672200</v>
      </c>
      <c r="AH47" s="414">
        <v>2672200</v>
      </c>
      <c r="AI47" s="414">
        <v>50155734</v>
      </c>
      <c r="AJ47" s="414">
        <f>52827934-AH47</f>
        <v>50155734</v>
      </c>
      <c r="AK47" s="442">
        <v>112069567</v>
      </c>
      <c r="AL47" s="442">
        <f>164897501-AJ47-AH47</f>
        <v>112069567</v>
      </c>
      <c r="AM47" s="442">
        <v>153388400</v>
      </c>
      <c r="AN47" s="442">
        <v>153388400</v>
      </c>
      <c r="AO47" s="442">
        <v>0</v>
      </c>
      <c r="AP47" s="442"/>
      <c r="AQ47" s="442">
        <v>0</v>
      </c>
      <c r="AR47" s="442"/>
      <c r="AS47" s="442">
        <v>0</v>
      </c>
      <c r="AT47" s="442"/>
      <c r="AU47" s="442">
        <v>0</v>
      </c>
      <c r="AV47" s="442"/>
      <c r="AW47" s="442">
        <v>0</v>
      </c>
      <c r="AX47" s="442"/>
      <c r="AY47" s="442">
        <v>0</v>
      </c>
      <c r="AZ47" s="480"/>
      <c r="BA47" s="414">
        <f>AY47+AW47+AU47+AS47+AQ47+AO47+AM47+AK47+AI47+AG47+AE47+AC47</f>
        <v>318285901</v>
      </c>
      <c r="BB47" s="414">
        <f t="shared" si="191"/>
        <v>318285901</v>
      </c>
      <c r="BC47" s="414">
        <f t="shared" si="191"/>
        <v>318285901</v>
      </c>
      <c r="BD47" s="414">
        <f t="shared" si="194"/>
        <v>318285901</v>
      </c>
      <c r="BE47" s="414">
        <f>AD47+AF47+AH47+AJ47+AL47+AN47</f>
        <v>318285901</v>
      </c>
      <c r="BF47" s="442">
        <v>0</v>
      </c>
      <c r="BG47" s="480"/>
      <c r="BH47" s="442"/>
      <c r="BI47" s="442"/>
      <c r="BJ47" s="442"/>
      <c r="BK47" s="442"/>
      <c r="BL47" s="442"/>
      <c r="BM47" s="442"/>
      <c r="BN47" s="442"/>
      <c r="BO47" s="442"/>
      <c r="BP47" s="442"/>
      <c r="BQ47" s="442"/>
      <c r="BR47" s="442"/>
      <c r="BS47" s="442"/>
      <c r="BT47" s="442"/>
      <c r="BU47" s="442"/>
      <c r="BV47" s="442"/>
      <c r="BW47" s="442"/>
      <c r="BX47" s="442"/>
      <c r="BY47" s="442"/>
      <c r="BZ47" s="442"/>
      <c r="CA47" s="442"/>
      <c r="CB47" s="442"/>
      <c r="CC47" s="442"/>
      <c r="CD47" s="442"/>
      <c r="CE47" s="414"/>
      <c r="CF47" s="442"/>
      <c r="CG47" s="442"/>
      <c r="CH47" s="414"/>
      <c r="CI47" s="442"/>
      <c r="CJ47" s="442">
        <v>0</v>
      </c>
      <c r="CK47" s="442"/>
      <c r="CL47" s="442"/>
      <c r="CM47" s="442"/>
      <c r="CN47" s="442"/>
      <c r="CO47" s="442"/>
      <c r="CP47" s="442"/>
      <c r="CQ47" s="442"/>
      <c r="CR47" s="442"/>
      <c r="CS47" s="442"/>
      <c r="CT47" s="442"/>
      <c r="CU47" s="442"/>
      <c r="CV47" s="442"/>
      <c r="CW47" s="442"/>
      <c r="CX47" s="442"/>
      <c r="CY47" s="442"/>
      <c r="CZ47" s="442"/>
      <c r="DA47" s="442"/>
      <c r="DB47" s="442"/>
      <c r="DC47" s="442"/>
      <c r="DD47" s="442"/>
      <c r="DE47" s="442"/>
      <c r="DF47" s="442"/>
      <c r="DG47" s="442"/>
      <c r="DH47" s="442"/>
      <c r="DI47" s="414"/>
      <c r="DJ47" s="442"/>
      <c r="DK47" s="442"/>
      <c r="DL47" s="414"/>
      <c r="DM47" s="442"/>
      <c r="DN47" s="442">
        <v>0</v>
      </c>
      <c r="DO47" s="304"/>
      <c r="DP47" s="304"/>
      <c r="DQ47" s="304"/>
      <c r="DR47" s="304"/>
      <c r="DS47" s="304"/>
      <c r="DT47" s="304"/>
      <c r="DU47" s="304"/>
      <c r="DV47" s="304"/>
      <c r="DW47" s="304"/>
      <c r="DX47" s="304"/>
      <c r="DY47" s="304"/>
      <c r="DZ47" s="304"/>
      <c r="EA47" s="304"/>
      <c r="EB47" s="304"/>
      <c r="EC47" s="304"/>
      <c r="ED47" s="304"/>
      <c r="EE47" s="304"/>
      <c r="EF47" s="304"/>
      <c r="EG47" s="304"/>
      <c r="EH47" s="304"/>
      <c r="EI47" s="304"/>
      <c r="EJ47" s="304"/>
      <c r="EK47" s="304"/>
      <c r="EL47" s="304"/>
      <c r="EM47" s="347">
        <f>EI47+EG47+EE47+EC47+EA47+DY47+DW47+DU47+DS47+DQ47+DO47+EK47</f>
        <v>0</v>
      </c>
      <c r="EN47" s="332">
        <f t="shared" si="192"/>
        <v>0</v>
      </c>
      <c r="EO47" s="332">
        <f t="shared" si="193"/>
        <v>0</v>
      </c>
      <c r="EP47" s="328">
        <f>DQ47+DS47+DU47+DW47+DY47+EA47+EC47+EE47+EG47+EI47+EK47</f>
        <v>0</v>
      </c>
      <c r="EQ47" s="332">
        <f>DP47+DR47+DT47+DV47</f>
        <v>0</v>
      </c>
      <c r="ER47" s="461">
        <f t="shared" si="169"/>
        <v>1</v>
      </c>
      <c r="ES47" s="461">
        <f t="shared" si="136"/>
        <v>1</v>
      </c>
      <c r="ET47" s="460">
        <f t="shared" si="16"/>
        <v>1</v>
      </c>
      <c r="EU47" s="460">
        <f t="shared" si="173"/>
        <v>1</v>
      </c>
      <c r="EV47" s="462" t="e">
        <f t="shared" si="66"/>
        <v>#DIV/0!</v>
      </c>
      <c r="EW47" s="685"/>
      <c r="EX47" s="682"/>
      <c r="EY47" s="682"/>
      <c r="EZ47" s="684"/>
      <c r="FA47" s="688"/>
      <c r="FB47" s="686"/>
    </row>
    <row r="48" spans="1:158" s="4" customFormat="1" ht="29.25" customHeight="1" thickBot="1" x14ac:dyDescent="0.3">
      <c r="A48" s="728"/>
      <c r="B48" s="730"/>
      <c r="C48" s="730"/>
      <c r="D48" s="730"/>
      <c r="E48" s="730"/>
      <c r="F48" s="396" t="s">
        <v>42</v>
      </c>
      <c r="G48" s="454">
        <f>+AA48+BD48+BF48+CJ48+DN48</f>
        <v>0</v>
      </c>
      <c r="H48" s="46">
        <v>0</v>
      </c>
      <c r="I48" s="46"/>
      <c r="J48" s="46"/>
      <c r="K48" s="46"/>
      <c r="L48" s="46"/>
      <c r="M48" s="46"/>
      <c r="N48" s="46"/>
      <c r="O48" s="46"/>
      <c r="P48" s="46"/>
      <c r="Q48" s="46"/>
      <c r="R48" s="46"/>
      <c r="S48" s="46"/>
      <c r="T48" s="370"/>
      <c r="U48" s="46"/>
      <c r="V48" s="46"/>
      <c r="W48" s="46">
        <v>0</v>
      </c>
      <c r="X48" s="46">
        <v>0</v>
      </c>
      <c r="Y48" s="46">
        <v>0</v>
      </c>
      <c r="Z48" s="46">
        <v>0</v>
      </c>
      <c r="AA48" s="46">
        <v>0</v>
      </c>
      <c r="AB48" s="46">
        <v>0</v>
      </c>
      <c r="AC48" s="46">
        <v>0</v>
      </c>
      <c r="AD48" s="46">
        <v>0</v>
      </c>
      <c r="AE48" s="46">
        <v>0</v>
      </c>
      <c r="AF48" s="46">
        <v>0</v>
      </c>
      <c r="AG48" s="46">
        <v>0</v>
      </c>
      <c r="AH48" s="46">
        <v>0</v>
      </c>
      <c r="AI48" s="46">
        <v>0</v>
      </c>
      <c r="AJ48" s="46">
        <v>0</v>
      </c>
      <c r="AK48" s="46">
        <v>0</v>
      </c>
      <c r="AL48" s="46">
        <v>0</v>
      </c>
      <c r="AM48" s="46">
        <v>0</v>
      </c>
      <c r="AN48" s="46">
        <v>0</v>
      </c>
      <c r="AO48" s="46">
        <v>0</v>
      </c>
      <c r="AP48" s="46">
        <v>0</v>
      </c>
      <c r="AQ48" s="46">
        <v>0</v>
      </c>
      <c r="AR48" s="46">
        <v>0</v>
      </c>
      <c r="AS48" s="46">
        <v>0</v>
      </c>
      <c r="AT48" s="46">
        <v>0</v>
      </c>
      <c r="AU48" s="46">
        <v>0</v>
      </c>
      <c r="AV48" s="46">
        <v>0</v>
      </c>
      <c r="AW48" s="46">
        <v>0</v>
      </c>
      <c r="AX48" s="46">
        <v>0</v>
      </c>
      <c r="AY48" s="46">
        <v>0</v>
      </c>
      <c r="AZ48" s="370"/>
      <c r="BA48" s="454">
        <f>AY48+AW48+AU48+AS48+AQ48+AO48+AM48+AK48+AI48+AG48+AE48+AC48</f>
        <v>0</v>
      </c>
      <c r="BB48" s="454">
        <f t="shared" si="191"/>
        <v>0</v>
      </c>
      <c r="BC48" s="454">
        <f t="shared" si="191"/>
        <v>0</v>
      </c>
      <c r="BD48" s="455">
        <f t="shared" si="194"/>
        <v>0</v>
      </c>
      <c r="BE48" s="455">
        <f>AD48+AF48+AH48+AJ48+AL48+AN48</f>
        <v>0</v>
      </c>
      <c r="BF48" s="46">
        <v>0</v>
      </c>
      <c r="BG48" s="46">
        <v>0</v>
      </c>
      <c r="BH48" s="46">
        <v>0</v>
      </c>
      <c r="BI48" s="46"/>
      <c r="BJ48" s="46"/>
      <c r="BK48" s="370"/>
      <c r="BL48" s="46"/>
      <c r="BM48" s="370"/>
      <c r="BN48" s="370"/>
      <c r="BO48" s="46"/>
      <c r="BP48" s="46"/>
      <c r="BQ48" s="46"/>
      <c r="BR48" s="46"/>
      <c r="BS48" s="46"/>
      <c r="BT48" s="46"/>
      <c r="BU48" s="46"/>
      <c r="BV48" s="46"/>
      <c r="BW48" s="46"/>
      <c r="BX48" s="46"/>
      <c r="BY48" s="46"/>
      <c r="BZ48" s="46"/>
      <c r="CA48" s="46"/>
      <c r="CB48" s="46"/>
      <c r="CC48" s="46"/>
      <c r="CD48" s="46"/>
      <c r="CE48" s="370">
        <v>0</v>
      </c>
      <c r="CF48" s="46">
        <v>0</v>
      </c>
      <c r="CG48" s="370">
        <v>0</v>
      </c>
      <c r="CH48" s="455">
        <v>0</v>
      </c>
      <c r="CI48" s="46">
        <v>0</v>
      </c>
      <c r="CJ48" s="46">
        <v>0</v>
      </c>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370">
        <v>0</v>
      </c>
      <c r="DJ48" s="46">
        <v>0</v>
      </c>
      <c r="DK48" s="370">
        <v>0</v>
      </c>
      <c r="DL48" s="455">
        <v>0</v>
      </c>
      <c r="DM48" s="46">
        <v>0</v>
      </c>
      <c r="DN48" s="46">
        <v>0</v>
      </c>
      <c r="DO48" s="305"/>
      <c r="DP48" s="305"/>
      <c r="DQ48" s="305"/>
      <c r="DR48" s="305"/>
      <c r="DS48" s="305"/>
      <c r="DT48" s="305"/>
      <c r="DU48" s="305"/>
      <c r="DV48" s="305"/>
      <c r="DW48" s="305"/>
      <c r="DX48" s="305"/>
      <c r="DY48" s="305"/>
      <c r="DZ48" s="305"/>
      <c r="EA48" s="305"/>
      <c r="EB48" s="305"/>
      <c r="EC48" s="305"/>
      <c r="ED48" s="305"/>
      <c r="EE48" s="305"/>
      <c r="EF48" s="305"/>
      <c r="EG48" s="305"/>
      <c r="EH48" s="305"/>
      <c r="EI48" s="305"/>
      <c r="EJ48" s="305"/>
      <c r="EK48" s="305"/>
      <c r="EL48" s="305"/>
      <c r="EM48" s="350">
        <f>EI48+EG48+EE48+EC48+EA48+DY48+DW48+DU48+DS48+DQ48+DO48+EK48</f>
        <v>0</v>
      </c>
      <c r="EN48" s="397">
        <f t="shared" si="192"/>
        <v>0</v>
      </c>
      <c r="EO48" s="334">
        <f t="shared" si="193"/>
        <v>0</v>
      </c>
      <c r="EP48" s="335">
        <f>DQ48+DS48+DU48+DW48+DY48+EA48+EC48+EE48+EG48+EI48+EK48</f>
        <v>0</v>
      </c>
      <c r="EQ48" s="350">
        <f>DP48+DR48+DT48+DV48</f>
        <v>0</v>
      </c>
      <c r="ER48" s="461">
        <v>0</v>
      </c>
      <c r="ES48" s="461" t="e">
        <f t="shared" si="136"/>
        <v>#DIV/0!</v>
      </c>
      <c r="ET48" s="460" t="e">
        <f t="shared" si="16"/>
        <v>#DIV/0!</v>
      </c>
      <c r="EU48" s="460" t="e">
        <f t="shared" si="173"/>
        <v>#DIV/0!</v>
      </c>
      <c r="EV48" s="462" t="e">
        <f t="shared" si="66"/>
        <v>#DIV/0!</v>
      </c>
      <c r="EW48" s="685"/>
      <c r="EX48" s="682"/>
      <c r="EY48" s="682"/>
      <c r="EZ48" s="684"/>
      <c r="FA48" s="688"/>
      <c r="FB48" s="686"/>
    </row>
    <row r="49" spans="1:158" s="4" customFormat="1" ht="29.25" customHeight="1" thickBot="1" x14ac:dyDescent="0.3">
      <c r="A49" s="728"/>
      <c r="B49" s="730"/>
      <c r="C49" s="730"/>
      <c r="D49" s="730"/>
      <c r="E49" s="730"/>
      <c r="F49" s="394" t="s">
        <v>4</v>
      </c>
      <c r="G49" s="442">
        <f>+AA49+BD49+BF49+CJ49+DN49</f>
        <v>282323662</v>
      </c>
      <c r="H49" s="414">
        <v>0</v>
      </c>
      <c r="I49" s="442"/>
      <c r="J49" s="442"/>
      <c r="K49" s="442"/>
      <c r="L49" s="442"/>
      <c r="M49" s="442"/>
      <c r="N49" s="442"/>
      <c r="O49" s="442"/>
      <c r="P49" s="442"/>
      <c r="Q49" s="442"/>
      <c r="R49" s="442"/>
      <c r="S49" s="442"/>
      <c r="T49" s="447"/>
      <c r="U49" s="414"/>
      <c r="V49" s="414"/>
      <c r="W49" s="414">
        <v>0</v>
      </c>
      <c r="X49" s="414">
        <v>0</v>
      </c>
      <c r="Y49" s="414">
        <v>0</v>
      </c>
      <c r="Z49" s="414">
        <v>0</v>
      </c>
      <c r="AA49" s="414">
        <v>0</v>
      </c>
      <c r="AB49" s="414">
        <v>282323662</v>
      </c>
      <c r="AC49" s="414">
        <v>62610500</v>
      </c>
      <c r="AD49" s="414">
        <v>62610500</v>
      </c>
      <c r="AE49" s="414">
        <v>113705833</v>
      </c>
      <c r="AF49" s="414">
        <f>176316333-AD49</f>
        <v>113705833</v>
      </c>
      <c r="AG49" s="414">
        <v>41010499</v>
      </c>
      <c r="AH49" s="414">
        <f>217326832-AF49-AD49</f>
        <v>41010499</v>
      </c>
      <c r="AI49" s="414">
        <v>24710465</v>
      </c>
      <c r="AJ49" s="414">
        <f>242037297-AH49-AF49-AD49</f>
        <v>24710465</v>
      </c>
      <c r="AK49" s="442">
        <v>3094000</v>
      </c>
      <c r="AL49" s="442">
        <f>245131297-AJ49-AH49-AF49-AD49</f>
        <v>3094000</v>
      </c>
      <c r="AM49" s="442">
        <v>14803433</v>
      </c>
      <c r="AN49" s="442">
        <v>14803433</v>
      </c>
      <c r="AO49" s="442">
        <v>0</v>
      </c>
      <c r="AP49" s="442"/>
      <c r="AQ49" s="442">
        <f>30516833-3961969</f>
        <v>26554864</v>
      </c>
      <c r="AR49" s="442"/>
      <c r="AS49" s="442">
        <f>10636900+601</f>
        <v>10637501</v>
      </c>
      <c r="AT49" s="442"/>
      <c r="AU49" s="442"/>
      <c r="AV49" s="442"/>
      <c r="AW49" s="442"/>
      <c r="AX49" s="442"/>
      <c r="AY49" s="442"/>
      <c r="AZ49" s="480"/>
      <c r="BA49" s="414">
        <f>AY49+AW49+AU49+AS49+AQ49+AO49+AM49+AK49+AI49+AG49+AE49+AC49</f>
        <v>297127095</v>
      </c>
      <c r="BB49" s="414">
        <f t="shared" si="191"/>
        <v>259934730</v>
      </c>
      <c r="BC49" s="414">
        <f t="shared" si="191"/>
        <v>259934730</v>
      </c>
      <c r="BD49" s="414">
        <v>282323662</v>
      </c>
      <c r="BE49" s="414">
        <f>AD49+AF49+AH49+AJ49+AL49+AN49</f>
        <v>259934730</v>
      </c>
      <c r="BF49" s="442">
        <v>0</v>
      </c>
      <c r="BG49" s="480">
        <v>0</v>
      </c>
      <c r="BH49" s="442">
        <v>0</v>
      </c>
      <c r="BI49" s="442"/>
      <c r="BJ49" s="442"/>
      <c r="BK49" s="442"/>
      <c r="BL49" s="442"/>
      <c r="BM49" s="442"/>
      <c r="BN49" s="442"/>
      <c r="BO49" s="442"/>
      <c r="BP49" s="442"/>
      <c r="BQ49" s="442"/>
      <c r="BR49" s="442"/>
      <c r="BS49" s="442"/>
      <c r="BT49" s="442"/>
      <c r="BU49" s="442"/>
      <c r="BV49" s="442"/>
      <c r="BW49" s="442"/>
      <c r="BX49" s="442"/>
      <c r="BY49" s="442"/>
      <c r="BZ49" s="442"/>
      <c r="CA49" s="442"/>
      <c r="CB49" s="442"/>
      <c r="CC49" s="442"/>
      <c r="CD49" s="442"/>
      <c r="CE49" s="414">
        <v>0</v>
      </c>
      <c r="CF49" s="442">
        <v>0</v>
      </c>
      <c r="CG49" s="442">
        <v>0</v>
      </c>
      <c r="CH49" s="414">
        <v>0</v>
      </c>
      <c r="CI49" s="442">
        <v>0</v>
      </c>
      <c r="CJ49" s="442">
        <v>0</v>
      </c>
      <c r="CK49" s="442"/>
      <c r="CL49" s="442"/>
      <c r="CM49" s="442"/>
      <c r="CN49" s="442"/>
      <c r="CO49" s="442"/>
      <c r="CP49" s="442"/>
      <c r="CQ49" s="442"/>
      <c r="CR49" s="442"/>
      <c r="CS49" s="442"/>
      <c r="CT49" s="442"/>
      <c r="CU49" s="442"/>
      <c r="CV49" s="442"/>
      <c r="CW49" s="442"/>
      <c r="CX49" s="442"/>
      <c r="CY49" s="442"/>
      <c r="CZ49" s="442"/>
      <c r="DA49" s="442"/>
      <c r="DB49" s="442"/>
      <c r="DC49" s="442"/>
      <c r="DD49" s="442"/>
      <c r="DE49" s="442"/>
      <c r="DF49" s="442"/>
      <c r="DG49" s="442"/>
      <c r="DH49" s="442"/>
      <c r="DI49" s="414">
        <v>0</v>
      </c>
      <c r="DJ49" s="442">
        <v>0</v>
      </c>
      <c r="DK49" s="442">
        <v>0</v>
      </c>
      <c r="DL49" s="414">
        <v>0</v>
      </c>
      <c r="DM49" s="442">
        <v>0</v>
      </c>
      <c r="DN49" s="442">
        <v>0</v>
      </c>
      <c r="DO49" s="302"/>
      <c r="DP49" s="302"/>
      <c r="DQ49" s="302"/>
      <c r="DR49" s="302"/>
      <c r="DS49" s="302"/>
      <c r="DT49" s="302"/>
      <c r="DU49" s="302"/>
      <c r="DV49" s="302"/>
      <c r="DW49" s="302"/>
      <c r="DX49" s="302"/>
      <c r="DY49" s="302"/>
      <c r="DZ49" s="302"/>
      <c r="EA49" s="302"/>
      <c r="EB49" s="302"/>
      <c r="EC49" s="302"/>
      <c r="ED49" s="302"/>
      <c r="EE49" s="302"/>
      <c r="EF49" s="302"/>
      <c r="EG49" s="302"/>
      <c r="EH49" s="302"/>
      <c r="EI49" s="302"/>
      <c r="EJ49" s="302"/>
      <c r="EK49" s="302"/>
      <c r="EL49" s="302"/>
      <c r="EM49" s="350">
        <f>EI49+EG49+EE49+EC49+EA49+DY49+DW49+DU49+DS49+DQ49+DO49+EK49</f>
        <v>0</v>
      </c>
      <c r="EN49" s="332">
        <f t="shared" si="192"/>
        <v>0</v>
      </c>
      <c r="EO49" s="332">
        <f t="shared" si="193"/>
        <v>0</v>
      </c>
      <c r="EP49" s="328">
        <f>DQ49+DS49+DU49+DW49+DY49+EA49+EC49+EE49+EG49+EI49+EK49+DO49</f>
        <v>0</v>
      </c>
      <c r="EQ49" s="332">
        <f>DP49+DR49+DT49+DV49</f>
        <v>0</v>
      </c>
      <c r="ER49" s="461">
        <v>0</v>
      </c>
      <c r="ES49" s="461">
        <f t="shared" si="136"/>
        <v>1</v>
      </c>
      <c r="ET49" s="460">
        <f t="shared" si="16"/>
        <v>0.92069764241014984</v>
      </c>
      <c r="EU49" s="460">
        <f t="shared" si="173"/>
        <v>1</v>
      </c>
      <c r="EV49" s="462">
        <f t="shared" si="66"/>
        <v>0.92069764241014984</v>
      </c>
      <c r="EW49" s="685"/>
      <c r="EX49" s="682"/>
      <c r="EY49" s="682"/>
      <c r="EZ49" s="684"/>
      <c r="FA49" s="688"/>
      <c r="FB49" s="686"/>
    </row>
    <row r="50" spans="1:158" s="4" customFormat="1" ht="29.25" customHeight="1" thickBot="1" x14ac:dyDescent="0.3">
      <c r="A50" s="728"/>
      <c r="B50" s="730"/>
      <c r="C50" s="730"/>
      <c r="D50" s="730"/>
      <c r="E50" s="730"/>
      <c r="F50" s="396" t="s">
        <v>43</v>
      </c>
      <c r="G50" s="454">
        <f>+G45+G48</f>
        <v>7948</v>
      </c>
      <c r="H50" s="454">
        <f>+H45+H48</f>
        <v>1292</v>
      </c>
      <c r="I50" s="454">
        <f t="shared" ref="I50:AY50" si="195">+I45+I48</f>
        <v>0</v>
      </c>
      <c r="J50" s="454">
        <f t="shared" si="195"/>
        <v>0</v>
      </c>
      <c r="K50" s="454">
        <f t="shared" si="195"/>
        <v>0</v>
      </c>
      <c r="L50" s="454">
        <f t="shared" si="195"/>
        <v>0</v>
      </c>
      <c r="M50" s="454">
        <f t="shared" si="195"/>
        <v>0</v>
      </c>
      <c r="N50" s="454">
        <f t="shared" si="195"/>
        <v>0</v>
      </c>
      <c r="O50" s="454">
        <f t="shared" si="195"/>
        <v>0</v>
      </c>
      <c r="P50" s="454">
        <f t="shared" si="195"/>
        <v>0</v>
      </c>
      <c r="Q50" s="454">
        <f t="shared" si="195"/>
        <v>0</v>
      </c>
      <c r="R50" s="454">
        <f t="shared" si="195"/>
        <v>0</v>
      </c>
      <c r="S50" s="454">
        <f t="shared" si="195"/>
        <v>0</v>
      </c>
      <c r="T50" s="454">
        <f t="shared" si="195"/>
        <v>0</v>
      </c>
      <c r="U50" s="454">
        <f t="shared" si="195"/>
        <v>0</v>
      </c>
      <c r="V50" s="454">
        <f t="shared" si="195"/>
        <v>0</v>
      </c>
      <c r="W50" s="454">
        <f>+W45+W48</f>
        <v>1292</v>
      </c>
      <c r="X50" s="454">
        <f>+X45+X48</f>
        <v>1292</v>
      </c>
      <c r="Y50" s="454">
        <f t="shared" si="195"/>
        <v>1292</v>
      </c>
      <c r="Z50" s="454">
        <f>+Z45+Z48</f>
        <v>1292</v>
      </c>
      <c r="AA50" s="454">
        <f t="shared" si="195"/>
        <v>1292</v>
      </c>
      <c r="AB50" s="46">
        <f>+AB45+AB48</f>
        <v>759</v>
      </c>
      <c r="AC50" s="454">
        <f>+AC45+AC48</f>
        <v>51</v>
      </c>
      <c r="AD50" s="454">
        <f t="shared" si="195"/>
        <v>278</v>
      </c>
      <c r="AE50" s="454">
        <f t="shared" si="195"/>
        <v>66</v>
      </c>
      <c r="AF50" s="454">
        <f t="shared" si="195"/>
        <v>211</v>
      </c>
      <c r="AG50" s="454">
        <f t="shared" si="195"/>
        <v>66</v>
      </c>
      <c r="AH50" s="454">
        <f t="shared" si="195"/>
        <v>837</v>
      </c>
      <c r="AI50" s="454">
        <f t="shared" si="195"/>
        <v>473</v>
      </c>
      <c r="AJ50" s="454">
        <f t="shared" si="195"/>
        <v>488</v>
      </c>
      <c r="AK50" s="454">
        <f t="shared" si="195"/>
        <v>2050</v>
      </c>
      <c r="AL50" s="454">
        <f t="shared" si="195"/>
        <v>892</v>
      </c>
      <c r="AM50" s="454">
        <f t="shared" si="195"/>
        <v>295</v>
      </c>
      <c r="AN50" s="454">
        <f t="shared" ref="AN50" si="196">+AN45+AN48</f>
        <v>798</v>
      </c>
      <c r="AO50" s="454">
        <f t="shared" si="195"/>
        <v>295</v>
      </c>
      <c r="AP50" s="454">
        <f t="shared" si="195"/>
        <v>0</v>
      </c>
      <c r="AQ50" s="454">
        <f t="shared" si="195"/>
        <v>295</v>
      </c>
      <c r="AR50" s="454">
        <f t="shared" si="195"/>
        <v>0</v>
      </c>
      <c r="AS50" s="454">
        <f t="shared" si="195"/>
        <v>295</v>
      </c>
      <c r="AT50" s="454">
        <f t="shared" si="195"/>
        <v>0</v>
      </c>
      <c r="AU50" s="454">
        <f t="shared" si="195"/>
        <v>295</v>
      </c>
      <c r="AV50" s="454">
        <f t="shared" si="195"/>
        <v>0</v>
      </c>
      <c r="AW50" s="454">
        <f t="shared" si="195"/>
        <v>295</v>
      </c>
      <c r="AX50" s="454">
        <f t="shared" si="195"/>
        <v>0</v>
      </c>
      <c r="AY50" s="454">
        <f t="shared" si="195"/>
        <v>231</v>
      </c>
      <c r="AZ50" s="370"/>
      <c r="BA50" s="454">
        <f t="shared" ref="BA50:BF51" si="197">+BA45+BA48</f>
        <v>4707</v>
      </c>
      <c r="BB50" s="46">
        <f t="shared" si="197"/>
        <v>3001</v>
      </c>
      <c r="BC50" s="370">
        <f t="shared" si="197"/>
        <v>3504</v>
      </c>
      <c r="BD50" s="455">
        <f t="shared" si="197"/>
        <v>4707</v>
      </c>
      <c r="BE50" s="46">
        <f t="shared" si="197"/>
        <v>3504</v>
      </c>
      <c r="BF50" s="46">
        <f t="shared" si="197"/>
        <v>1097</v>
      </c>
      <c r="BG50" s="46">
        <v>8</v>
      </c>
      <c r="BH50" s="46">
        <v>4</v>
      </c>
      <c r="BI50" s="46"/>
      <c r="BJ50" s="46"/>
      <c r="BK50" s="370"/>
      <c r="BL50" s="46"/>
      <c r="BM50" s="370"/>
      <c r="BN50" s="370"/>
      <c r="BO50" s="46"/>
      <c r="BP50" s="46"/>
      <c r="BQ50" s="46"/>
      <c r="BR50" s="46"/>
      <c r="BS50" s="46"/>
      <c r="BT50" s="46"/>
      <c r="BU50" s="46"/>
      <c r="BV50" s="46"/>
      <c r="BW50" s="46"/>
      <c r="BX50" s="46"/>
      <c r="BY50" s="46"/>
      <c r="BZ50" s="46"/>
      <c r="CA50" s="46"/>
      <c r="CB50" s="46"/>
      <c r="CC50" s="46"/>
      <c r="CD50" s="46"/>
      <c r="CE50" s="370">
        <v>0</v>
      </c>
      <c r="CF50" s="46">
        <v>0</v>
      </c>
      <c r="CG50" s="370">
        <v>4</v>
      </c>
      <c r="CH50" s="455">
        <v>0</v>
      </c>
      <c r="CI50" s="46">
        <v>4</v>
      </c>
      <c r="CJ50" s="46">
        <f t="shared" ref="CJ50:CJ51" si="198">+CJ45+CJ48</f>
        <v>370</v>
      </c>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370">
        <v>0</v>
      </c>
      <c r="DJ50" s="46">
        <v>0</v>
      </c>
      <c r="DK50" s="370">
        <v>0</v>
      </c>
      <c r="DL50" s="455">
        <v>0</v>
      </c>
      <c r="DM50" s="46">
        <v>0</v>
      </c>
      <c r="DN50" s="46">
        <f t="shared" ref="DN50:DN51" si="199">+DN45+DN48</f>
        <v>482</v>
      </c>
      <c r="DO50" s="398"/>
      <c r="DP50" s="398"/>
      <c r="DQ50" s="398"/>
      <c r="DR50" s="398"/>
      <c r="DS50" s="398"/>
      <c r="DT50" s="398"/>
      <c r="DU50" s="398"/>
      <c r="DV50" s="398"/>
      <c r="DW50" s="398"/>
      <c r="DX50" s="398"/>
      <c r="DY50" s="398"/>
      <c r="DZ50" s="398"/>
      <c r="EA50" s="398"/>
      <c r="EB50" s="398"/>
      <c r="EC50" s="398"/>
      <c r="ED50" s="398"/>
      <c r="EE50" s="398"/>
      <c r="EF50" s="398"/>
      <c r="EG50" s="398"/>
      <c r="EH50" s="398"/>
      <c r="EI50" s="398"/>
      <c r="EJ50" s="398"/>
      <c r="EK50" s="398"/>
      <c r="EL50" s="398"/>
      <c r="EM50" s="350">
        <f>EI50+EG50+EE50+EC50+EA50+DY50+DW50+DU50+DS50+DQ50+DO50+EK50</f>
        <v>0</v>
      </c>
      <c r="EN50" s="334">
        <f t="shared" si="192"/>
        <v>0</v>
      </c>
      <c r="EO50" s="334">
        <f t="shared" si="193"/>
        <v>0</v>
      </c>
      <c r="EP50" s="335">
        <f>DQ50+DS50+DU50+DW50+DY50+EA50+EC50+EE50+EG50+EI50+EK50+DO50</f>
        <v>0</v>
      </c>
      <c r="EQ50" s="334">
        <f>DR50+DT50+DV50+DP50</f>
        <v>0</v>
      </c>
      <c r="ER50" s="461">
        <f t="shared" ref="ER50" si="200">+AL50/AK50</f>
        <v>0.43512195121951219</v>
      </c>
      <c r="ES50" s="461">
        <f t="shared" si="136"/>
        <v>1.1676107964011997</v>
      </c>
      <c r="ET50" s="460">
        <f t="shared" si="16"/>
        <v>0.74442319949012115</v>
      </c>
      <c r="EU50" s="460">
        <f t="shared" si="173"/>
        <v>1.1171674819473563</v>
      </c>
      <c r="EV50" s="462">
        <f t="shared" si="66"/>
        <v>0.60342224458983396</v>
      </c>
      <c r="EW50" s="685"/>
      <c r="EX50" s="682"/>
      <c r="EY50" s="682"/>
      <c r="EZ50" s="684"/>
      <c r="FA50" s="688"/>
      <c r="FB50" s="686"/>
    </row>
    <row r="51" spans="1:158" s="40" customFormat="1" ht="29.25" customHeight="1" thickBot="1" x14ac:dyDescent="0.3">
      <c r="A51" s="728"/>
      <c r="B51" s="730"/>
      <c r="C51" s="730"/>
      <c r="D51" s="730"/>
      <c r="E51" s="730"/>
      <c r="F51" s="394" t="s">
        <v>45</v>
      </c>
      <c r="G51" s="440">
        <f>+G46+G49</f>
        <v>7027026662</v>
      </c>
      <c r="H51" s="440">
        <f>+H46+H49</f>
        <v>658814131</v>
      </c>
      <c r="I51" s="440">
        <f t="shared" ref="I51:AY51" si="201">+I46+I49</f>
        <v>0</v>
      </c>
      <c r="J51" s="440">
        <f t="shared" si="201"/>
        <v>0</v>
      </c>
      <c r="K51" s="440">
        <f t="shared" si="201"/>
        <v>0</v>
      </c>
      <c r="L51" s="440">
        <f t="shared" si="201"/>
        <v>0</v>
      </c>
      <c r="M51" s="440">
        <f t="shared" si="201"/>
        <v>0</v>
      </c>
      <c r="N51" s="440">
        <f t="shared" si="201"/>
        <v>0</v>
      </c>
      <c r="O51" s="440">
        <f t="shared" si="201"/>
        <v>0</v>
      </c>
      <c r="P51" s="440">
        <f t="shared" si="201"/>
        <v>0</v>
      </c>
      <c r="Q51" s="440">
        <f t="shared" si="201"/>
        <v>0</v>
      </c>
      <c r="R51" s="440">
        <f t="shared" si="201"/>
        <v>0</v>
      </c>
      <c r="S51" s="440">
        <f t="shared" si="201"/>
        <v>0</v>
      </c>
      <c r="T51" s="440">
        <f t="shared" si="201"/>
        <v>0</v>
      </c>
      <c r="U51" s="440">
        <f t="shared" si="201"/>
        <v>0</v>
      </c>
      <c r="V51" s="440">
        <f t="shared" si="201"/>
        <v>0</v>
      </c>
      <c r="W51" s="440">
        <f>+W46+W49</f>
        <v>658814131</v>
      </c>
      <c r="X51" s="440">
        <f>+X46+X49</f>
        <v>658814131</v>
      </c>
      <c r="Y51" s="440">
        <f t="shared" si="201"/>
        <v>644978000</v>
      </c>
      <c r="Z51" s="440">
        <f>+Z46+Z49</f>
        <v>658814131</v>
      </c>
      <c r="AA51" s="440">
        <f t="shared" si="201"/>
        <v>644978000</v>
      </c>
      <c r="AB51" s="537">
        <f>+AB46+AB49</f>
        <v>1576471662</v>
      </c>
      <c r="AC51" s="440">
        <f t="shared" si="201"/>
        <v>62610500</v>
      </c>
      <c r="AD51" s="440">
        <f t="shared" si="201"/>
        <v>62610500</v>
      </c>
      <c r="AE51" s="440">
        <f t="shared" si="201"/>
        <v>498988833</v>
      </c>
      <c r="AF51" s="440">
        <f t="shared" si="201"/>
        <v>498988833</v>
      </c>
      <c r="AG51" s="440">
        <f t="shared" si="201"/>
        <v>793706499</v>
      </c>
      <c r="AH51" s="440">
        <f t="shared" si="201"/>
        <v>793706499</v>
      </c>
      <c r="AI51" s="440">
        <f t="shared" si="201"/>
        <v>24710465</v>
      </c>
      <c r="AJ51" s="440">
        <f t="shared" si="201"/>
        <v>24710465</v>
      </c>
      <c r="AK51" s="440">
        <f t="shared" si="201"/>
        <v>27160000</v>
      </c>
      <c r="AL51" s="440">
        <f>+AL46+AL49</f>
        <v>27160000</v>
      </c>
      <c r="AM51" s="440">
        <f t="shared" si="201"/>
        <v>14803433</v>
      </c>
      <c r="AN51" s="440">
        <f t="shared" ref="AN51" si="202">+AN46+AN49</f>
        <v>14803433</v>
      </c>
      <c r="AO51" s="440">
        <f t="shared" si="201"/>
        <v>0</v>
      </c>
      <c r="AP51" s="440">
        <f t="shared" si="201"/>
        <v>0</v>
      </c>
      <c r="AQ51" s="440">
        <f t="shared" si="201"/>
        <v>70589197.333333343</v>
      </c>
      <c r="AR51" s="440">
        <f t="shared" si="201"/>
        <v>0</v>
      </c>
      <c r="AS51" s="440">
        <f t="shared" si="201"/>
        <v>54671834.333333336</v>
      </c>
      <c r="AT51" s="440">
        <f t="shared" si="201"/>
        <v>0</v>
      </c>
      <c r="AU51" s="440">
        <f t="shared" si="201"/>
        <v>44034333.333333336</v>
      </c>
      <c r="AV51" s="440">
        <f t="shared" si="201"/>
        <v>0</v>
      </c>
      <c r="AW51" s="440">
        <f t="shared" si="201"/>
        <v>0</v>
      </c>
      <c r="AX51" s="440">
        <f t="shared" si="201"/>
        <v>0</v>
      </c>
      <c r="AY51" s="440">
        <f t="shared" si="201"/>
        <v>0</v>
      </c>
      <c r="AZ51" s="538"/>
      <c r="BA51" s="441">
        <f t="shared" ref="BA51:BE51" si="203">+BA46+BA49</f>
        <v>1591275095</v>
      </c>
      <c r="BB51" s="453">
        <f t="shared" si="203"/>
        <v>1421979730</v>
      </c>
      <c r="BC51" s="453">
        <f t="shared" si="203"/>
        <v>1421979730</v>
      </c>
      <c r="BD51" s="441">
        <f t="shared" si="203"/>
        <v>1576471661.9999998</v>
      </c>
      <c r="BE51" s="453">
        <f t="shared" si="203"/>
        <v>1421979730</v>
      </c>
      <c r="BF51" s="453">
        <f t="shared" si="197"/>
        <v>1847411000</v>
      </c>
      <c r="BG51" s="538">
        <v>1515392000</v>
      </c>
      <c r="BH51" s="440">
        <v>791006000</v>
      </c>
      <c r="BI51" s="440"/>
      <c r="BJ51" s="440"/>
      <c r="BK51" s="440"/>
      <c r="BL51" s="440"/>
      <c r="BM51" s="440"/>
      <c r="BN51" s="440"/>
      <c r="BO51" s="440"/>
      <c r="BP51" s="440"/>
      <c r="BQ51" s="440"/>
      <c r="BR51" s="440"/>
      <c r="BS51" s="440"/>
      <c r="BT51" s="440"/>
      <c r="BU51" s="440"/>
      <c r="BV51" s="440"/>
      <c r="BW51" s="440"/>
      <c r="BX51" s="440"/>
      <c r="BY51" s="440"/>
      <c r="BZ51" s="440"/>
      <c r="CA51" s="440"/>
      <c r="CB51" s="440"/>
      <c r="CC51" s="440"/>
      <c r="CD51" s="440"/>
      <c r="CE51" s="441">
        <v>0</v>
      </c>
      <c r="CF51" s="453">
        <v>0</v>
      </c>
      <c r="CG51" s="453">
        <v>791006000</v>
      </c>
      <c r="CH51" s="441">
        <v>0</v>
      </c>
      <c r="CI51" s="453">
        <v>791006000</v>
      </c>
      <c r="CJ51" s="453">
        <f t="shared" si="198"/>
        <v>1939781000</v>
      </c>
      <c r="CK51" s="440"/>
      <c r="CL51" s="440"/>
      <c r="CM51" s="440"/>
      <c r="CN51" s="440"/>
      <c r="CO51" s="440"/>
      <c r="CP51" s="440"/>
      <c r="CQ51" s="440"/>
      <c r="CR51" s="440"/>
      <c r="CS51" s="440"/>
      <c r="CT51" s="440"/>
      <c r="CU51" s="440"/>
      <c r="CV51" s="440"/>
      <c r="CW51" s="440"/>
      <c r="CX51" s="440"/>
      <c r="CY51" s="440"/>
      <c r="CZ51" s="440"/>
      <c r="DA51" s="440"/>
      <c r="DB51" s="440"/>
      <c r="DC51" s="440"/>
      <c r="DD51" s="440"/>
      <c r="DE51" s="440"/>
      <c r="DF51" s="440"/>
      <c r="DG51" s="440"/>
      <c r="DH51" s="440"/>
      <c r="DI51" s="441">
        <v>0</v>
      </c>
      <c r="DJ51" s="453">
        <v>0</v>
      </c>
      <c r="DK51" s="453">
        <v>0</v>
      </c>
      <c r="DL51" s="441">
        <v>0</v>
      </c>
      <c r="DM51" s="453">
        <v>0</v>
      </c>
      <c r="DN51" s="453">
        <f t="shared" si="199"/>
        <v>1018385000</v>
      </c>
      <c r="DO51" s="403"/>
      <c r="DP51" s="403"/>
      <c r="DQ51" s="403"/>
      <c r="DR51" s="403"/>
      <c r="DS51" s="403"/>
      <c r="DT51" s="403"/>
      <c r="DU51" s="403"/>
      <c r="DV51" s="403"/>
      <c r="DW51" s="403"/>
      <c r="DX51" s="403"/>
      <c r="DY51" s="403"/>
      <c r="DZ51" s="403"/>
      <c r="EA51" s="403"/>
      <c r="EB51" s="403"/>
      <c r="EC51" s="403"/>
      <c r="ED51" s="403"/>
      <c r="EE51" s="403"/>
      <c r="EF51" s="403"/>
      <c r="EG51" s="403"/>
      <c r="EH51" s="403"/>
      <c r="EI51" s="403"/>
      <c r="EJ51" s="403"/>
      <c r="EK51" s="403"/>
      <c r="EL51" s="403"/>
      <c r="EM51" s="400">
        <f>EK51+EI51+EG51+EE51+EC51+EA51+DY51+DW51+DU51+DS51+DQ51+DO51</f>
        <v>0</v>
      </c>
      <c r="EN51" s="401">
        <f t="shared" ref="EN51" si="204">+EN46+EN49</f>
        <v>0</v>
      </c>
      <c r="EO51" s="402">
        <f t="shared" ref="EO51" si="205">EO46+EO49</f>
        <v>0</v>
      </c>
      <c r="EP51" s="401">
        <f t="shared" ref="EP51:EQ51" si="206">+EP46+EP49</f>
        <v>0</v>
      </c>
      <c r="EQ51" s="401">
        <f t="shared" si="206"/>
        <v>0</v>
      </c>
      <c r="ER51" s="578">
        <f t="shared" ref="ER51:ER57" si="207">+AN51/AM51</f>
        <v>1</v>
      </c>
      <c r="ES51" s="578">
        <f t="shared" si="136"/>
        <v>1</v>
      </c>
      <c r="ET51" s="576">
        <f t="shared" si="16"/>
        <v>0.90200145316662228</v>
      </c>
      <c r="EU51" s="576">
        <f t="shared" si="173"/>
        <v>0.993350551796923</v>
      </c>
      <c r="EV51" s="577">
        <f t="shared" si="66"/>
        <v>0.2941439999334956</v>
      </c>
      <c r="EW51" s="685"/>
      <c r="EX51" s="682"/>
      <c r="EY51" s="682"/>
      <c r="EZ51" s="684"/>
      <c r="FA51" s="688"/>
      <c r="FB51" s="686"/>
    </row>
    <row r="52" spans="1:158" s="4" customFormat="1" ht="29.25" customHeight="1" thickBot="1" x14ac:dyDescent="0.3">
      <c r="A52" s="728" t="s">
        <v>402</v>
      </c>
      <c r="B52" s="730">
        <v>7</v>
      </c>
      <c r="C52" s="730" t="s">
        <v>409</v>
      </c>
      <c r="D52" s="730" t="s">
        <v>364</v>
      </c>
      <c r="E52" s="730">
        <v>268</v>
      </c>
      <c r="F52" s="396" t="s">
        <v>41</v>
      </c>
      <c r="G52" s="380">
        <v>1</v>
      </c>
      <c r="H52" s="380">
        <v>1</v>
      </c>
      <c r="I52" s="380">
        <v>1</v>
      </c>
      <c r="J52" s="380">
        <v>1</v>
      </c>
      <c r="K52" s="380">
        <v>1</v>
      </c>
      <c r="L52" s="380">
        <v>1</v>
      </c>
      <c r="M52" s="380">
        <v>1</v>
      </c>
      <c r="N52" s="380">
        <v>1</v>
      </c>
      <c r="O52" s="380">
        <v>1</v>
      </c>
      <c r="P52" s="380">
        <v>1</v>
      </c>
      <c r="Q52" s="380">
        <v>1</v>
      </c>
      <c r="R52" s="380">
        <v>1</v>
      </c>
      <c r="S52" s="380">
        <v>1</v>
      </c>
      <c r="T52" s="380">
        <v>1</v>
      </c>
      <c r="U52" s="380">
        <v>1</v>
      </c>
      <c r="V52" s="380">
        <v>1</v>
      </c>
      <c r="W52" s="380">
        <v>1</v>
      </c>
      <c r="X52" s="380">
        <v>1</v>
      </c>
      <c r="Y52" s="380">
        <v>1</v>
      </c>
      <c r="Z52" s="380">
        <v>1</v>
      </c>
      <c r="AA52" s="380">
        <v>1</v>
      </c>
      <c r="AB52" s="380">
        <v>1</v>
      </c>
      <c r="AC52" s="380">
        <v>1</v>
      </c>
      <c r="AD52" s="380">
        <v>1</v>
      </c>
      <c r="AE52" s="380">
        <v>1</v>
      </c>
      <c r="AF52" s="380">
        <v>1</v>
      </c>
      <c r="AG52" s="380">
        <v>1</v>
      </c>
      <c r="AH52" s="380">
        <v>1</v>
      </c>
      <c r="AI52" s="380">
        <v>1</v>
      </c>
      <c r="AJ52" s="380">
        <v>0.64</v>
      </c>
      <c r="AK52" s="380">
        <v>1</v>
      </c>
      <c r="AL52" s="380">
        <v>0.877</v>
      </c>
      <c r="AM52" s="380">
        <v>1</v>
      </c>
      <c r="AN52" s="574">
        <v>0.91600000000000004</v>
      </c>
      <c r="AO52" s="380">
        <v>1</v>
      </c>
      <c r="AP52" s="380"/>
      <c r="AQ52" s="380">
        <v>1</v>
      </c>
      <c r="AR52" s="380"/>
      <c r="AS52" s="380">
        <v>1</v>
      </c>
      <c r="AT52" s="380"/>
      <c r="AU52" s="380">
        <v>1</v>
      </c>
      <c r="AV52" s="380"/>
      <c r="AW52" s="380">
        <v>1</v>
      </c>
      <c r="AX52" s="380"/>
      <c r="AY52" s="380">
        <v>1</v>
      </c>
      <c r="AZ52" s="380"/>
      <c r="BA52" s="380">
        <f>+AB52</f>
        <v>1</v>
      </c>
      <c r="BB52" s="380">
        <f>+AM52</f>
        <v>1</v>
      </c>
      <c r="BC52" s="380">
        <f>+AN52</f>
        <v>0.91600000000000004</v>
      </c>
      <c r="BD52" s="380">
        <f>+G52</f>
        <v>1</v>
      </c>
      <c r="BE52" s="380">
        <f>+AN52</f>
        <v>0.91600000000000004</v>
      </c>
      <c r="BF52" s="452">
        <v>1</v>
      </c>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f t="shared" ref="CE52" si="208">CC52+CA52+BY52+BW52+BU52+BS52+BQ52+BO52+BM52+BK52+BI52+AZ52</f>
        <v>0</v>
      </c>
      <c r="CF52" s="380">
        <f t="shared" ref="CF52" si="209">AZ52+BI52+BK52+BM52</f>
        <v>0</v>
      </c>
      <c r="CG52" s="380">
        <f t="shared" ref="CG52" si="210">BH52+BJ52+BL52+BN52</f>
        <v>0</v>
      </c>
      <c r="CH52" s="380">
        <f t="shared" ref="CH52" si="211">BI52+BK52+BM52+BO52+BQ52+BS52+BU52+BW52+BY52+CA52+CC52+AZ52</f>
        <v>0</v>
      </c>
      <c r="CI52" s="380">
        <f t="shared" ref="CI52" si="212">BH52+BJ52+BL52+BN52</f>
        <v>0</v>
      </c>
      <c r="CJ52" s="380">
        <v>1</v>
      </c>
      <c r="CK52" s="380"/>
      <c r="CL52" s="380"/>
      <c r="CM52" s="380"/>
      <c r="CN52" s="380"/>
      <c r="CO52" s="380"/>
      <c r="CP52" s="380"/>
      <c r="CQ52" s="380"/>
      <c r="CR52" s="380"/>
      <c r="CS52" s="380"/>
      <c r="CT52" s="380"/>
      <c r="CU52" s="380"/>
      <c r="CV52" s="380"/>
      <c r="CW52" s="380"/>
      <c r="CX52" s="380"/>
      <c r="CY52" s="380"/>
      <c r="CZ52" s="380"/>
      <c r="DA52" s="380"/>
      <c r="DB52" s="380"/>
      <c r="DC52" s="380"/>
      <c r="DD52" s="380"/>
      <c r="DE52" s="380"/>
      <c r="DF52" s="380"/>
      <c r="DG52" s="380"/>
      <c r="DH52" s="380"/>
      <c r="DI52" s="380">
        <f t="shared" ref="DI52" si="213">DG52+DE52+DC52+DA52+CY52+CW52+CU52+CS52+CQ52+CO52+CM52+CK52</f>
        <v>0</v>
      </c>
      <c r="DJ52" s="380">
        <f t="shared" ref="DJ52" si="214">CK52+CM52+CO52+CQ52</f>
        <v>0</v>
      </c>
      <c r="DK52" s="380">
        <f t="shared" ref="DK52" si="215">CL52+CN52+CP52+CR52</f>
        <v>0</v>
      </c>
      <c r="DL52" s="380">
        <f t="shared" ref="DL52" si="216">CM52+CO52+CQ52+CS52+CU52+CW52+CY52+DA52+DC52+DE52+DG52+CK52</f>
        <v>0</v>
      </c>
      <c r="DM52" s="380">
        <f t="shared" ref="DM52" si="217">CL52+CN52+CP52+CR52</f>
        <v>0</v>
      </c>
      <c r="DN52" s="380">
        <v>1</v>
      </c>
      <c r="DO52" s="532"/>
      <c r="DP52" s="532"/>
      <c r="DQ52" s="532"/>
      <c r="DR52" s="532"/>
      <c r="DS52" s="532"/>
      <c r="DT52" s="532"/>
      <c r="DU52" s="532"/>
      <c r="DV52" s="532"/>
      <c r="DW52" s="532"/>
      <c r="DX52" s="532"/>
      <c r="DY52" s="532"/>
      <c r="DZ52" s="532"/>
      <c r="EA52" s="532"/>
      <c r="EB52" s="532"/>
      <c r="EC52" s="532"/>
      <c r="ED52" s="532"/>
      <c r="EE52" s="532"/>
      <c r="EF52" s="532"/>
      <c r="EG52" s="533"/>
      <c r="EH52" s="533"/>
      <c r="EI52" s="533"/>
      <c r="EJ52" s="533"/>
      <c r="EK52" s="533"/>
      <c r="EL52" s="533"/>
      <c r="EM52" s="531">
        <f>EK52+EI52+EG52+EE52+EC52+EA52+DY52+DW52+DU52+DS52+DQ52+DO52</f>
        <v>0</v>
      </c>
      <c r="EN52" s="534">
        <f t="shared" ref="EN52:EN56" si="218">DO52+DQ52+DS52+DU52</f>
        <v>0</v>
      </c>
      <c r="EO52" s="530">
        <f t="shared" ref="EO52:EO57" si="219">DP52+DR52+DT52+DV52</f>
        <v>0</v>
      </c>
      <c r="EP52" s="530">
        <f>DQ52+DS52+DU52+DW52+DY52+EA52+EC52+EE52+EG52+EI52+EK52+DO52</f>
        <v>0</v>
      </c>
      <c r="EQ52" s="534">
        <f>DP52+DR52+DT52+DV52</f>
        <v>0</v>
      </c>
      <c r="ER52" s="461">
        <f t="shared" si="207"/>
        <v>0.91600000000000004</v>
      </c>
      <c r="ES52" s="461">
        <f t="shared" si="136"/>
        <v>0.91600000000000004</v>
      </c>
      <c r="ET52" s="460">
        <f t="shared" si="16"/>
        <v>0.91600000000000004</v>
      </c>
      <c r="EU52" s="460">
        <f t="shared" si="173"/>
        <v>0.95799999999999996</v>
      </c>
      <c r="EV52" s="462">
        <v>0.4</v>
      </c>
      <c r="EW52" s="689" t="s">
        <v>519</v>
      </c>
      <c r="EX52" s="682" t="s">
        <v>520</v>
      </c>
      <c r="EY52" s="682" t="s">
        <v>521</v>
      </c>
      <c r="EZ52" s="682" t="s">
        <v>482</v>
      </c>
      <c r="FA52" s="682" t="s">
        <v>483</v>
      </c>
      <c r="FB52" s="686"/>
    </row>
    <row r="53" spans="1:158" s="154" customFormat="1" ht="29.25" customHeight="1" thickBot="1" x14ac:dyDescent="0.3">
      <c r="A53" s="728"/>
      <c r="B53" s="730"/>
      <c r="C53" s="730"/>
      <c r="D53" s="730"/>
      <c r="E53" s="730"/>
      <c r="F53" s="394" t="s">
        <v>3</v>
      </c>
      <c r="G53" s="415">
        <f>+AA53+BD53+BF53+CJ53+DN53</f>
        <v>3226194000</v>
      </c>
      <c r="H53" s="414">
        <v>450000000</v>
      </c>
      <c r="I53" s="415"/>
      <c r="J53" s="415"/>
      <c r="K53" s="415"/>
      <c r="L53" s="415"/>
      <c r="M53" s="415"/>
      <c r="N53" s="415"/>
      <c r="O53" s="415"/>
      <c r="P53" s="415"/>
      <c r="Q53" s="415"/>
      <c r="R53" s="415"/>
      <c r="S53" s="415"/>
      <c r="T53" s="414"/>
      <c r="U53" s="448"/>
      <c r="V53" s="448"/>
      <c r="W53" s="414">
        <v>450000000</v>
      </c>
      <c r="X53" s="414">
        <v>450000000</v>
      </c>
      <c r="Y53" s="414">
        <v>447516000</v>
      </c>
      <c r="Z53" s="414">
        <v>450000000</v>
      </c>
      <c r="AA53" s="414">
        <v>447516000</v>
      </c>
      <c r="AB53" s="414">
        <v>691670000</v>
      </c>
      <c r="AC53" s="415">
        <v>0</v>
      </c>
      <c r="AD53" s="415">
        <v>0</v>
      </c>
      <c r="AE53" s="415">
        <v>326043000</v>
      </c>
      <c r="AF53" s="415">
        <f>326043000-AD53</f>
        <v>326043000</v>
      </c>
      <c r="AG53" s="415">
        <v>89595000</v>
      </c>
      <c r="AH53" s="415">
        <f>415638000-AF53-AD53</f>
        <v>89595000</v>
      </c>
      <c r="AI53" s="415">
        <v>100480000</v>
      </c>
      <c r="AJ53" s="415">
        <f>516118000-AH53-AF53-AD53</f>
        <v>100480000</v>
      </c>
      <c r="AK53" s="415">
        <v>0</v>
      </c>
      <c r="AL53" s="415">
        <f>516118000-AJ53-AH53-AF53-AD53</f>
        <v>0</v>
      </c>
      <c r="AM53" s="415">
        <v>0</v>
      </c>
      <c r="AN53" s="415">
        <v>0</v>
      </c>
      <c r="AO53" s="415">
        <v>0</v>
      </c>
      <c r="AP53" s="415"/>
      <c r="AQ53" s="415">
        <v>4186666.6666666665</v>
      </c>
      <c r="AR53" s="415"/>
      <c r="AS53" s="415">
        <v>4186666.6666666665</v>
      </c>
      <c r="AT53" s="415"/>
      <c r="AU53" s="415">
        <v>4186666.6666666665</v>
      </c>
      <c r="AV53" s="415"/>
      <c r="AW53" s="415">
        <v>0</v>
      </c>
      <c r="AX53" s="415"/>
      <c r="AY53" s="415">
        <v>0</v>
      </c>
      <c r="AZ53" s="415"/>
      <c r="BA53" s="415">
        <f>AY53+AW53+AU53+AS53+AQ53+AO53+AM53+AK53+AI53+AG53+AE53+AC53</f>
        <v>528678000</v>
      </c>
      <c r="BB53" s="415">
        <f>AC53+AE53+AG53+AI53+AK53+AM53</f>
        <v>516118000</v>
      </c>
      <c r="BC53" s="415">
        <f>AD53+AF53+AH53+AJ53+AL53+AN53</f>
        <v>516118000</v>
      </c>
      <c r="BD53" s="414">
        <f>AE53+AG53+AI53+AK53+AM53+AO53+AQ53+AS53+AU53+AW53+AY53+AC53</f>
        <v>528678000.00000006</v>
      </c>
      <c r="BE53" s="442">
        <f>AD53+AF53+AH53+AJ53+AL53+AN53</f>
        <v>516118000</v>
      </c>
      <c r="BF53" s="415">
        <v>900000000</v>
      </c>
      <c r="BG53" s="415"/>
      <c r="BH53" s="415"/>
      <c r="BI53" s="415"/>
      <c r="BJ53" s="415"/>
      <c r="BK53" s="415"/>
      <c r="BL53" s="415"/>
      <c r="BM53" s="415"/>
      <c r="BN53" s="415"/>
      <c r="BO53" s="415"/>
      <c r="BP53" s="415"/>
      <c r="BQ53" s="415"/>
      <c r="BR53" s="415"/>
      <c r="BS53" s="415"/>
      <c r="BT53" s="415"/>
      <c r="BU53" s="415"/>
      <c r="BV53" s="415"/>
      <c r="BW53" s="415"/>
      <c r="BX53" s="415"/>
      <c r="BY53" s="415"/>
      <c r="BZ53" s="415"/>
      <c r="CA53" s="415"/>
      <c r="CB53" s="415"/>
      <c r="CC53" s="415"/>
      <c r="CD53" s="415"/>
      <c r="CE53" s="414"/>
      <c r="CF53" s="442"/>
      <c r="CG53" s="442"/>
      <c r="CH53" s="414"/>
      <c r="CI53" s="442"/>
      <c r="CJ53" s="415">
        <v>900000000</v>
      </c>
      <c r="CK53" s="415"/>
      <c r="CL53" s="415"/>
      <c r="CM53" s="415"/>
      <c r="CN53" s="415"/>
      <c r="CO53" s="415"/>
      <c r="CP53" s="415"/>
      <c r="CQ53" s="415"/>
      <c r="CR53" s="415"/>
      <c r="CS53" s="415"/>
      <c r="CT53" s="415"/>
      <c r="CU53" s="415"/>
      <c r="CV53" s="415"/>
      <c r="CW53" s="415"/>
      <c r="CX53" s="415"/>
      <c r="CY53" s="415"/>
      <c r="CZ53" s="415"/>
      <c r="DA53" s="415"/>
      <c r="DB53" s="415"/>
      <c r="DC53" s="415"/>
      <c r="DD53" s="415"/>
      <c r="DE53" s="415"/>
      <c r="DF53" s="415"/>
      <c r="DG53" s="415"/>
      <c r="DH53" s="415"/>
      <c r="DI53" s="414"/>
      <c r="DJ53" s="442"/>
      <c r="DK53" s="442"/>
      <c r="DL53" s="414"/>
      <c r="DM53" s="442"/>
      <c r="DN53" s="415">
        <v>450000000</v>
      </c>
      <c r="DO53" s="302"/>
      <c r="DP53" s="302"/>
      <c r="DQ53" s="302"/>
      <c r="DR53" s="302"/>
      <c r="DS53" s="302"/>
      <c r="DT53" s="302"/>
      <c r="DU53" s="302"/>
      <c r="DV53" s="302"/>
      <c r="DW53" s="302"/>
      <c r="DX53" s="302"/>
      <c r="DY53" s="302"/>
      <c r="DZ53" s="302"/>
      <c r="EA53" s="302"/>
      <c r="EB53" s="302"/>
      <c r="EC53" s="302"/>
      <c r="ED53" s="302"/>
      <c r="EE53" s="302"/>
      <c r="EF53" s="302"/>
      <c r="EG53" s="302"/>
      <c r="EH53" s="302"/>
      <c r="EI53" s="302"/>
      <c r="EJ53" s="302"/>
      <c r="EK53" s="302"/>
      <c r="EL53" s="302"/>
      <c r="EM53" s="347">
        <f>EK53+EI53+EG53+EE53+EC53+EA53+DY53+DW53+DU53+DS53+DQ53+DO53</f>
        <v>0</v>
      </c>
      <c r="EN53" s="332">
        <f t="shared" si="218"/>
        <v>0</v>
      </c>
      <c r="EO53" s="332">
        <f t="shared" si="219"/>
        <v>0</v>
      </c>
      <c r="EP53" s="333">
        <f>DQ53+DS53+DU53+DW53+DY53+EA53+EC53+EE53+EG53+EI53+EK53+DO53</f>
        <v>0</v>
      </c>
      <c r="EQ53" s="332">
        <f>DP53+DR53+DT53+DV53</f>
        <v>0</v>
      </c>
      <c r="ER53" s="461">
        <v>0</v>
      </c>
      <c r="ES53" s="461">
        <f t="shared" si="136"/>
        <v>1</v>
      </c>
      <c r="ET53" s="460">
        <f t="shared" si="16"/>
        <v>0.97624262783773852</v>
      </c>
      <c r="EU53" s="460">
        <f t="shared" si="173"/>
        <v>0.99742888549845876</v>
      </c>
      <c r="EV53" s="462">
        <f t="shared" si="66"/>
        <v>0.2986906553046717</v>
      </c>
      <c r="EW53" s="689"/>
      <c r="EX53" s="682"/>
      <c r="EY53" s="682"/>
      <c r="EZ53" s="682"/>
      <c r="FA53" s="682"/>
      <c r="FB53" s="686"/>
    </row>
    <row r="54" spans="1:158" s="154" customFormat="1" ht="29.25" customHeight="1" thickBot="1" x14ac:dyDescent="0.3">
      <c r="A54" s="728"/>
      <c r="B54" s="730"/>
      <c r="C54" s="730"/>
      <c r="D54" s="730"/>
      <c r="E54" s="730"/>
      <c r="F54" s="395" t="s">
        <v>305</v>
      </c>
      <c r="G54" s="415"/>
      <c r="H54" s="414"/>
      <c r="I54" s="415"/>
      <c r="J54" s="415"/>
      <c r="K54" s="415"/>
      <c r="L54" s="415"/>
      <c r="M54" s="415"/>
      <c r="N54" s="415"/>
      <c r="O54" s="415"/>
      <c r="P54" s="415"/>
      <c r="Q54" s="415"/>
      <c r="R54" s="415"/>
      <c r="S54" s="415"/>
      <c r="T54" s="414"/>
      <c r="U54" s="448"/>
      <c r="V54" s="448"/>
      <c r="W54" s="414"/>
      <c r="X54" s="414"/>
      <c r="Y54" s="414"/>
      <c r="Z54" s="414"/>
      <c r="AA54" s="415"/>
      <c r="AB54" s="414"/>
      <c r="AC54" s="415">
        <v>0</v>
      </c>
      <c r="AD54" s="449">
        <v>0</v>
      </c>
      <c r="AE54" s="415">
        <v>0</v>
      </c>
      <c r="AF54" s="415">
        <v>0</v>
      </c>
      <c r="AG54" s="415">
        <v>13025300</v>
      </c>
      <c r="AH54" s="415">
        <v>13025300</v>
      </c>
      <c r="AI54" s="415">
        <v>41275300</v>
      </c>
      <c r="AJ54" s="415">
        <f>54300600-AH54</f>
        <v>41275300</v>
      </c>
      <c r="AK54" s="415">
        <v>49826100</v>
      </c>
      <c r="AL54" s="415">
        <f>104126700-AJ54-AH54</f>
        <v>49826100</v>
      </c>
      <c r="AM54" s="415">
        <v>59253467</v>
      </c>
      <c r="AN54" s="415">
        <v>59253467</v>
      </c>
      <c r="AO54" s="415">
        <v>0</v>
      </c>
      <c r="AP54" s="415"/>
      <c r="AQ54" s="415">
        <v>0</v>
      </c>
      <c r="AR54" s="415"/>
      <c r="AS54" s="415">
        <v>0</v>
      </c>
      <c r="AT54" s="415"/>
      <c r="AU54" s="415">
        <v>0</v>
      </c>
      <c r="AV54" s="415"/>
      <c r="AW54" s="415">
        <v>0</v>
      </c>
      <c r="AX54" s="415"/>
      <c r="AY54" s="415">
        <v>0</v>
      </c>
      <c r="AZ54" s="415"/>
      <c r="BA54" s="415">
        <f>AY54+AW54+AU54+AS54+AQ54+AO54+AM54+AK54+AI54+AG54+AE54+AC54</f>
        <v>163380167</v>
      </c>
      <c r="BB54" s="415">
        <f>AC54+AE54+AG54+AI54+AK54+AM54</f>
        <v>163380167</v>
      </c>
      <c r="BC54" s="415">
        <f>AD54+AF54+AH54+AJ54+AL54+AN54</f>
        <v>163380167</v>
      </c>
      <c r="BD54" s="414">
        <f>AE54+AG54+AI54+AK54+AM54+AO54+AQ54+AS54+AU54+AW54+AY54+AC54</f>
        <v>163380167</v>
      </c>
      <c r="BE54" s="442">
        <f>AD54+AF54+AH54+AJ54+AL54+AN54</f>
        <v>163380167</v>
      </c>
      <c r="BF54" s="415">
        <v>0</v>
      </c>
      <c r="BG54" s="415"/>
      <c r="BH54" s="415"/>
      <c r="BI54" s="415"/>
      <c r="BJ54" s="415"/>
      <c r="BK54" s="415"/>
      <c r="BL54" s="415"/>
      <c r="BM54" s="415"/>
      <c r="BN54" s="415"/>
      <c r="BO54" s="415"/>
      <c r="BP54" s="415"/>
      <c r="BQ54" s="415"/>
      <c r="BR54" s="415"/>
      <c r="BS54" s="415"/>
      <c r="BT54" s="415"/>
      <c r="BU54" s="415"/>
      <c r="BV54" s="415"/>
      <c r="BW54" s="415"/>
      <c r="BX54" s="415"/>
      <c r="BY54" s="415"/>
      <c r="BZ54" s="415"/>
      <c r="CA54" s="415"/>
      <c r="CB54" s="415"/>
      <c r="CC54" s="415"/>
      <c r="CD54" s="415"/>
      <c r="CE54" s="414"/>
      <c r="CF54" s="442"/>
      <c r="CG54" s="442"/>
      <c r="CH54" s="414"/>
      <c r="CI54" s="442"/>
      <c r="CJ54" s="415">
        <v>0</v>
      </c>
      <c r="CK54" s="415"/>
      <c r="CL54" s="415"/>
      <c r="CM54" s="415"/>
      <c r="CN54" s="415"/>
      <c r="CO54" s="415"/>
      <c r="CP54" s="415"/>
      <c r="CQ54" s="415"/>
      <c r="CR54" s="415"/>
      <c r="CS54" s="415"/>
      <c r="CT54" s="415"/>
      <c r="CU54" s="415"/>
      <c r="CV54" s="415"/>
      <c r="CW54" s="415"/>
      <c r="CX54" s="415"/>
      <c r="CY54" s="415"/>
      <c r="CZ54" s="415"/>
      <c r="DA54" s="415"/>
      <c r="DB54" s="415"/>
      <c r="DC54" s="415"/>
      <c r="DD54" s="415"/>
      <c r="DE54" s="415"/>
      <c r="DF54" s="415"/>
      <c r="DG54" s="415"/>
      <c r="DH54" s="415"/>
      <c r="DI54" s="414"/>
      <c r="DJ54" s="442"/>
      <c r="DK54" s="442"/>
      <c r="DL54" s="414"/>
      <c r="DM54" s="442"/>
      <c r="DN54" s="415">
        <v>0</v>
      </c>
      <c r="DO54" s="302"/>
      <c r="DP54" s="302"/>
      <c r="DQ54" s="302"/>
      <c r="DR54" s="302"/>
      <c r="DS54" s="302"/>
      <c r="DT54" s="302"/>
      <c r="DU54" s="302"/>
      <c r="DV54" s="302"/>
      <c r="DW54" s="302"/>
      <c r="DX54" s="302"/>
      <c r="DY54" s="302"/>
      <c r="DZ54" s="302"/>
      <c r="EA54" s="302"/>
      <c r="EB54" s="302"/>
      <c r="EC54" s="302"/>
      <c r="ED54" s="302"/>
      <c r="EE54" s="302"/>
      <c r="EF54" s="302"/>
      <c r="EG54" s="302"/>
      <c r="EH54" s="302"/>
      <c r="EI54" s="302"/>
      <c r="EJ54" s="302"/>
      <c r="EK54" s="302"/>
      <c r="EL54" s="302"/>
      <c r="EM54" s="347">
        <f>EI54+EG54+EE54+EC54+EA54+DY54+DW54+DU54+DS54+DQ54+DO54+EK54</f>
        <v>0</v>
      </c>
      <c r="EN54" s="332">
        <f t="shared" si="218"/>
        <v>0</v>
      </c>
      <c r="EO54" s="332">
        <f t="shared" si="219"/>
        <v>0</v>
      </c>
      <c r="EP54" s="328">
        <f>DQ54+DS54+DU54+DW54+DY54+EA54+EC54+EE54+EG54+EI54+EK54</f>
        <v>0</v>
      </c>
      <c r="EQ54" s="332">
        <f>DP54+DR54+DT54+DV54</f>
        <v>0</v>
      </c>
      <c r="ER54" s="461">
        <f t="shared" si="207"/>
        <v>1</v>
      </c>
      <c r="ES54" s="461">
        <f t="shared" si="136"/>
        <v>1</v>
      </c>
      <c r="ET54" s="460">
        <f t="shared" si="16"/>
        <v>1</v>
      </c>
      <c r="EU54" s="460">
        <f t="shared" si="173"/>
        <v>1</v>
      </c>
      <c r="EV54" s="462" t="e">
        <f t="shared" si="66"/>
        <v>#DIV/0!</v>
      </c>
      <c r="EW54" s="689"/>
      <c r="EX54" s="682"/>
      <c r="EY54" s="682"/>
      <c r="EZ54" s="682"/>
      <c r="FA54" s="682"/>
      <c r="FB54" s="686"/>
    </row>
    <row r="55" spans="1:158" s="4" customFormat="1" ht="29.25" customHeight="1" thickBot="1" x14ac:dyDescent="0.3">
      <c r="A55" s="728"/>
      <c r="B55" s="730"/>
      <c r="C55" s="730"/>
      <c r="D55" s="730"/>
      <c r="E55" s="730"/>
      <c r="F55" s="396" t="s">
        <v>42</v>
      </c>
      <c r="G55" s="380">
        <v>0</v>
      </c>
      <c r="H55" s="413">
        <v>0</v>
      </c>
      <c r="I55" s="294">
        <v>0</v>
      </c>
      <c r="J55" s="294">
        <v>0</v>
      </c>
      <c r="K55" s="294">
        <v>0</v>
      </c>
      <c r="L55" s="294">
        <v>0</v>
      </c>
      <c r="M55" s="294">
        <v>0</v>
      </c>
      <c r="N55" s="46">
        <v>0</v>
      </c>
      <c r="O55" s="294">
        <v>0</v>
      </c>
      <c r="P55" s="46">
        <v>0</v>
      </c>
      <c r="Q55" s="294">
        <v>0</v>
      </c>
      <c r="R55" s="451">
        <v>0</v>
      </c>
      <c r="S55" s="294">
        <v>0</v>
      </c>
      <c r="T55" s="46">
        <v>0</v>
      </c>
      <c r="U55" s="294">
        <v>0</v>
      </c>
      <c r="V55" s="294">
        <v>0</v>
      </c>
      <c r="W55" s="380">
        <v>0</v>
      </c>
      <c r="X55" s="380">
        <v>0</v>
      </c>
      <c r="Y55" s="380">
        <v>0</v>
      </c>
      <c r="Z55" s="380">
        <v>0</v>
      </c>
      <c r="AA55" s="380">
        <v>0</v>
      </c>
      <c r="AB55" s="380">
        <v>0</v>
      </c>
      <c r="AC55" s="380">
        <v>0</v>
      </c>
      <c r="AD55" s="380">
        <v>0</v>
      </c>
      <c r="AE55" s="380">
        <v>0</v>
      </c>
      <c r="AF55" s="380">
        <v>0</v>
      </c>
      <c r="AG55" s="380">
        <v>0</v>
      </c>
      <c r="AH55" s="380">
        <v>0</v>
      </c>
      <c r="AI55" s="380">
        <v>0</v>
      </c>
      <c r="AJ55" s="380">
        <v>0</v>
      </c>
      <c r="AK55" s="380">
        <v>0</v>
      </c>
      <c r="AL55" s="380">
        <v>0</v>
      </c>
      <c r="AM55" s="380">
        <v>0</v>
      </c>
      <c r="AN55" s="380">
        <v>0</v>
      </c>
      <c r="AO55" s="380">
        <v>0</v>
      </c>
      <c r="AP55" s="380"/>
      <c r="AQ55" s="380">
        <v>0</v>
      </c>
      <c r="AR55" s="380"/>
      <c r="AS55" s="380">
        <v>0</v>
      </c>
      <c r="AT55" s="380"/>
      <c r="AU55" s="380">
        <v>0</v>
      </c>
      <c r="AV55" s="380"/>
      <c r="AW55" s="380">
        <v>0</v>
      </c>
      <c r="AX55" s="380"/>
      <c r="AY55" s="380">
        <v>0</v>
      </c>
      <c r="AZ55" s="380"/>
      <c r="BA55" s="380">
        <f>+AB55</f>
        <v>0</v>
      </c>
      <c r="BB55" s="380">
        <f>+AK55</f>
        <v>0</v>
      </c>
      <c r="BC55" s="380">
        <f>+AL55</f>
        <v>0</v>
      </c>
      <c r="BD55" s="380">
        <f>+G55</f>
        <v>0</v>
      </c>
      <c r="BE55" s="380">
        <f>+AL55</f>
        <v>0</v>
      </c>
      <c r="BF55" s="452">
        <v>0</v>
      </c>
      <c r="BG55" s="380"/>
      <c r="BH55" s="380"/>
      <c r="BI55" s="380"/>
      <c r="BJ55" s="380"/>
      <c r="BK55" s="380"/>
      <c r="BL55" s="380"/>
      <c r="BM55" s="380"/>
      <c r="BN55" s="380"/>
      <c r="BO55" s="380"/>
      <c r="BP55" s="380"/>
      <c r="BQ55" s="380"/>
      <c r="BR55" s="380"/>
      <c r="BS55" s="380"/>
      <c r="BT55" s="380"/>
      <c r="BU55" s="380"/>
      <c r="BV55" s="380"/>
      <c r="BW55" s="380"/>
      <c r="BX55" s="380"/>
      <c r="BY55" s="380"/>
      <c r="BZ55" s="380"/>
      <c r="CA55" s="380"/>
      <c r="CB55" s="380"/>
      <c r="CC55" s="380"/>
      <c r="CD55" s="380"/>
      <c r="CE55" s="380">
        <f t="shared" ref="CE55:CE56" si="220">CA55+BY55+BW55+BU55+BS55+BQ55+BO55+BM55+BK55+BI55+AZ55+CC55</f>
        <v>0</v>
      </c>
      <c r="CF55" s="380">
        <f t="shared" ref="CF55:CF56" si="221">AZ55+BI55+BK55+BM55</f>
        <v>0</v>
      </c>
      <c r="CG55" s="380">
        <f t="shared" ref="CG55:CG56" si="222">BH55+BJ55+BL55+BN55</f>
        <v>0</v>
      </c>
      <c r="CH55" s="380">
        <f t="shared" ref="CH55" si="223">AZ55+BI55+BK55+BM55+BO55+BQ55+BS55+BU55+BW55+BY55+CA55+CC55</f>
        <v>0</v>
      </c>
      <c r="CI55" s="380">
        <f t="shared" ref="CI55:CI56" si="224">BH55+BJ55+BL55+BN55</f>
        <v>0</v>
      </c>
      <c r="CJ55" s="380">
        <v>0</v>
      </c>
      <c r="CK55" s="380">
        <v>0</v>
      </c>
      <c r="CL55" s="380">
        <v>0</v>
      </c>
      <c r="CM55" s="380">
        <v>0</v>
      </c>
      <c r="CN55" s="380">
        <v>0</v>
      </c>
      <c r="CO55" s="380">
        <v>0</v>
      </c>
      <c r="CP55" s="380">
        <v>0</v>
      </c>
      <c r="CQ55" s="380">
        <v>0</v>
      </c>
      <c r="CR55" s="380">
        <v>0</v>
      </c>
      <c r="CS55" s="380">
        <v>0</v>
      </c>
      <c r="CT55" s="380">
        <v>0</v>
      </c>
      <c r="CU55" s="380">
        <v>0</v>
      </c>
      <c r="CV55" s="380">
        <v>0</v>
      </c>
      <c r="CW55" s="380">
        <v>0</v>
      </c>
      <c r="CX55" s="380">
        <v>0</v>
      </c>
      <c r="CY55" s="380">
        <v>0</v>
      </c>
      <c r="CZ55" s="380">
        <v>0</v>
      </c>
      <c r="DA55" s="380">
        <v>0</v>
      </c>
      <c r="DB55" s="380">
        <v>0</v>
      </c>
      <c r="DC55" s="380">
        <v>0</v>
      </c>
      <c r="DD55" s="380">
        <v>0</v>
      </c>
      <c r="DE55" s="380">
        <v>0</v>
      </c>
      <c r="DF55" s="380">
        <v>0</v>
      </c>
      <c r="DG55" s="380">
        <v>0</v>
      </c>
      <c r="DH55" s="380">
        <v>0</v>
      </c>
      <c r="DI55" s="380">
        <v>0</v>
      </c>
      <c r="DJ55" s="380">
        <v>0</v>
      </c>
      <c r="DK55" s="380">
        <v>0</v>
      </c>
      <c r="DL55" s="380">
        <v>0</v>
      </c>
      <c r="DM55" s="380">
        <v>0</v>
      </c>
      <c r="DN55" s="380">
        <v>0</v>
      </c>
      <c r="DO55" s="532"/>
      <c r="DP55" s="532"/>
      <c r="DQ55" s="532"/>
      <c r="DR55" s="532"/>
      <c r="DS55" s="532"/>
      <c r="DT55" s="532"/>
      <c r="DU55" s="532"/>
      <c r="DV55" s="532"/>
      <c r="DW55" s="532"/>
      <c r="DX55" s="532"/>
      <c r="DY55" s="532"/>
      <c r="DZ55" s="532"/>
      <c r="EA55" s="532"/>
      <c r="EB55" s="532"/>
      <c r="EC55" s="532"/>
      <c r="ED55" s="532"/>
      <c r="EE55" s="532"/>
      <c r="EF55" s="532"/>
      <c r="EG55" s="532"/>
      <c r="EH55" s="532"/>
      <c r="EI55" s="532"/>
      <c r="EJ55" s="532"/>
      <c r="EK55" s="532"/>
      <c r="EL55" s="532"/>
      <c r="EM55" s="534">
        <f>EI55+EG55+EE55+EC55+EA55+DY55+DW55+DU55+DS55+DQ55+DO55+EK55</f>
        <v>0</v>
      </c>
      <c r="EN55" s="535">
        <f t="shared" si="218"/>
        <v>0</v>
      </c>
      <c r="EO55" s="535">
        <f t="shared" si="219"/>
        <v>0</v>
      </c>
      <c r="EP55" s="534">
        <f>DQ55+DS55+DU55+DW55+DY55+EA55+EC55+EE55+EG55+EI55+EK55</f>
        <v>0</v>
      </c>
      <c r="EQ55" s="535">
        <v>0</v>
      </c>
      <c r="ER55" s="461">
        <v>0</v>
      </c>
      <c r="ES55" s="461" t="e">
        <f t="shared" si="136"/>
        <v>#DIV/0!</v>
      </c>
      <c r="ET55" s="460" t="e">
        <f t="shared" si="16"/>
        <v>#DIV/0!</v>
      </c>
      <c r="EU55" s="460" t="e">
        <f t="shared" si="173"/>
        <v>#DIV/0!</v>
      </c>
      <c r="EV55" s="462" t="e">
        <f t="shared" si="66"/>
        <v>#DIV/0!</v>
      </c>
      <c r="EW55" s="689"/>
      <c r="EX55" s="682"/>
      <c r="EY55" s="682"/>
      <c r="EZ55" s="682"/>
      <c r="FA55" s="682"/>
      <c r="FB55" s="686"/>
    </row>
    <row r="56" spans="1:158" s="152" customFormat="1" ht="29.25" customHeight="1" thickBot="1" x14ac:dyDescent="0.3">
      <c r="A56" s="728"/>
      <c r="B56" s="730"/>
      <c r="C56" s="730"/>
      <c r="D56" s="730"/>
      <c r="E56" s="730"/>
      <c r="F56" s="394" t="s">
        <v>4</v>
      </c>
      <c r="G56" s="415">
        <f>+AA56+BD56+BF56+CJ56+DN56</f>
        <v>131174135</v>
      </c>
      <c r="H56" s="414">
        <v>187668702</v>
      </c>
      <c r="I56" s="415">
        <v>0</v>
      </c>
      <c r="J56" s="415">
        <v>0</v>
      </c>
      <c r="K56" s="415">
        <v>0</v>
      </c>
      <c r="L56" s="415">
        <v>0</v>
      </c>
      <c r="M56" s="415">
        <v>0</v>
      </c>
      <c r="N56" s="415">
        <v>0</v>
      </c>
      <c r="O56" s="415">
        <v>0</v>
      </c>
      <c r="P56" s="415">
        <v>0</v>
      </c>
      <c r="Q56" s="415">
        <v>0</v>
      </c>
      <c r="R56" s="415">
        <v>0</v>
      </c>
      <c r="S56" s="415">
        <v>0</v>
      </c>
      <c r="T56" s="414">
        <v>0</v>
      </c>
      <c r="U56" s="448">
        <v>0</v>
      </c>
      <c r="V56" s="448">
        <v>0</v>
      </c>
      <c r="W56" s="414">
        <v>187668702</v>
      </c>
      <c r="X56" s="414">
        <v>187668702</v>
      </c>
      <c r="Y56" s="414">
        <v>0</v>
      </c>
      <c r="Z56" s="414">
        <v>187668702</v>
      </c>
      <c r="AA56" s="415">
        <v>0</v>
      </c>
      <c r="AB56" s="414">
        <v>131174135</v>
      </c>
      <c r="AC56" s="415">
        <v>56494567</v>
      </c>
      <c r="AD56" s="415">
        <v>56494567</v>
      </c>
      <c r="AE56" s="415">
        <v>56557034</v>
      </c>
      <c r="AF56" s="415">
        <f>113051601-AD56</f>
        <v>56557034</v>
      </c>
      <c r="AG56" s="415">
        <v>7384000</v>
      </c>
      <c r="AH56" s="415">
        <f>120435601-AF56-AD56</f>
        <v>7384000</v>
      </c>
      <c r="AI56" s="415">
        <v>3121667</v>
      </c>
      <c r="AJ56" s="415">
        <f>123557268-AH56-AF56-AD56</f>
        <v>3121667</v>
      </c>
      <c r="AK56" s="415">
        <v>3746000</v>
      </c>
      <c r="AL56" s="415">
        <f>127303268-AJ56-AH56-AF56-AD56</f>
        <v>3746000</v>
      </c>
      <c r="AM56" s="415">
        <v>3870867</v>
      </c>
      <c r="AN56" s="415">
        <v>3870867</v>
      </c>
      <c r="AO56" s="415">
        <v>0</v>
      </c>
      <c r="AP56" s="415"/>
      <c r="AQ56" s="415">
        <v>0</v>
      </c>
      <c r="AR56" s="415"/>
      <c r="AS56" s="415">
        <v>0</v>
      </c>
      <c r="AT56" s="415"/>
      <c r="AU56" s="415">
        <v>0</v>
      </c>
      <c r="AV56" s="415"/>
      <c r="AW56" s="415">
        <v>0</v>
      </c>
      <c r="AX56" s="415"/>
      <c r="AY56" s="415">
        <v>0</v>
      </c>
      <c r="AZ56" s="415"/>
      <c r="BA56" s="415">
        <f>AY56+AW56+AU56+AS56+AQ56+AO56+AM56+AK56+AI56+AG56+AE56+AC56</f>
        <v>131174135</v>
      </c>
      <c r="BB56" s="415">
        <f>AC56+AE56+AG56+AI56+AK56+AM56</f>
        <v>131174135</v>
      </c>
      <c r="BC56" s="415">
        <f>AD56+AF56+AH56+AJ56+AL56+AN56</f>
        <v>131174135</v>
      </c>
      <c r="BD56" s="414">
        <f>AE56+AG56+AI56+AK56+AM56+AO56+AQ56+AS56+AU56+AW56+AY56+AC56</f>
        <v>131174135</v>
      </c>
      <c r="BE56" s="442">
        <f>AD56+AF56+AH56+AJ56+AL56+AN56</f>
        <v>131174135</v>
      </c>
      <c r="BF56" s="415">
        <v>0</v>
      </c>
      <c r="BG56" s="415"/>
      <c r="BH56" s="415"/>
      <c r="BI56" s="415"/>
      <c r="BJ56" s="415"/>
      <c r="BK56" s="415"/>
      <c r="BL56" s="415"/>
      <c r="BM56" s="415"/>
      <c r="BN56" s="415"/>
      <c r="BO56" s="415"/>
      <c r="BP56" s="415"/>
      <c r="BQ56" s="415"/>
      <c r="BR56" s="415"/>
      <c r="BS56" s="415"/>
      <c r="BT56" s="415"/>
      <c r="BU56" s="415"/>
      <c r="BV56" s="415"/>
      <c r="BW56" s="415"/>
      <c r="BX56" s="415"/>
      <c r="BY56" s="415"/>
      <c r="BZ56" s="415"/>
      <c r="CA56" s="415"/>
      <c r="CB56" s="415"/>
      <c r="CC56" s="415"/>
      <c r="CD56" s="415"/>
      <c r="CE56" s="414">
        <f t="shared" si="220"/>
        <v>0</v>
      </c>
      <c r="CF56" s="442">
        <f t="shared" si="221"/>
        <v>0</v>
      </c>
      <c r="CG56" s="442">
        <f t="shared" si="222"/>
        <v>0</v>
      </c>
      <c r="CH56" s="414">
        <f t="shared" ref="CH56" si="225">BI56+BK56+BM56+BO56+BQ56+BS56+BU56+BW56+BY56+CA56+CC56+AZ56</f>
        <v>0</v>
      </c>
      <c r="CI56" s="442">
        <f t="shared" si="224"/>
        <v>0</v>
      </c>
      <c r="CJ56" s="415">
        <v>0</v>
      </c>
      <c r="CK56" s="415">
        <v>0</v>
      </c>
      <c r="CL56" s="415">
        <v>0</v>
      </c>
      <c r="CM56" s="415">
        <v>0</v>
      </c>
      <c r="CN56" s="415">
        <v>0</v>
      </c>
      <c r="CO56" s="415">
        <v>0</v>
      </c>
      <c r="CP56" s="415">
        <v>0</v>
      </c>
      <c r="CQ56" s="415">
        <v>0</v>
      </c>
      <c r="CR56" s="415">
        <v>0</v>
      </c>
      <c r="CS56" s="415">
        <v>0</v>
      </c>
      <c r="CT56" s="415">
        <v>0</v>
      </c>
      <c r="CU56" s="415">
        <v>0</v>
      </c>
      <c r="CV56" s="415">
        <v>0</v>
      </c>
      <c r="CW56" s="415">
        <v>0</v>
      </c>
      <c r="CX56" s="415">
        <v>0</v>
      </c>
      <c r="CY56" s="415">
        <v>0</v>
      </c>
      <c r="CZ56" s="415">
        <v>0</v>
      </c>
      <c r="DA56" s="415">
        <v>0</v>
      </c>
      <c r="DB56" s="415">
        <v>0</v>
      </c>
      <c r="DC56" s="415">
        <v>0</v>
      </c>
      <c r="DD56" s="415">
        <v>0</v>
      </c>
      <c r="DE56" s="415">
        <v>0</v>
      </c>
      <c r="DF56" s="415">
        <v>0</v>
      </c>
      <c r="DG56" s="415">
        <v>0</v>
      </c>
      <c r="DH56" s="415">
        <v>0</v>
      </c>
      <c r="DI56" s="414">
        <v>0</v>
      </c>
      <c r="DJ56" s="442">
        <v>0</v>
      </c>
      <c r="DK56" s="442">
        <v>0</v>
      </c>
      <c r="DL56" s="414">
        <v>0</v>
      </c>
      <c r="DM56" s="442">
        <v>0</v>
      </c>
      <c r="DN56" s="415">
        <v>0</v>
      </c>
      <c r="DO56" s="302"/>
      <c r="DP56" s="302"/>
      <c r="DQ56" s="302"/>
      <c r="DR56" s="302"/>
      <c r="DS56" s="302"/>
      <c r="DT56" s="302"/>
      <c r="DU56" s="302"/>
      <c r="DV56" s="302"/>
      <c r="DW56" s="302"/>
      <c r="DX56" s="302"/>
      <c r="DY56" s="302"/>
      <c r="DZ56" s="302"/>
      <c r="EA56" s="302"/>
      <c r="EB56" s="302"/>
      <c r="EC56" s="302"/>
      <c r="ED56" s="302"/>
      <c r="EE56" s="302"/>
      <c r="EF56" s="302"/>
      <c r="EG56" s="302"/>
      <c r="EH56" s="302"/>
      <c r="EI56" s="302"/>
      <c r="EJ56" s="302"/>
      <c r="EK56" s="302"/>
      <c r="EL56" s="302"/>
      <c r="EM56" s="350">
        <f>EI56+EG56+EE56+EC56+EA56+DY56+DW56+DU56+DS56+DQ56+DO56+EK56</f>
        <v>0</v>
      </c>
      <c r="EN56" s="332">
        <f t="shared" si="218"/>
        <v>0</v>
      </c>
      <c r="EO56" s="332">
        <f t="shared" si="219"/>
        <v>0</v>
      </c>
      <c r="EP56" s="328">
        <f>DQ56+DS56+DU56+DW56+DY56+EA56+EC56+EE56+EG56+EI56+EK56+DO56</f>
        <v>0</v>
      </c>
      <c r="EQ56" s="332">
        <f>DP56+DR56+DT56+DV56</f>
        <v>0</v>
      </c>
      <c r="ER56" s="461">
        <f t="shared" si="207"/>
        <v>1</v>
      </c>
      <c r="ES56" s="461">
        <f t="shared" si="136"/>
        <v>1</v>
      </c>
      <c r="ET56" s="460">
        <f t="shared" si="16"/>
        <v>1</v>
      </c>
      <c r="EU56" s="460">
        <f t="shared" si="173"/>
        <v>0.41140687441568585</v>
      </c>
      <c r="EV56" s="462">
        <f t="shared" si="66"/>
        <v>1</v>
      </c>
      <c r="EW56" s="689"/>
      <c r="EX56" s="682"/>
      <c r="EY56" s="682"/>
      <c r="EZ56" s="682"/>
      <c r="FA56" s="682"/>
      <c r="FB56" s="686"/>
    </row>
    <row r="57" spans="1:158" s="4" customFormat="1" ht="29.25" customHeight="1" thickBot="1" x14ac:dyDescent="0.3">
      <c r="A57" s="728"/>
      <c r="B57" s="730"/>
      <c r="C57" s="730"/>
      <c r="D57" s="730"/>
      <c r="E57" s="730"/>
      <c r="F57" s="396" t="s">
        <v>43</v>
      </c>
      <c r="G57" s="380">
        <f>+G52+G55</f>
        <v>1</v>
      </c>
      <c r="H57" s="380">
        <f>+H52+H55</f>
        <v>1</v>
      </c>
      <c r="I57" s="380"/>
      <c r="J57" s="380"/>
      <c r="K57" s="380"/>
      <c r="L57" s="380"/>
      <c r="M57" s="380"/>
      <c r="N57" s="380"/>
      <c r="O57" s="380"/>
      <c r="P57" s="380"/>
      <c r="Q57" s="380"/>
      <c r="R57" s="380"/>
      <c r="S57" s="380"/>
      <c r="T57" s="380"/>
      <c r="U57" s="380"/>
      <c r="V57" s="380"/>
      <c r="W57" s="380">
        <f t="shared" ref="W57:AM57" si="226">+W52+W55</f>
        <v>1</v>
      </c>
      <c r="X57" s="380">
        <f t="shared" si="226"/>
        <v>1</v>
      </c>
      <c r="Y57" s="380">
        <f t="shared" si="226"/>
        <v>1</v>
      </c>
      <c r="Z57" s="380">
        <f t="shared" si="226"/>
        <v>1</v>
      </c>
      <c r="AA57" s="380">
        <f t="shared" si="226"/>
        <v>1</v>
      </c>
      <c r="AB57" s="380">
        <f>+AB52+AB55</f>
        <v>1</v>
      </c>
      <c r="AC57" s="380">
        <f t="shared" si="226"/>
        <v>1</v>
      </c>
      <c r="AD57" s="380">
        <f t="shared" si="226"/>
        <v>1</v>
      </c>
      <c r="AE57" s="380">
        <f t="shared" si="226"/>
        <v>1</v>
      </c>
      <c r="AF57" s="380">
        <f t="shared" si="226"/>
        <v>1</v>
      </c>
      <c r="AG57" s="380">
        <f t="shared" si="226"/>
        <v>1</v>
      </c>
      <c r="AH57" s="380">
        <f t="shared" si="226"/>
        <v>1</v>
      </c>
      <c r="AI57" s="380">
        <f t="shared" si="226"/>
        <v>1</v>
      </c>
      <c r="AJ57" s="380">
        <f t="shared" si="226"/>
        <v>0.64</v>
      </c>
      <c r="AK57" s="380">
        <f t="shared" si="226"/>
        <v>1</v>
      </c>
      <c r="AL57" s="380">
        <f t="shared" si="226"/>
        <v>0.877</v>
      </c>
      <c r="AM57" s="380">
        <f t="shared" si="226"/>
        <v>1</v>
      </c>
      <c r="AN57" s="380">
        <f t="shared" ref="AN57" si="227">+AN52+AN55</f>
        <v>0.91600000000000004</v>
      </c>
      <c r="AO57" s="380">
        <f t="shared" ref="AO57:AO58" si="228">+AO52+AO55</f>
        <v>1</v>
      </c>
      <c r="AP57" s="380"/>
      <c r="AQ57" s="380">
        <f t="shared" ref="AQ57:AQ58" si="229">+AQ52+AQ55</f>
        <v>1</v>
      </c>
      <c r="AR57" s="380"/>
      <c r="AS57" s="380">
        <f t="shared" ref="AS57:AS58" si="230">+AS52+AS55</f>
        <v>1</v>
      </c>
      <c r="AT57" s="380"/>
      <c r="AU57" s="380">
        <f t="shared" ref="AU57:AU58" si="231">+AU52+AU55</f>
        <v>1</v>
      </c>
      <c r="AV57" s="380"/>
      <c r="AW57" s="380">
        <f t="shared" ref="AW57:AW58" si="232">+AW52+AW55</f>
        <v>1</v>
      </c>
      <c r="AX57" s="380"/>
      <c r="AY57" s="380">
        <f>+AY52+AY55</f>
        <v>1</v>
      </c>
      <c r="AZ57" s="380"/>
      <c r="BA57" s="380">
        <f t="shared" ref="BA57:DL57" si="233">+BA52+BA55</f>
        <v>1</v>
      </c>
      <c r="BB57" s="380">
        <f t="shared" si="233"/>
        <v>1</v>
      </c>
      <c r="BC57" s="380">
        <f t="shared" si="233"/>
        <v>0.91600000000000004</v>
      </c>
      <c r="BD57" s="380">
        <f t="shared" si="233"/>
        <v>1</v>
      </c>
      <c r="BE57" s="380">
        <f t="shared" si="233"/>
        <v>0.91600000000000004</v>
      </c>
      <c r="BF57" s="380">
        <f t="shared" si="233"/>
        <v>1</v>
      </c>
      <c r="BG57" s="380">
        <f t="shared" si="233"/>
        <v>0</v>
      </c>
      <c r="BH57" s="380">
        <f t="shared" si="233"/>
        <v>0</v>
      </c>
      <c r="BI57" s="380">
        <f t="shared" si="233"/>
        <v>0</v>
      </c>
      <c r="BJ57" s="380">
        <f t="shared" si="233"/>
        <v>0</v>
      </c>
      <c r="BK57" s="380">
        <f t="shared" si="233"/>
        <v>0</v>
      </c>
      <c r="BL57" s="380">
        <f t="shared" si="233"/>
        <v>0</v>
      </c>
      <c r="BM57" s="380">
        <f t="shared" si="233"/>
        <v>0</v>
      </c>
      <c r="BN57" s="380">
        <f t="shared" si="233"/>
        <v>0</v>
      </c>
      <c r="BO57" s="380">
        <f t="shared" si="233"/>
        <v>0</v>
      </c>
      <c r="BP57" s="380">
        <f t="shared" si="233"/>
        <v>0</v>
      </c>
      <c r="BQ57" s="380">
        <f t="shared" si="233"/>
        <v>0</v>
      </c>
      <c r="BR57" s="380">
        <f t="shared" si="233"/>
        <v>0</v>
      </c>
      <c r="BS57" s="380">
        <f t="shared" si="233"/>
        <v>0</v>
      </c>
      <c r="BT57" s="380">
        <f t="shared" si="233"/>
        <v>0</v>
      </c>
      <c r="BU57" s="380">
        <f t="shared" si="233"/>
        <v>0</v>
      </c>
      <c r="BV57" s="380">
        <f t="shared" si="233"/>
        <v>0</v>
      </c>
      <c r="BW57" s="380">
        <f t="shared" si="233"/>
        <v>0</v>
      </c>
      <c r="BX57" s="380">
        <f t="shared" si="233"/>
        <v>0</v>
      </c>
      <c r="BY57" s="380">
        <f t="shared" si="233"/>
        <v>0</v>
      </c>
      <c r="BZ57" s="380">
        <f t="shared" si="233"/>
        <v>0</v>
      </c>
      <c r="CA57" s="380">
        <f t="shared" si="233"/>
        <v>0</v>
      </c>
      <c r="CB57" s="380">
        <f t="shared" si="233"/>
        <v>0</v>
      </c>
      <c r="CC57" s="380">
        <f t="shared" si="233"/>
        <v>0</v>
      </c>
      <c r="CD57" s="380">
        <f t="shared" si="233"/>
        <v>0</v>
      </c>
      <c r="CE57" s="380">
        <f t="shared" si="233"/>
        <v>0</v>
      </c>
      <c r="CF57" s="380">
        <f t="shared" si="233"/>
        <v>0</v>
      </c>
      <c r="CG57" s="380">
        <f t="shared" si="233"/>
        <v>0</v>
      </c>
      <c r="CH57" s="380">
        <f t="shared" si="233"/>
        <v>0</v>
      </c>
      <c r="CI57" s="380">
        <f t="shared" si="233"/>
        <v>0</v>
      </c>
      <c r="CJ57" s="380">
        <f t="shared" si="233"/>
        <v>1</v>
      </c>
      <c r="CK57" s="380">
        <f t="shared" si="233"/>
        <v>0</v>
      </c>
      <c r="CL57" s="380">
        <f t="shared" si="233"/>
        <v>0</v>
      </c>
      <c r="CM57" s="380">
        <f t="shared" si="233"/>
        <v>0</v>
      </c>
      <c r="CN57" s="380">
        <f t="shared" si="233"/>
        <v>0</v>
      </c>
      <c r="CO57" s="380">
        <f t="shared" si="233"/>
        <v>0</v>
      </c>
      <c r="CP57" s="380">
        <f t="shared" si="233"/>
        <v>0</v>
      </c>
      <c r="CQ57" s="380">
        <f t="shared" si="233"/>
        <v>0</v>
      </c>
      <c r="CR57" s="380">
        <f t="shared" si="233"/>
        <v>0</v>
      </c>
      <c r="CS57" s="380">
        <f t="shared" si="233"/>
        <v>0</v>
      </c>
      <c r="CT57" s="380">
        <f t="shared" si="233"/>
        <v>0</v>
      </c>
      <c r="CU57" s="380">
        <f t="shared" si="233"/>
        <v>0</v>
      </c>
      <c r="CV57" s="380">
        <f t="shared" si="233"/>
        <v>0</v>
      </c>
      <c r="CW57" s="380">
        <f t="shared" si="233"/>
        <v>0</v>
      </c>
      <c r="CX57" s="380">
        <f t="shared" si="233"/>
        <v>0</v>
      </c>
      <c r="CY57" s="380">
        <f t="shared" si="233"/>
        <v>0</v>
      </c>
      <c r="CZ57" s="380">
        <f t="shared" si="233"/>
        <v>0</v>
      </c>
      <c r="DA57" s="380">
        <f t="shared" si="233"/>
        <v>0</v>
      </c>
      <c r="DB57" s="380">
        <f t="shared" si="233"/>
        <v>0</v>
      </c>
      <c r="DC57" s="380">
        <f t="shared" si="233"/>
        <v>0</v>
      </c>
      <c r="DD57" s="380">
        <f t="shared" si="233"/>
        <v>0</v>
      </c>
      <c r="DE57" s="380">
        <f t="shared" si="233"/>
        <v>0</v>
      </c>
      <c r="DF57" s="380">
        <f t="shared" si="233"/>
        <v>0</v>
      </c>
      <c r="DG57" s="380">
        <f t="shared" si="233"/>
        <v>0</v>
      </c>
      <c r="DH57" s="380">
        <f t="shared" si="233"/>
        <v>0</v>
      </c>
      <c r="DI57" s="380">
        <f t="shared" si="233"/>
        <v>0</v>
      </c>
      <c r="DJ57" s="380">
        <f t="shared" si="233"/>
        <v>0</v>
      </c>
      <c r="DK57" s="380">
        <f t="shared" si="233"/>
        <v>0</v>
      </c>
      <c r="DL57" s="380">
        <f t="shared" si="233"/>
        <v>0</v>
      </c>
      <c r="DM57" s="380">
        <f t="shared" ref="DM57:DN57" si="234">+DM52+DM55</f>
        <v>0</v>
      </c>
      <c r="DN57" s="380">
        <f t="shared" si="234"/>
        <v>1</v>
      </c>
      <c r="DO57" s="533"/>
      <c r="DP57" s="533"/>
      <c r="DQ57" s="533"/>
      <c r="DR57" s="533"/>
      <c r="DS57" s="533"/>
      <c r="DT57" s="533"/>
      <c r="DU57" s="533"/>
      <c r="DV57" s="533"/>
      <c r="DW57" s="533"/>
      <c r="DX57" s="533"/>
      <c r="DY57" s="533"/>
      <c r="DZ57" s="533"/>
      <c r="EA57" s="533"/>
      <c r="EB57" s="533"/>
      <c r="EC57" s="533"/>
      <c r="ED57" s="533"/>
      <c r="EE57" s="533"/>
      <c r="EF57" s="533"/>
      <c r="EG57" s="533"/>
      <c r="EH57" s="533"/>
      <c r="EI57" s="533"/>
      <c r="EJ57" s="533"/>
      <c r="EK57" s="533"/>
      <c r="EL57" s="533"/>
      <c r="EM57" s="534">
        <f>EI57+EG57+EE57+EC57+EA57+DY57+DW57+DU57+DS57+DQ57+DO57+EK57</f>
        <v>0</v>
      </c>
      <c r="EN57" s="535"/>
      <c r="EO57" s="535">
        <f t="shared" si="219"/>
        <v>0</v>
      </c>
      <c r="EP57" s="534">
        <f>DQ57+DS57+DU57+DW57+DY57+EA57+EC57+EE57+EG57+EI57+EK57+DO57</f>
        <v>0</v>
      </c>
      <c r="EQ57" s="535">
        <f>DR57+DT57+DV57+DP57</f>
        <v>0</v>
      </c>
      <c r="ER57" s="461">
        <f t="shared" si="207"/>
        <v>0.91600000000000004</v>
      </c>
      <c r="ES57" s="461">
        <f t="shared" si="136"/>
        <v>0.91600000000000004</v>
      </c>
      <c r="ET57" s="460">
        <f t="shared" si="16"/>
        <v>0.91600000000000004</v>
      </c>
      <c r="EU57" s="460">
        <f t="shared" si="173"/>
        <v>0.95799999999999996</v>
      </c>
      <c r="EV57" s="462">
        <v>0.4</v>
      </c>
      <c r="EW57" s="689"/>
      <c r="EX57" s="682"/>
      <c r="EY57" s="682"/>
      <c r="EZ57" s="682"/>
      <c r="FA57" s="682"/>
      <c r="FB57" s="686"/>
    </row>
    <row r="58" spans="1:158" s="153" customFormat="1" ht="29.25" customHeight="1" thickBot="1" x14ac:dyDescent="0.3">
      <c r="A58" s="729"/>
      <c r="B58" s="731"/>
      <c r="C58" s="731"/>
      <c r="D58" s="731"/>
      <c r="E58" s="731"/>
      <c r="F58" s="408" t="s">
        <v>45</v>
      </c>
      <c r="G58" s="457">
        <f>+G53+G56</f>
        <v>3357368135</v>
      </c>
      <c r="H58" s="457">
        <f>+H53+H56</f>
        <v>637668702</v>
      </c>
      <c r="I58" s="457"/>
      <c r="J58" s="457"/>
      <c r="K58" s="457"/>
      <c r="L58" s="457"/>
      <c r="M58" s="457"/>
      <c r="N58" s="457"/>
      <c r="O58" s="457"/>
      <c r="P58" s="457"/>
      <c r="Q58" s="457"/>
      <c r="R58" s="457"/>
      <c r="S58" s="457"/>
      <c r="T58" s="458"/>
      <c r="U58" s="457"/>
      <c r="V58" s="457"/>
      <c r="W58" s="457">
        <f t="shared" ref="W58:AM58" si="235">+W53+W56</f>
        <v>637668702</v>
      </c>
      <c r="X58" s="457">
        <f t="shared" si="235"/>
        <v>637668702</v>
      </c>
      <c r="Y58" s="457">
        <f t="shared" si="235"/>
        <v>447516000</v>
      </c>
      <c r="Z58" s="457">
        <f t="shared" si="235"/>
        <v>637668702</v>
      </c>
      <c r="AA58" s="457">
        <f t="shared" si="235"/>
        <v>447516000</v>
      </c>
      <c r="AB58" s="457">
        <f>+AB53+AB56</f>
        <v>822844135</v>
      </c>
      <c r="AC58" s="457">
        <f t="shared" si="235"/>
        <v>56494567</v>
      </c>
      <c r="AD58" s="457">
        <f t="shared" si="235"/>
        <v>56494567</v>
      </c>
      <c r="AE58" s="457">
        <f t="shared" si="235"/>
        <v>382600034</v>
      </c>
      <c r="AF58" s="457">
        <f t="shared" si="235"/>
        <v>382600034</v>
      </c>
      <c r="AG58" s="457">
        <f t="shared" si="235"/>
        <v>96979000</v>
      </c>
      <c r="AH58" s="457">
        <f t="shared" si="235"/>
        <v>96979000</v>
      </c>
      <c r="AI58" s="457">
        <f t="shared" si="235"/>
        <v>103601667</v>
      </c>
      <c r="AJ58" s="457">
        <f t="shared" si="235"/>
        <v>103601667</v>
      </c>
      <c r="AK58" s="457">
        <f t="shared" si="235"/>
        <v>3746000</v>
      </c>
      <c r="AL58" s="457">
        <f t="shared" si="235"/>
        <v>3746000</v>
      </c>
      <c r="AM58" s="457">
        <f t="shared" si="235"/>
        <v>3870867</v>
      </c>
      <c r="AN58" s="457">
        <f t="shared" ref="AN58" si="236">+AN53+AN56</f>
        <v>3870867</v>
      </c>
      <c r="AO58" s="457">
        <f t="shared" si="228"/>
        <v>0</v>
      </c>
      <c r="AP58" s="457"/>
      <c r="AQ58" s="457">
        <f t="shared" si="229"/>
        <v>4186666.6666666665</v>
      </c>
      <c r="AR58" s="457"/>
      <c r="AS58" s="457">
        <f t="shared" si="230"/>
        <v>4186666.6666666665</v>
      </c>
      <c r="AT58" s="457"/>
      <c r="AU58" s="457">
        <f t="shared" si="231"/>
        <v>4186666.6666666665</v>
      </c>
      <c r="AV58" s="457"/>
      <c r="AW58" s="457">
        <f t="shared" si="232"/>
        <v>0</v>
      </c>
      <c r="AX58" s="457"/>
      <c r="AY58" s="457">
        <f>+AY53+AY56</f>
        <v>0</v>
      </c>
      <c r="AZ58" s="457"/>
      <c r="BA58" s="457">
        <f t="shared" ref="BA58:DL58" si="237">+BA53+BA56</f>
        <v>659852135</v>
      </c>
      <c r="BB58" s="457">
        <f t="shared" si="237"/>
        <v>647292135</v>
      </c>
      <c r="BC58" s="457">
        <f t="shared" si="237"/>
        <v>647292135</v>
      </c>
      <c r="BD58" s="457">
        <f t="shared" si="237"/>
        <v>659852135</v>
      </c>
      <c r="BE58" s="457">
        <f t="shared" si="237"/>
        <v>647292135</v>
      </c>
      <c r="BF58" s="457">
        <f t="shared" si="237"/>
        <v>900000000</v>
      </c>
      <c r="BG58" s="457">
        <f t="shared" si="237"/>
        <v>0</v>
      </c>
      <c r="BH58" s="457">
        <f t="shared" si="237"/>
        <v>0</v>
      </c>
      <c r="BI58" s="457">
        <f t="shared" si="237"/>
        <v>0</v>
      </c>
      <c r="BJ58" s="457">
        <f t="shared" si="237"/>
        <v>0</v>
      </c>
      <c r="BK58" s="457">
        <f t="shared" si="237"/>
        <v>0</v>
      </c>
      <c r="BL58" s="457">
        <f t="shared" si="237"/>
        <v>0</v>
      </c>
      <c r="BM58" s="457">
        <f t="shared" si="237"/>
        <v>0</v>
      </c>
      <c r="BN58" s="457">
        <f t="shared" si="237"/>
        <v>0</v>
      </c>
      <c r="BO58" s="457">
        <f t="shared" si="237"/>
        <v>0</v>
      </c>
      <c r="BP58" s="457">
        <f t="shared" si="237"/>
        <v>0</v>
      </c>
      <c r="BQ58" s="457">
        <f t="shared" si="237"/>
        <v>0</v>
      </c>
      <c r="BR58" s="457">
        <f t="shared" si="237"/>
        <v>0</v>
      </c>
      <c r="BS58" s="457">
        <f t="shared" si="237"/>
        <v>0</v>
      </c>
      <c r="BT58" s="457">
        <f t="shared" si="237"/>
        <v>0</v>
      </c>
      <c r="BU58" s="457">
        <f t="shared" si="237"/>
        <v>0</v>
      </c>
      <c r="BV58" s="457">
        <f t="shared" si="237"/>
        <v>0</v>
      </c>
      <c r="BW58" s="457">
        <f t="shared" si="237"/>
        <v>0</v>
      </c>
      <c r="BX58" s="457">
        <f t="shared" si="237"/>
        <v>0</v>
      </c>
      <c r="BY58" s="457">
        <f t="shared" si="237"/>
        <v>0</v>
      </c>
      <c r="BZ58" s="457">
        <f t="shared" si="237"/>
        <v>0</v>
      </c>
      <c r="CA58" s="457">
        <f t="shared" si="237"/>
        <v>0</v>
      </c>
      <c r="CB58" s="457">
        <f t="shared" si="237"/>
        <v>0</v>
      </c>
      <c r="CC58" s="457">
        <f t="shared" si="237"/>
        <v>0</v>
      </c>
      <c r="CD58" s="457">
        <f t="shared" si="237"/>
        <v>0</v>
      </c>
      <c r="CE58" s="457">
        <f t="shared" si="237"/>
        <v>0</v>
      </c>
      <c r="CF58" s="457">
        <f t="shared" si="237"/>
        <v>0</v>
      </c>
      <c r="CG58" s="457">
        <f t="shared" si="237"/>
        <v>0</v>
      </c>
      <c r="CH58" s="457">
        <f t="shared" si="237"/>
        <v>0</v>
      </c>
      <c r="CI58" s="457">
        <f t="shared" si="237"/>
        <v>0</v>
      </c>
      <c r="CJ58" s="457">
        <f t="shared" si="237"/>
        <v>900000000</v>
      </c>
      <c r="CK58" s="457">
        <f t="shared" si="237"/>
        <v>0</v>
      </c>
      <c r="CL58" s="457">
        <f t="shared" si="237"/>
        <v>0</v>
      </c>
      <c r="CM58" s="457">
        <f t="shared" si="237"/>
        <v>0</v>
      </c>
      <c r="CN58" s="457">
        <f t="shared" si="237"/>
        <v>0</v>
      </c>
      <c r="CO58" s="457">
        <f t="shared" si="237"/>
        <v>0</v>
      </c>
      <c r="CP58" s="457">
        <f t="shared" si="237"/>
        <v>0</v>
      </c>
      <c r="CQ58" s="457">
        <f t="shared" si="237"/>
        <v>0</v>
      </c>
      <c r="CR58" s="457">
        <f t="shared" si="237"/>
        <v>0</v>
      </c>
      <c r="CS58" s="457">
        <f t="shared" si="237"/>
        <v>0</v>
      </c>
      <c r="CT58" s="457">
        <f t="shared" si="237"/>
        <v>0</v>
      </c>
      <c r="CU58" s="457">
        <f t="shared" si="237"/>
        <v>0</v>
      </c>
      <c r="CV58" s="457">
        <f t="shared" si="237"/>
        <v>0</v>
      </c>
      <c r="CW58" s="457">
        <f t="shared" si="237"/>
        <v>0</v>
      </c>
      <c r="CX58" s="457">
        <f t="shared" si="237"/>
        <v>0</v>
      </c>
      <c r="CY58" s="457">
        <f t="shared" si="237"/>
        <v>0</v>
      </c>
      <c r="CZ58" s="457">
        <f t="shared" si="237"/>
        <v>0</v>
      </c>
      <c r="DA58" s="457">
        <f t="shared" si="237"/>
        <v>0</v>
      </c>
      <c r="DB58" s="457">
        <f t="shared" si="237"/>
        <v>0</v>
      </c>
      <c r="DC58" s="457">
        <f t="shared" si="237"/>
        <v>0</v>
      </c>
      <c r="DD58" s="457">
        <f t="shared" si="237"/>
        <v>0</v>
      </c>
      <c r="DE58" s="457">
        <f t="shared" si="237"/>
        <v>0</v>
      </c>
      <c r="DF58" s="457">
        <f t="shared" si="237"/>
        <v>0</v>
      </c>
      <c r="DG58" s="457">
        <f t="shared" si="237"/>
        <v>0</v>
      </c>
      <c r="DH58" s="457">
        <f t="shared" si="237"/>
        <v>0</v>
      </c>
      <c r="DI58" s="457">
        <f t="shared" si="237"/>
        <v>0</v>
      </c>
      <c r="DJ58" s="457">
        <f t="shared" si="237"/>
        <v>0</v>
      </c>
      <c r="DK58" s="457">
        <f t="shared" si="237"/>
        <v>0</v>
      </c>
      <c r="DL58" s="457">
        <f t="shared" si="237"/>
        <v>0</v>
      </c>
      <c r="DM58" s="457">
        <f t="shared" ref="DM58:DN58" si="238">+DM53+DM56</f>
        <v>0</v>
      </c>
      <c r="DN58" s="457">
        <f t="shared" si="238"/>
        <v>450000000</v>
      </c>
      <c r="DO58" s="412"/>
      <c r="DP58" s="412"/>
      <c r="DQ58" s="412"/>
      <c r="DR58" s="412"/>
      <c r="DS58" s="412"/>
      <c r="DT58" s="412"/>
      <c r="DU58" s="412"/>
      <c r="DV58" s="412"/>
      <c r="DW58" s="412"/>
      <c r="DX58" s="412"/>
      <c r="DY58" s="412"/>
      <c r="DZ58" s="412"/>
      <c r="EA58" s="412"/>
      <c r="EB58" s="412"/>
      <c r="EC58" s="412"/>
      <c r="ED58" s="412"/>
      <c r="EE58" s="412"/>
      <c r="EF58" s="412"/>
      <c r="EG58" s="412"/>
      <c r="EH58" s="412"/>
      <c r="EI58" s="412"/>
      <c r="EJ58" s="412"/>
      <c r="EK58" s="412"/>
      <c r="EL58" s="412"/>
      <c r="EM58" s="409">
        <f>EK58+EI58+EG58+EE58+EC58+EA58+DY58+DW58+DU58+DS58+DQ58+DO58</f>
        <v>0</v>
      </c>
      <c r="EN58" s="410">
        <f t="shared" ref="EN58" si="239">+EN53+EN56</f>
        <v>0</v>
      </c>
      <c r="EO58" s="411">
        <f t="shared" ref="EO58" si="240">EO53+EO56</f>
        <v>0</v>
      </c>
      <c r="EP58" s="410">
        <f t="shared" ref="EP58:EQ58" si="241">+EP53+EP56</f>
        <v>0</v>
      </c>
      <c r="EQ58" s="410">
        <f t="shared" si="241"/>
        <v>0</v>
      </c>
      <c r="ER58" s="579"/>
      <c r="ES58" s="578">
        <f t="shared" si="136"/>
        <v>1</v>
      </c>
      <c r="ET58" s="580"/>
      <c r="EU58" s="576">
        <f t="shared" si="173"/>
        <v>0.85201673348741913</v>
      </c>
      <c r="EV58" s="580"/>
      <c r="EW58" s="690"/>
      <c r="EX58" s="683"/>
      <c r="EY58" s="683"/>
      <c r="EZ58" s="683"/>
      <c r="FA58" s="683"/>
      <c r="FB58" s="686"/>
    </row>
    <row r="59" spans="1:158" s="504" customFormat="1" ht="29.25" customHeight="1" x14ac:dyDescent="0.25">
      <c r="A59" s="735" t="s">
        <v>5</v>
      </c>
      <c r="B59" s="736"/>
      <c r="C59" s="736"/>
      <c r="D59" s="736"/>
      <c r="E59" s="736"/>
      <c r="F59" s="497" t="s">
        <v>44</v>
      </c>
      <c r="G59" s="498">
        <f>+G11+G18+G25+G32+G39+G46+G53</f>
        <v>45785945930</v>
      </c>
      <c r="H59" s="498">
        <f t="shared" ref="H59:BS59" si="242">+H11+H18+H25+H32+H39+H46+H53</f>
        <v>4935454528</v>
      </c>
      <c r="I59" s="498">
        <f t="shared" si="242"/>
        <v>0</v>
      </c>
      <c r="J59" s="498">
        <f t="shared" si="242"/>
        <v>0</v>
      </c>
      <c r="K59" s="498">
        <f t="shared" si="242"/>
        <v>0</v>
      </c>
      <c r="L59" s="498">
        <f t="shared" si="242"/>
        <v>0</v>
      </c>
      <c r="M59" s="498">
        <f t="shared" si="242"/>
        <v>0</v>
      </c>
      <c r="N59" s="498">
        <f t="shared" si="242"/>
        <v>0</v>
      </c>
      <c r="O59" s="498">
        <f t="shared" si="242"/>
        <v>0</v>
      </c>
      <c r="P59" s="498">
        <f t="shared" si="242"/>
        <v>0</v>
      </c>
      <c r="Q59" s="498">
        <f t="shared" si="242"/>
        <v>0</v>
      </c>
      <c r="R59" s="498">
        <f t="shared" si="242"/>
        <v>0</v>
      </c>
      <c r="S59" s="498">
        <f t="shared" si="242"/>
        <v>0</v>
      </c>
      <c r="T59" s="498">
        <f t="shared" si="242"/>
        <v>0</v>
      </c>
      <c r="U59" s="498">
        <f t="shared" si="242"/>
        <v>0</v>
      </c>
      <c r="V59" s="498">
        <f t="shared" si="242"/>
        <v>0</v>
      </c>
      <c r="W59" s="498">
        <f t="shared" si="242"/>
        <v>4935454528</v>
      </c>
      <c r="X59" s="498">
        <f t="shared" si="242"/>
        <v>4935454528</v>
      </c>
      <c r="Y59" s="498">
        <f t="shared" si="242"/>
        <v>4588924316</v>
      </c>
      <c r="Z59" s="498">
        <f t="shared" si="242"/>
        <v>4935454528</v>
      </c>
      <c r="AA59" s="498">
        <f t="shared" si="242"/>
        <v>4588924316</v>
      </c>
      <c r="AB59" s="498">
        <f>+AB11+AB18+AB25+AB32+AB39+AB46+AB53</f>
        <v>10067880000</v>
      </c>
      <c r="AC59" s="498">
        <f t="shared" si="242"/>
        <v>0</v>
      </c>
      <c r="AD59" s="498">
        <f t="shared" si="242"/>
        <v>0</v>
      </c>
      <c r="AE59" s="498">
        <f t="shared" si="242"/>
        <v>2665269000</v>
      </c>
      <c r="AF59" s="498">
        <f t="shared" si="242"/>
        <v>2665269000</v>
      </c>
      <c r="AG59" s="498">
        <f t="shared" si="242"/>
        <v>3685714150</v>
      </c>
      <c r="AH59" s="498">
        <f t="shared" si="242"/>
        <v>3685714150</v>
      </c>
      <c r="AI59" s="498">
        <f t="shared" si="242"/>
        <v>881440491</v>
      </c>
      <c r="AJ59" s="498">
        <f t="shared" si="242"/>
        <v>472650491</v>
      </c>
      <c r="AK59" s="498">
        <f t="shared" si="242"/>
        <v>38307944</v>
      </c>
      <c r="AL59" s="498">
        <f t="shared" si="242"/>
        <v>38307944</v>
      </c>
      <c r="AM59" s="498">
        <f t="shared" ref="AM59:AN59" si="243">+AM11+AM18+AM25+AM32+AM39+AM46+AM53</f>
        <v>602029987.66666663</v>
      </c>
      <c r="AN59" s="498">
        <f t="shared" si="243"/>
        <v>702989174</v>
      </c>
      <c r="AO59" s="498">
        <f t="shared" si="242"/>
        <v>0</v>
      </c>
      <c r="AP59" s="498">
        <f t="shared" si="242"/>
        <v>0</v>
      </c>
      <c r="AQ59" s="498">
        <f t="shared" si="242"/>
        <v>256062474</v>
      </c>
      <c r="AR59" s="498">
        <f t="shared" si="242"/>
        <v>0</v>
      </c>
      <c r="AS59" s="498">
        <f t="shared" si="242"/>
        <v>256062474</v>
      </c>
      <c r="AT59" s="498">
        <f t="shared" si="242"/>
        <v>0</v>
      </c>
      <c r="AU59" s="498">
        <f t="shared" si="242"/>
        <v>111133093.33333334</v>
      </c>
      <c r="AV59" s="498">
        <f t="shared" si="242"/>
        <v>0</v>
      </c>
      <c r="AW59" s="498">
        <f t="shared" si="242"/>
        <v>0</v>
      </c>
      <c r="AX59" s="498">
        <f t="shared" si="242"/>
        <v>0</v>
      </c>
      <c r="AY59" s="498">
        <f t="shared" si="242"/>
        <v>0</v>
      </c>
      <c r="AZ59" s="498">
        <f t="shared" si="242"/>
        <v>0</v>
      </c>
      <c r="BA59" s="498">
        <f>+BA11+BA18+BA25+BA32+BA39+BA46+BA53</f>
        <v>8496019614</v>
      </c>
      <c r="BB59" s="498">
        <f t="shared" si="242"/>
        <v>7872761572.666667</v>
      </c>
      <c r="BC59" s="498">
        <f>+BC11+BC18+BC25+BC32+BC39+BC46+BC53</f>
        <v>7564930759</v>
      </c>
      <c r="BD59" s="498">
        <f t="shared" si="242"/>
        <v>8496019614</v>
      </c>
      <c r="BE59" s="498">
        <f t="shared" si="242"/>
        <v>7564930759</v>
      </c>
      <c r="BF59" s="498">
        <f t="shared" si="242"/>
        <v>12676670000</v>
      </c>
      <c r="BG59" s="498">
        <f t="shared" si="242"/>
        <v>4546176000</v>
      </c>
      <c r="BH59" s="498">
        <f t="shared" si="242"/>
        <v>2373018000</v>
      </c>
      <c r="BI59" s="498">
        <f t="shared" si="242"/>
        <v>0</v>
      </c>
      <c r="BJ59" s="498">
        <f t="shared" si="242"/>
        <v>0</v>
      </c>
      <c r="BK59" s="498">
        <f t="shared" si="242"/>
        <v>0</v>
      </c>
      <c r="BL59" s="498">
        <f t="shared" si="242"/>
        <v>0</v>
      </c>
      <c r="BM59" s="498">
        <f t="shared" si="242"/>
        <v>0</v>
      </c>
      <c r="BN59" s="498">
        <f t="shared" si="242"/>
        <v>0</v>
      </c>
      <c r="BO59" s="498">
        <f t="shared" si="242"/>
        <v>0</v>
      </c>
      <c r="BP59" s="498">
        <f t="shared" si="242"/>
        <v>0</v>
      </c>
      <c r="BQ59" s="498">
        <f t="shared" si="242"/>
        <v>0</v>
      </c>
      <c r="BR59" s="498">
        <f t="shared" si="242"/>
        <v>0</v>
      </c>
      <c r="BS59" s="498">
        <f t="shared" si="242"/>
        <v>0</v>
      </c>
      <c r="BT59" s="498">
        <f t="shared" ref="BT59:DN59" si="244">+BT11+BT18+BT25+BT32+BT39+BT46+BT53</f>
        <v>0</v>
      </c>
      <c r="BU59" s="498">
        <f t="shared" si="244"/>
        <v>0</v>
      </c>
      <c r="BV59" s="498">
        <f t="shared" si="244"/>
        <v>0</v>
      </c>
      <c r="BW59" s="498">
        <f t="shared" si="244"/>
        <v>0</v>
      </c>
      <c r="BX59" s="498">
        <f t="shared" si="244"/>
        <v>0</v>
      </c>
      <c r="BY59" s="498">
        <f t="shared" si="244"/>
        <v>0</v>
      </c>
      <c r="BZ59" s="498">
        <f t="shared" si="244"/>
        <v>0</v>
      </c>
      <c r="CA59" s="498">
        <f t="shared" si="244"/>
        <v>0</v>
      </c>
      <c r="CB59" s="498">
        <f t="shared" si="244"/>
        <v>0</v>
      </c>
      <c r="CC59" s="498">
        <f t="shared" si="244"/>
        <v>0</v>
      </c>
      <c r="CD59" s="498">
        <f t="shared" si="244"/>
        <v>0</v>
      </c>
      <c r="CE59" s="498">
        <f t="shared" si="244"/>
        <v>0</v>
      </c>
      <c r="CF59" s="498">
        <f t="shared" si="244"/>
        <v>0</v>
      </c>
      <c r="CG59" s="498">
        <f t="shared" si="244"/>
        <v>2373018000</v>
      </c>
      <c r="CH59" s="498">
        <f t="shared" si="244"/>
        <v>0</v>
      </c>
      <c r="CI59" s="498">
        <f t="shared" si="244"/>
        <v>2373018000</v>
      </c>
      <c r="CJ59" s="498">
        <f t="shared" si="244"/>
        <v>12995889000</v>
      </c>
      <c r="CK59" s="498">
        <f t="shared" si="244"/>
        <v>0</v>
      </c>
      <c r="CL59" s="498">
        <f t="shared" si="244"/>
        <v>0</v>
      </c>
      <c r="CM59" s="498">
        <f t="shared" si="244"/>
        <v>0</v>
      </c>
      <c r="CN59" s="498">
        <f t="shared" si="244"/>
        <v>0</v>
      </c>
      <c r="CO59" s="498">
        <f t="shared" si="244"/>
        <v>0</v>
      </c>
      <c r="CP59" s="498">
        <f t="shared" si="244"/>
        <v>0</v>
      </c>
      <c r="CQ59" s="498">
        <f t="shared" si="244"/>
        <v>0</v>
      </c>
      <c r="CR59" s="498">
        <f t="shared" si="244"/>
        <v>0</v>
      </c>
      <c r="CS59" s="498">
        <f t="shared" si="244"/>
        <v>0</v>
      </c>
      <c r="CT59" s="498">
        <f t="shared" si="244"/>
        <v>0</v>
      </c>
      <c r="CU59" s="498">
        <f t="shared" si="244"/>
        <v>0</v>
      </c>
      <c r="CV59" s="498">
        <f t="shared" si="244"/>
        <v>0</v>
      </c>
      <c r="CW59" s="498">
        <f t="shared" si="244"/>
        <v>0</v>
      </c>
      <c r="CX59" s="498">
        <f t="shared" si="244"/>
        <v>0</v>
      </c>
      <c r="CY59" s="498">
        <f t="shared" si="244"/>
        <v>0</v>
      </c>
      <c r="CZ59" s="498">
        <f t="shared" si="244"/>
        <v>0</v>
      </c>
      <c r="DA59" s="498">
        <f t="shared" si="244"/>
        <v>0</v>
      </c>
      <c r="DB59" s="498">
        <f t="shared" si="244"/>
        <v>0</v>
      </c>
      <c r="DC59" s="498">
        <f t="shared" si="244"/>
        <v>0</v>
      </c>
      <c r="DD59" s="498">
        <f t="shared" si="244"/>
        <v>0</v>
      </c>
      <c r="DE59" s="498">
        <f t="shared" si="244"/>
        <v>0</v>
      </c>
      <c r="DF59" s="498">
        <f t="shared" si="244"/>
        <v>0</v>
      </c>
      <c r="DG59" s="498">
        <f t="shared" si="244"/>
        <v>0</v>
      </c>
      <c r="DH59" s="498">
        <f t="shared" si="244"/>
        <v>0</v>
      </c>
      <c r="DI59" s="498">
        <f t="shared" si="244"/>
        <v>0</v>
      </c>
      <c r="DJ59" s="498">
        <f t="shared" si="244"/>
        <v>0</v>
      </c>
      <c r="DK59" s="498">
        <f t="shared" si="244"/>
        <v>0</v>
      </c>
      <c r="DL59" s="498">
        <f t="shared" si="244"/>
        <v>0</v>
      </c>
      <c r="DM59" s="498">
        <f t="shared" si="244"/>
        <v>0</v>
      </c>
      <c r="DN59" s="498">
        <f t="shared" si="244"/>
        <v>7028443000</v>
      </c>
      <c r="DO59" s="498"/>
      <c r="DP59" s="498"/>
      <c r="DQ59" s="498"/>
      <c r="DR59" s="498"/>
      <c r="DS59" s="498"/>
      <c r="DT59" s="498"/>
      <c r="DU59" s="498"/>
      <c r="DV59" s="498"/>
      <c r="DW59" s="498"/>
      <c r="DX59" s="498"/>
      <c r="DY59" s="498"/>
      <c r="DZ59" s="498"/>
      <c r="EA59" s="498"/>
      <c r="EB59" s="498"/>
      <c r="EC59" s="498"/>
      <c r="ED59" s="498"/>
      <c r="EE59" s="498"/>
      <c r="EF59" s="498"/>
      <c r="EG59" s="498"/>
      <c r="EH59" s="498"/>
      <c r="EI59" s="498"/>
      <c r="EJ59" s="498"/>
      <c r="EK59" s="498"/>
      <c r="EL59" s="498"/>
      <c r="EM59" s="498"/>
      <c r="EN59" s="498"/>
      <c r="EO59" s="498"/>
      <c r="EP59" s="498"/>
      <c r="EQ59" s="499"/>
      <c r="ER59" s="500"/>
      <c r="ES59" s="501"/>
      <c r="ET59" s="502"/>
      <c r="EU59" s="502"/>
      <c r="EV59" s="502"/>
      <c r="EW59" s="502"/>
      <c r="EX59" s="502"/>
      <c r="EY59" s="502"/>
      <c r="EZ59" s="502"/>
      <c r="FA59" s="503"/>
    </row>
    <row r="60" spans="1:158" s="504" customFormat="1" ht="29.25" customHeight="1" x14ac:dyDescent="0.25">
      <c r="A60" s="737"/>
      <c r="B60" s="738"/>
      <c r="C60" s="738"/>
      <c r="D60" s="738"/>
      <c r="E60" s="738"/>
      <c r="F60" s="505" t="s">
        <v>46</v>
      </c>
      <c r="G60" s="436">
        <f>+G14+G21+G28+G35+G42+G49+G56</f>
        <v>1791725580</v>
      </c>
      <c r="H60" s="436">
        <f t="shared" ref="H60:BS60" si="245">+H14+H21+H28+H35+H42+H49+H56</f>
        <v>492875980</v>
      </c>
      <c r="I60" s="436">
        <f t="shared" si="245"/>
        <v>0</v>
      </c>
      <c r="J60" s="436">
        <f t="shared" si="245"/>
        <v>0</v>
      </c>
      <c r="K60" s="436">
        <f t="shared" si="245"/>
        <v>0</v>
      </c>
      <c r="L60" s="436">
        <f t="shared" si="245"/>
        <v>0</v>
      </c>
      <c r="M60" s="436">
        <f t="shared" si="245"/>
        <v>0</v>
      </c>
      <c r="N60" s="436">
        <f t="shared" si="245"/>
        <v>0</v>
      </c>
      <c r="O60" s="436">
        <f t="shared" si="245"/>
        <v>0</v>
      </c>
      <c r="P60" s="436">
        <f t="shared" si="245"/>
        <v>0</v>
      </c>
      <c r="Q60" s="436">
        <f t="shared" si="245"/>
        <v>0</v>
      </c>
      <c r="R60" s="436">
        <f t="shared" si="245"/>
        <v>0</v>
      </c>
      <c r="S60" s="436">
        <f t="shared" si="245"/>
        <v>0</v>
      </c>
      <c r="T60" s="436">
        <f t="shared" si="245"/>
        <v>0</v>
      </c>
      <c r="U60" s="436">
        <f t="shared" si="245"/>
        <v>0</v>
      </c>
      <c r="V60" s="436">
        <f t="shared" si="245"/>
        <v>0</v>
      </c>
      <c r="W60" s="436">
        <f t="shared" si="245"/>
        <v>492875980</v>
      </c>
      <c r="X60" s="436">
        <f t="shared" si="245"/>
        <v>492875980</v>
      </c>
      <c r="Y60" s="436">
        <f t="shared" si="245"/>
        <v>0</v>
      </c>
      <c r="Z60" s="436">
        <f t="shared" si="245"/>
        <v>492875980</v>
      </c>
      <c r="AA60" s="436">
        <f t="shared" si="245"/>
        <v>0</v>
      </c>
      <c r="AB60" s="436">
        <f>+AB14+AB21+AB28+AB35+AB42+AB49+AB56</f>
        <v>1796461446</v>
      </c>
      <c r="AC60" s="436">
        <f t="shared" si="245"/>
        <v>420302557</v>
      </c>
      <c r="AD60" s="436">
        <f t="shared" si="245"/>
        <v>420302557</v>
      </c>
      <c r="AE60" s="436">
        <f t="shared" si="245"/>
        <v>475612458</v>
      </c>
      <c r="AF60" s="436">
        <f t="shared" si="245"/>
        <v>475612458</v>
      </c>
      <c r="AG60" s="436">
        <f t="shared" si="245"/>
        <v>237108188</v>
      </c>
      <c r="AH60" s="436">
        <f t="shared" si="245"/>
        <v>237108188</v>
      </c>
      <c r="AI60" s="436">
        <f t="shared" si="245"/>
        <v>109178008</v>
      </c>
      <c r="AJ60" s="436">
        <f t="shared" si="245"/>
        <v>109178008</v>
      </c>
      <c r="AK60" s="436">
        <f t="shared" si="245"/>
        <v>142791967</v>
      </c>
      <c r="AL60" s="436">
        <f t="shared" si="245"/>
        <v>142791967</v>
      </c>
      <c r="AM60" s="436">
        <f t="shared" si="245"/>
        <v>135933686</v>
      </c>
      <c r="AN60" s="436">
        <f t="shared" ref="AN60" si="246">+AN14+AN21+AN28+AN35+AN42+AN49+AN56</f>
        <v>140092408</v>
      </c>
      <c r="AO60" s="436">
        <f t="shared" si="245"/>
        <v>63971107</v>
      </c>
      <c r="AP60" s="436">
        <f t="shared" si="245"/>
        <v>0</v>
      </c>
      <c r="AQ60" s="436">
        <f t="shared" si="245"/>
        <v>103880004</v>
      </c>
      <c r="AR60" s="436">
        <f t="shared" si="245"/>
        <v>0</v>
      </c>
      <c r="AS60" s="436">
        <f t="shared" si="245"/>
        <v>61086207</v>
      </c>
      <c r="AT60" s="436">
        <f t="shared" si="245"/>
        <v>0</v>
      </c>
      <c r="AU60" s="436">
        <f t="shared" si="245"/>
        <v>23000000</v>
      </c>
      <c r="AV60" s="436">
        <f t="shared" si="245"/>
        <v>0</v>
      </c>
      <c r="AW60" s="436">
        <f t="shared" si="245"/>
        <v>23000000</v>
      </c>
      <c r="AX60" s="436">
        <f t="shared" si="245"/>
        <v>0</v>
      </c>
      <c r="AY60" s="436">
        <f t="shared" si="245"/>
        <v>10664831</v>
      </c>
      <c r="AZ60" s="436">
        <f t="shared" si="245"/>
        <v>0</v>
      </c>
      <c r="BA60" s="436">
        <f t="shared" si="245"/>
        <v>1806529013</v>
      </c>
      <c r="BB60" s="436">
        <f t="shared" si="245"/>
        <v>1520926864</v>
      </c>
      <c r="BC60" s="436">
        <f>+BC14+BC21+BC28+BC35+BC42+BC49+BC56</f>
        <v>1525085586</v>
      </c>
      <c r="BD60" s="436">
        <f t="shared" si="245"/>
        <v>1791725580</v>
      </c>
      <c r="BE60" s="436">
        <f t="shared" si="245"/>
        <v>1525085586</v>
      </c>
      <c r="BF60" s="436">
        <f t="shared" si="245"/>
        <v>0</v>
      </c>
      <c r="BG60" s="436">
        <f t="shared" si="245"/>
        <v>0</v>
      </c>
      <c r="BH60" s="436">
        <f t="shared" si="245"/>
        <v>0</v>
      </c>
      <c r="BI60" s="436">
        <f t="shared" si="245"/>
        <v>0</v>
      </c>
      <c r="BJ60" s="436">
        <f t="shared" si="245"/>
        <v>0</v>
      </c>
      <c r="BK60" s="436">
        <f t="shared" si="245"/>
        <v>0</v>
      </c>
      <c r="BL60" s="436">
        <f t="shared" si="245"/>
        <v>0</v>
      </c>
      <c r="BM60" s="436">
        <f t="shared" si="245"/>
        <v>0</v>
      </c>
      <c r="BN60" s="436">
        <f t="shared" si="245"/>
        <v>0</v>
      </c>
      <c r="BO60" s="436">
        <f t="shared" si="245"/>
        <v>0</v>
      </c>
      <c r="BP60" s="436">
        <f t="shared" si="245"/>
        <v>0</v>
      </c>
      <c r="BQ60" s="436">
        <f t="shared" si="245"/>
        <v>0</v>
      </c>
      <c r="BR60" s="436">
        <f t="shared" si="245"/>
        <v>0</v>
      </c>
      <c r="BS60" s="436">
        <f t="shared" si="245"/>
        <v>0</v>
      </c>
      <c r="BT60" s="436">
        <f t="shared" ref="BT60:DN60" si="247">+BT14+BT21+BT28+BT35+BT42+BT49+BT56</f>
        <v>0</v>
      </c>
      <c r="BU60" s="436">
        <f t="shared" si="247"/>
        <v>0</v>
      </c>
      <c r="BV60" s="436">
        <f t="shared" si="247"/>
        <v>0</v>
      </c>
      <c r="BW60" s="436">
        <f t="shared" si="247"/>
        <v>0</v>
      </c>
      <c r="BX60" s="436">
        <f t="shared" si="247"/>
        <v>0</v>
      </c>
      <c r="BY60" s="436">
        <f t="shared" si="247"/>
        <v>0</v>
      </c>
      <c r="BZ60" s="436">
        <f t="shared" si="247"/>
        <v>0</v>
      </c>
      <c r="CA60" s="436">
        <f t="shared" si="247"/>
        <v>0</v>
      </c>
      <c r="CB60" s="436">
        <f t="shared" si="247"/>
        <v>0</v>
      </c>
      <c r="CC60" s="436">
        <f t="shared" si="247"/>
        <v>0</v>
      </c>
      <c r="CD60" s="436">
        <f t="shared" si="247"/>
        <v>0</v>
      </c>
      <c r="CE60" s="436">
        <f t="shared" si="247"/>
        <v>0</v>
      </c>
      <c r="CF60" s="436">
        <f t="shared" si="247"/>
        <v>0</v>
      </c>
      <c r="CG60" s="436">
        <f t="shared" si="247"/>
        <v>0</v>
      </c>
      <c r="CH60" s="436">
        <f t="shared" si="247"/>
        <v>0</v>
      </c>
      <c r="CI60" s="436">
        <f t="shared" si="247"/>
        <v>0</v>
      </c>
      <c r="CJ60" s="436">
        <f t="shared" si="247"/>
        <v>0</v>
      </c>
      <c r="CK60" s="436">
        <f t="shared" si="247"/>
        <v>0</v>
      </c>
      <c r="CL60" s="436">
        <f t="shared" si="247"/>
        <v>0</v>
      </c>
      <c r="CM60" s="436">
        <f t="shared" si="247"/>
        <v>0</v>
      </c>
      <c r="CN60" s="436">
        <f t="shared" si="247"/>
        <v>0</v>
      </c>
      <c r="CO60" s="436">
        <f t="shared" si="247"/>
        <v>0</v>
      </c>
      <c r="CP60" s="436">
        <f t="shared" si="247"/>
        <v>0</v>
      </c>
      <c r="CQ60" s="436">
        <f t="shared" si="247"/>
        <v>0</v>
      </c>
      <c r="CR60" s="436">
        <f t="shared" si="247"/>
        <v>0</v>
      </c>
      <c r="CS60" s="436">
        <f t="shared" si="247"/>
        <v>0</v>
      </c>
      <c r="CT60" s="436">
        <f t="shared" si="247"/>
        <v>0</v>
      </c>
      <c r="CU60" s="436">
        <f t="shared" si="247"/>
        <v>0</v>
      </c>
      <c r="CV60" s="436">
        <f t="shared" si="247"/>
        <v>0</v>
      </c>
      <c r="CW60" s="436">
        <f t="shared" si="247"/>
        <v>0</v>
      </c>
      <c r="CX60" s="436">
        <f t="shared" si="247"/>
        <v>0</v>
      </c>
      <c r="CY60" s="436">
        <f t="shared" si="247"/>
        <v>0</v>
      </c>
      <c r="CZ60" s="436">
        <f t="shared" si="247"/>
        <v>0</v>
      </c>
      <c r="DA60" s="436">
        <f t="shared" si="247"/>
        <v>0</v>
      </c>
      <c r="DB60" s="436">
        <f t="shared" si="247"/>
        <v>0</v>
      </c>
      <c r="DC60" s="436">
        <f t="shared" si="247"/>
        <v>0</v>
      </c>
      <c r="DD60" s="436">
        <f t="shared" si="247"/>
        <v>0</v>
      </c>
      <c r="DE60" s="436">
        <f t="shared" si="247"/>
        <v>0</v>
      </c>
      <c r="DF60" s="436">
        <f t="shared" si="247"/>
        <v>0</v>
      </c>
      <c r="DG60" s="436">
        <f t="shared" si="247"/>
        <v>0</v>
      </c>
      <c r="DH60" s="436">
        <f t="shared" si="247"/>
        <v>0</v>
      </c>
      <c r="DI60" s="436">
        <f t="shared" si="247"/>
        <v>0</v>
      </c>
      <c r="DJ60" s="436">
        <f t="shared" si="247"/>
        <v>0</v>
      </c>
      <c r="DK60" s="436">
        <f t="shared" si="247"/>
        <v>0</v>
      </c>
      <c r="DL60" s="436">
        <f t="shared" si="247"/>
        <v>0</v>
      </c>
      <c r="DM60" s="436">
        <f t="shared" si="247"/>
        <v>0</v>
      </c>
      <c r="DN60" s="436">
        <f t="shared" si="247"/>
        <v>0</v>
      </c>
      <c r="DO60" s="436"/>
      <c r="DP60" s="436"/>
      <c r="DQ60" s="436"/>
      <c r="DR60" s="436"/>
      <c r="DS60" s="436"/>
      <c r="DT60" s="436"/>
      <c r="DU60" s="436"/>
      <c r="DV60" s="436"/>
      <c r="DW60" s="436"/>
      <c r="DX60" s="436"/>
      <c r="DY60" s="436"/>
      <c r="DZ60" s="436"/>
      <c r="EA60" s="436"/>
      <c r="EB60" s="436"/>
      <c r="EC60" s="436"/>
      <c r="ED60" s="436"/>
      <c r="EE60" s="436"/>
      <c r="EF60" s="436"/>
      <c r="EG60" s="506"/>
      <c r="EH60" s="506"/>
      <c r="EI60" s="506"/>
      <c r="EJ60" s="506"/>
      <c r="EK60" s="506"/>
      <c r="EL60" s="506"/>
      <c r="EM60" s="436"/>
      <c r="EN60" s="437"/>
      <c r="EO60" s="437"/>
      <c r="EP60" s="437"/>
      <c r="EQ60" s="507"/>
      <c r="ER60" s="508"/>
      <c r="ES60" s="509"/>
      <c r="ET60" s="510"/>
      <c r="EU60" s="510"/>
      <c r="EV60" s="510"/>
      <c r="EW60" s="510"/>
      <c r="EX60" s="510"/>
      <c r="EY60" s="510"/>
      <c r="EZ60" s="510"/>
      <c r="FA60" s="511"/>
    </row>
    <row r="61" spans="1:158" s="504" customFormat="1" ht="29.25" customHeight="1" thickBot="1" x14ac:dyDescent="0.3">
      <c r="A61" s="739"/>
      <c r="B61" s="740"/>
      <c r="C61" s="740"/>
      <c r="D61" s="740"/>
      <c r="E61" s="740"/>
      <c r="F61" s="512" t="s">
        <v>47</v>
      </c>
      <c r="G61" s="513">
        <f>SUM(G59:G60)</f>
        <v>47577671510</v>
      </c>
      <c r="H61" s="513">
        <f t="shared" ref="H61:BS61" si="248">SUM(H59:H60)</f>
        <v>5428330508</v>
      </c>
      <c r="I61" s="513">
        <f t="shared" si="248"/>
        <v>0</v>
      </c>
      <c r="J61" s="513">
        <f t="shared" si="248"/>
        <v>0</v>
      </c>
      <c r="K61" s="513">
        <f t="shared" si="248"/>
        <v>0</v>
      </c>
      <c r="L61" s="513">
        <f t="shared" si="248"/>
        <v>0</v>
      </c>
      <c r="M61" s="513">
        <f t="shared" si="248"/>
        <v>0</v>
      </c>
      <c r="N61" s="513">
        <f t="shared" si="248"/>
        <v>0</v>
      </c>
      <c r="O61" s="513">
        <f t="shared" si="248"/>
        <v>0</v>
      </c>
      <c r="P61" s="513">
        <f t="shared" si="248"/>
        <v>0</v>
      </c>
      <c r="Q61" s="513">
        <f t="shared" si="248"/>
        <v>0</v>
      </c>
      <c r="R61" s="513">
        <f t="shared" si="248"/>
        <v>0</v>
      </c>
      <c r="S61" s="513">
        <f t="shared" si="248"/>
        <v>0</v>
      </c>
      <c r="T61" s="513">
        <f t="shared" si="248"/>
        <v>0</v>
      </c>
      <c r="U61" s="513">
        <f t="shared" si="248"/>
        <v>0</v>
      </c>
      <c r="V61" s="513">
        <f t="shared" si="248"/>
        <v>0</v>
      </c>
      <c r="W61" s="513">
        <f t="shared" si="248"/>
        <v>5428330508</v>
      </c>
      <c r="X61" s="513">
        <f t="shared" si="248"/>
        <v>5428330508</v>
      </c>
      <c r="Y61" s="513">
        <f t="shared" si="248"/>
        <v>4588924316</v>
      </c>
      <c r="Z61" s="513">
        <f t="shared" si="248"/>
        <v>5428330508</v>
      </c>
      <c r="AA61" s="513">
        <f t="shared" si="248"/>
        <v>4588924316</v>
      </c>
      <c r="AB61" s="513">
        <f t="shared" si="248"/>
        <v>11864341446</v>
      </c>
      <c r="AC61" s="513">
        <f t="shared" si="248"/>
        <v>420302557</v>
      </c>
      <c r="AD61" s="513">
        <f t="shared" si="248"/>
        <v>420302557</v>
      </c>
      <c r="AE61" s="513">
        <f t="shared" si="248"/>
        <v>3140881458</v>
      </c>
      <c r="AF61" s="513">
        <f t="shared" si="248"/>
        <v>3140881458</v>
      </c>
      <c r="AG61" s="513">
        <f t="shared" si="248"/>
        <v>3922822338</v>
      </c>
      <c r="AH61" s="513">
        <f t="shared" si="248"/>
        <v>3922822338</v>
      </c>
      <c r="AI61" s="513">
        <f t="shared" si="248"/>
        <v>990618499</v>
      </c>
      <c r="AJ61" s="513">
        <f t="shared" si="248"/>
        <v>581828499</v>
      </c>
      <c r="AK61" s="513">
        <f t="shared" si="248"/>
        <v>181099911</v>
      </c>
      <c r="AL61" s="513">
        <f t="shared" si="248"/>
        <v>181099911</v>
      </c>
      <c r="AM61" s="513">
        <f t="shared" si="248"/>
        <v>737963673.66666663</v>
      </c>
      <c r="AN61" s="513">
        <f t="shared" ref="AN61" si="249">SUM(AN59:AN60)</f>
        <v>843081582</v>
      </c>
      <c r="AO61" s="513">
        <f t="shared" si="248"/>
        <v>63971107</v>
      </c>
      <c r="AP61" s="513">
        <f t="shared" si="248"/>
        <v>0</v>
      </c>
      <c r="AQ61" s="513">
        <f t="shared" si="248"/>
        <v>359942478</v>
      </c>
      <c r="AR61" s="513">
        <f t="shared" si="248"/>
        <v>0</v>
      </c>
      <c r="AS61" s="513">
        <f t="shared" si="248"/>
        <v>317148681</v>
      </c>
      <c r="AT61" s="513">
        <f t="shared" si="248"/>
        <v>0</v>
      </c>
      <c r="AU61" s="513">
        <f t="shared" si="248"/>
        <v>134133093.33333334</v>
      </c>
      <c r="AV61" s="513">
        <f t="shared" si="248"/>
        <v>0</v>
      </c>
      <c r="AW61" s="513">
        <f t="shared" si="248"/>
        <v>23000000</v>
      </c>
      <c r="AX61" s="513">
        <f t="shared" si="248"/>
        <v>0</v>
      </c>
      <c r="AY61" s="513">
        <f t="shared" si="248"/>
        <v>10664831</v>
      </c>
      <c r="AZ61" s="513">
        <f t="shared" si="248"/>
        <v>0</v>
      </c>
      <c r="BA61" s="513">
        <f t="shared" si="248"/>
        <v>10302548627</v>
      </c>
      <c r="BB61" s="513">
        <f t="shared" si="248"/>
        <v>9393688436.6666679</v>
      </c>
      <c r="BC61" s="513">
        <f t="shared" si="248"/>
        <v>9090016345</v>
      </c>
      <c r="BD61" s="513">
        <f t="shared" si="248"/>
        <v>10287745194</v>
      </c>
      <c r="BE61" s="513">
        <f t="shared" si="248"/>
        <v>9090016345</v>
      </c>
      <c r="BF61" s="513">
        <f t="shared" si="248"/>
        <v>12676670000</v>
      </c>
      <c r="BG61" s="513">
        <f t="shared" si="248"/>
        <v>4546176000</v>
      </c>
      <c r="BH61" s="513">
        <f t="shared" si="248"/>
        <v>2373018000</v>
      </c>
      <c r="BI61" s="513">
        <f t="shared" si="248"/>
        <v>0</v>
      </c>
      <c r="BJ61" s="513">
        <f t="shared" si="248"/>
        <v>0</v>
      </c>
      <c r="BK61" s="513">
        <f t="shared" si="248"/>
        <v>0</v>
      </c>
      <c r="BL61" s="513">
        <f t="shared" si="248"/>
        <v>0</v>
      </c>
      <c r="BM61" s="513">
        <f t="shared" si="248"/>
        <v>0</v>
      </c>
      <c r="BN61" s="513">
        <f t="shared" si="248"/>
        <v>0</v>
      </c>
      <c r="BO61" s="513">
        <f t="shared" si="248"/>
        <v>0</v>
      </c>
      <c r="BP61" s="513">
        <f t="shared" si="248"/>
        <v>0</v>
      </c>
      <c r="BQ61" s="513">
        <f t="shared" si="248"/>
        <v>0</v>
      </c>
      <c r="BR61" s="513">
        <f t="shared" si="248"/>
        <v>0</v>
      </c>
      <c r="BS61" s="513">
        <f t="shared" si="248"/>
        <v>0</v>
      </c>
      <c r="BT61" s="513">
        <f t="shared" ref="BT61:DN61" si="250">SUM(BT59:BT60)</f>
        <v>0</v>
      </c>
      <c r="BU61" s="513">
        <f t="shared" si="250"/>
        <v>0</v>
      </c>
      <c r="BV61" s="513">
        <f t="shared" si="250"/>
        <v>0</v>
      </c>
      <c r="BW61" s="513">
        <f t="shared" si="250"/>
        <v>0</v>
      </c>
      <c r="BX61" s="513">
        <f t="shared" si="250"/>
        <v>0</v>
      </c>
      <c r="BY61" s="513">
        <f t="shared" si="250"/>
        <v>0</v>
      </c>
      <c r="BZ61" s="513">
        <f t="shared" si="250"/>
        <v>0</v>
      </c>
      <c r="CA61" s="513">
        <f t="shared" si="250"/>
        <v>0</v>
      </c>
      <c r="CB61" s="513">
        <f t="shared" si="250"/>
        <v>0</v>
      </c>
      <c r="CC61" s="513">
        <f t="shared" si="250"/>
        <v>0</v>
      </c>
      <c r="CD61" s="513">
        <f t="shared" si="250"/>
        <v>0</v>
      </c>
      <c r="CE61" s="513">
        <f t="shared" si="250"/>
        <v>0</v>
      </c>
      <c r="CF61" s="513">
        <f t="shared" si="250"/>
        <v>0</v>
      </c>
      <c r="CG61" s="513">
        <f t="shared" si="250"/>
        <v>2373018000</v>
      </c>
      <c r="CH61" s="513">
        <f t="shared" si="250"/>
        <v>0</v>
      </c>
      <c r="CI61" s="513">
        <f t="shared" si="250"/>
        <v>2373018000</v>
      </c>
      <c r="CJ61" s="513">
        <f t="shared" si="250"/>
        <v>12995889000</v>
      </c>
      <c r="CK61" s="513">
        <f t="shared" si="250"/>
        <v>0</v>
      </c>
      <c r="CL61" s="513">
        <f t="shared" si="250"/>
        <v>0</v>
      </c>
      <c r="CM61" s="513">
        <f t="shared" si="250"/>
        <v>0</v>
      </c>
      <c r="CN61" s="513">
        <f t="shared" si="250"/>
        <v>0</v>
      </c>
      <c r="CO61" s="513">
        <f t="shared" si="250"/>
        <v>0</v>
      </c>
      <c r="CP61" s="513">
        <f t="shared" si="250"/>
        <v>0</v>
      </c>
      <c r="CQ61" s="513">
        <f t="shared" si="250"/>
        <v>0</v>
      </c>
      <c r="CR61" s="513">
        <f t="shared" si="250"/>
        <v>0</v>
      </c>
      <c r="CS61" s="513">
        <f t="shared" si="250"/>
        <v>0</v>
      </c>
      <c r="CT61" s="513">
        <f t="shared" si="250"/>
        <v>0</v>
      </c>
      <c r="CU61" s="513">
        <f t="shared" si="250"/>
        <v>0</v>
      </c>
      <c r="CV61" s="513">
        <f t="shared" si="250"/>
        <v>0</v>
      </c>
      <c r="CW61" s="513">
        <f t="shared" si="250"/>
        <v>0</v>
      </c>
      <c r="CX61" s="513">
        <f t="shared" si="250"/>
        <v>0</v>
      </c>
      <c r="CY61" s="513">
        <f t="shared" si="250"/>
        <v>0</v>
      </c>
      <c r="CZ61" s="513">
        <f t="shared" si="250"/>
        <v>0</v>
      </c>
      <c r="DA61" s="513">
        <f t="shared" si="250"/>
        <v>0</v>
      </c>
      <c r="DB61" s="513">
        <f t="shared" si="250"/>
        <v>0</v>
      </c>
      <c r="DC61" s="513">
        <f t="shared" si="250"/>
        <v>0</v>
      </c>
      <c r="DD61" s="513">
        <f t="shared" si="250"/>
        <v>0</v>
      </c>
      <c r="DE61" s="513">
        <f t="shared" si="250"/>
        <v>0</v>
      </c>
      <c r="DF61" s="513">
        <f t="shared" si="250"/>
        <v>0</v>
      </c>
      <c r="DG61" s="513">
        <f t="shared" si="250"/>
        <v>0</v>
      </c>
      <c r="DH61" s="513">
        <f t="shared" si="250"/>
        <v>0</v>
      </c>
      <c r="DI61" s="513">
        <f t="shared" si="250"/>
        <v>0</v>
      </c>
      <c r="DJ61" s="513">
        <f t="shared" si="250"/>
        <v>0</v>
      </c>
      <c r="DK61" s="513">
        <f t="shared" si="250"/>
        <v>0</v>
      </c>
      <c r="DL61" s="513">
        <f t="shared" si="250"/>
        <v>0</v>
      </c>
      <c r="DM61" s="513">
        <f t="shared" si="250"/>
        <v>0</v>
      </c>
      <c r="DN61" s="513">
        <f t="shared" si="250"/>
        <v>7028443000</v>
      </c>
      <c r="DO61" s="513"/>
      <c r="DP61" s="513"/>
      <c r="DQ61" s="513"/>
      <c r="DR61" s="513"/>
      <c r="DS61" s="513"/>
      <c r="DT61" s="513"/>
      <c r="DU61" s="513"/>
      <c r="DV61" s="513"/>
      <c r="DW61" s="513"/>
      <c r="DX61" s="513"/>
      <c r="DY61" s="513"/>
      <c r="DZ61" s="513"/>
      <c r="EA61" s="513"/>
      <c r="EB61" s="513"/>
      <c r="EC61" s="513"/>
      <c r="ED61" s="513"/>
      <c r="EE61" s="513"/>
      <c r="EF61" s="513"/>
      <c r="EG61" s="513"/>
      <c r="EH61" s="513"/>
      <c r="EI61" s="513"/>
      <c r="EJ61" s="513"/>
      <c r="EK61" s="513"/>
      <c r="EL61" s="513"/>
      <c r="EM61" s="514"/>
      <c r="EN61" s="514"/>
      <c r="EO61" s="514"/>
      <c r="EP61" s="514"/>
      <c r="EQ61" s="515"/>
      <c r="ER61" s="516"/>
      <c r="ES61" s="517"/>
      <c r="ET61" s="518"/>
      <c r="EU61" s="518"/>
      <c r="EV61" s="518"/>
      <c r="EW61" s="518"/>
      <c r="EX61" s="518"/>
      <c r="EY61" s="518"/>
      <c r="EZ61" s="518"/>
      <c r="FA61" s="519"/>
    </row>
    <row r="62" spans="1:158" ht="29.25" customHeight="1" x14ac:dyDescent="0.2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row>
    <row r="63" spans="1:158" ht="29.25" customHeight="1" x14ac:dyDescent="0.25">
      <c r="F63" s="20" t="s">
        <v>35</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540"/>
      <c r="BE63" s="1"/>
      <c r="BW63" s="1"/>
      <c r="BX63" s="1"/>
      <c r="BY63" s="1"/>
      <c r="BZ63" s="1"/>
      <c r="CA63" s="1"/>
      <c r="CB63" s="1"/>
      <c r="CC63" s="1"/>
      <c r="CD63" s="1"/>
      <c r="CE63" s="1"/>
      <c r="CF63" s="1"/>
      <c r="CG63" s="1"/>
      <c r="CH63" s="1"/>
      <c r="CI63" s="1"/>
    </row>
    <row r="64" spans="1:158" ht="29.25" customHeight="1" x14ac:dyDescent="0.25">
      <c r="F64" s="44" t="s">
        <v>36</v>
      </c>
      <c r="G64" s="644" t="s">
        <v>37</v>
      </c>
      <c r="H64" s="644"/>
      <c r="I64" s="644"/>
      <c r="J64" s="644"/>
      <c r="K64" s="644"/>
      <c r="L64" s="644"/>
      <c r="M64" s="644"/>
      <c r="N64" s="671" t="s">
        <v>38</v>
      </c>
      <c r="O64" s="671"/>
      <c r="P64" s="671"/>
      <c r="Q64" s="671"/>
      <c r="R64" s="671"/>
      <c r="S64" s="671"/>
      <c r="T64" s="671"/>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2"/>
      <c r="AY64" s="732"/>
      <c r="AZ64" s="732"/>
      <c r="BA64" s="732"/>
      <c r="BB64" s="732"/>
      <c r="BC64" s="732"/>
      <c r="BD64" s="732"/>
      <c r="BE64" s="732"/>
    </row>
    <row r="65" spans="6:136" ht="29.25" customHeight="1" x14ac:dyDescent="0.25">
      <c r="F65" s="21">
        <v>13</v>
      </c>
      <c r="G65" s="664" t="s">
        <v>97</v>
      </c>
      <c r="H65" s="664"/>
      <c r="I65" s="664"/>
      <c r="J65" s="664"/>
      <c r="K65" s="664"/>
      <c r="L65" s="664"/>
      <c r="M65" s="664"/>
      <c r="N65" s="665" t="s">
        <v>88</v>
      </c>
      <c r="O65" s="665"/>
      <c r="P65" s="665"/>
      <c r="Q65" s="665"/>
      <c r="R65" s="665"/>
      <c r="S65" s="665"/>
      <c r="T65" s="665"/>
      <c r="U65" s="733"/>
      <c r="V65" s="734"/>
      <c r="W65" s="734"/>
      <c r="X65" s="734"/>
      <c r="Y65" s="734"/>
      <c r="Z65" s="734"/>
      <c r="AA65" s="734"/>
      <c r="AB65" s="734"/>
      <c r="AC65" s="734"/>
      <c r="AD65" s="734"/>
      <c r="AE65" s="734"/>
      <c r="AF65" s="734"/>
      <c r="AG65" s="734"/>
      <c r="AH65" s="734"/>
      <c r="AI65" s="734"/>
      <c r="AJ65" s="734"/>
      <c r="AK65" s="734"/>
      <c r="AL65" s="734"/>
      <c r="AM65" s="734"/>
      <c r="AN65" s="734"/>
      <c r="AO65" s="734"/>
      <c r="AP65" s="734"/>
      <c r="AQ65" s="734"/>
      <c r="AR65" s="734"/>
      <c r="AS65" s="734"/>
      <c r="AT65" s="734"/>
      <c r="AU65" s="734"/>
      <c r="AV65" s="734"/>
      <c r="AW65" s="734"/>
      <c r="AX65" s="734"/>
      <c r="AY65" s="734"/>
      <c r="AZ65" s="734"/>
      <c r="BA65" s="734"/>
      <c r="BB65" s="734"/>
      <c r="BC65" s="734"/>
      <c r="BD65" s="734"/>
      <c r="BE65" s="734"/>
    </row>
    <row r="66" spans="6:136" ht="29.25" customHeight="1" x14ac:dyDescent="0.25">
      <c r="F66" s="21">
        <v>14</v>
      </c>
      <c r="G66" s="664" t="s">
        <v>351</v>
      </c>
      <c r="H66" s="664"/>
      <c r="I66" s="664"/>
      <c r="J66" s="664"/>
      <c r="K66" s="664"/>
      <c r="L66" s="664"/>
      <c r="M66" s="664"/>
      <c r="N66" s="665"/>
      <c r="O66" s="665"/>
      <c r="P66" s="665"/>
      <c r="Q66" s="665"/>
      <c r="R66" s="665"/>
      <c r="S66" s="665"/>
      <c r="T66" s="665"/>
      <c r="BF66" s="290"/>
    </row>
    <row r="67" spans="6:136" ht="29.25" customHeight="1" x14ac:dyDescent="0.25">
      <c r="AH67" s="291"/>
      <c r="AI67" s="291"/>
      <c r="AJ67" s="291"/>
      <c r="AK67" s="291"/>
      <c r="AL67" s="291"/>
      <c r="AM67" s="291"/>
      <c r="AN67" s="291"/>
      <c r="AO67" s="291"/>
      <c r="AP67" s="291"/>
      <c r="AQ67" s="291"/>
      <c r="AR67" s="291"/>
      <c r="AS67" s="291"/>
      <c r="AT67" s="291"/>
      <c r="AU67" s="291"/>
      <c r="AV67" s="291"/>
      <c r="AW67" s="291"/>
      <c r="AX67" s="291"/>
      <c r="BF67" s="296"/>
      <c r="BG67" s="297"/>
      <c r="BH67" s="297"/>
      <c r="BI67" s="297"/>
      <c r="BJ67" s="297"/>
      <c r="BK67" s="297"/>
      <c r="BL67" s="297"/>
      <c r="BM67" s="297"/>
      <c r="BN67" s="297"/>
      <c r="BO67" s="297"/>
      <c r="BP67" s="297"/>
      <c r="BQ67" s="297"/>
      <c r="BR67" s="297"/>
      <c r="BS67" s="297"/>
      <c r="BT67" s="297"/>
      <c r="BU67" s="297"/>
      <c r="BV67" s="297"/>
      <c r="BW67" s="297"/>
      <c r="BX67" s="297"/>
      <c r="BY67" s="297"/>
      <c r="BZ67" s="297"/>
      <c r="CA67" s="297"/>
      <c r="CB67" s="297"/>
      <c r="CC67" s="297"/>
      <c r="CD67" s="297"/>
      <c r="CE67" s="297"/>
      <c r="CF67" s="297"/>
      <c r="CG67" s="297"/>
      <c r="CH67" s="297"/>
      <c r="CI67" s="297"/>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7"/>
      <c r="DJ67" s="297"/>
      <c r="DK67" s="297"/>
      <c r="DL67" s="297"/>
      <c r="DM67" s="297"/>
      <c r="DN67" s="297"/>
      <c r="DO67" s="297"/>
      <c r="DP67" s="297"/>
      <c r="DQ67" s="297"/>
      <c r="DR67" s="297"/>
      <c r="DS67" s="297"/>
      <c r="DT67" s="297"/>
      <c r="DU67" s="297"/>
      <c r="DV67" s="297"/>
      <c r="DW67" s="297"/>
      <c r="DX67" s="297"/>
      <c r="DY67" s="297"/>
      <c r="DZ67" s="297"/>
      <c r="EA67" s="297"/>
      <c r="EB67" s="297"/>
      <c r="EC67" s="297"/>
      <c r="ED67" s="297"/>
      <c r="EE67" s="297"/>
      <c r="EF67" s="297"/>
    </row>
    <row r="68" spans="6:136" ht="29.25" customHeight="1" x14ac:dyDescent="0.25">
      <c r="BF68" s="299"/>
      <c r="BG68" s="297"/>
      <c r="BH68" s="297"/>
      <c r="BI68" s="297"/>
      <c r="BJ68" s="297"/>
      <c r="BK68" s="297"/>
      <c r="BL68" s="297"/>
      <c r="BM68" s="297"/>
      <c r="BN68" s="297"/>
      <c r="BO68" s="297"/>
      <c r="BP68" s="297"/>
      <c r="BQ68" s="297"/>
      <c r="BR68" s="297"/>
      <c r="BS68" s="297"/>
      <c r="BT68" s="297"/>
      <c r="BU68" s="297"/>
      <c r="BV68" s="297"/>
      <c r="BW68" s="297"/>
      <c r="BX68" s="297"/>
      <c r="BY68" s="297"/>
      <c r="BZ68" s="297"/>
      <c r="CA68" s="297"/>
      <c r="CB68" s="297"/>
      <c r="CC68" s="297"/>
      <c r="CD68" s="297"/>
      <c r="CE68" s="297"/>
      <c r="CF68" s="297"/>
      <c r="CG68" s="297"/>
      <c r="CH68" s="297"/>
      <c r="CI68" s="297"/>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7"/>
      <c r="DJ68" s="297"/>
      <c r="DK68" s="297"/>
      <c r="DL68" s="297"/>
      <c r="DM68" s="297"/>
      <c r="DN68" s="297"/>
      <c r="DO68" s="297"/>
      <c r="DP68" s="297"/>
      <c r="DQ68" s="297"/>
      <c r="DR68" s="297"/>
      <c r="DS68" s="297"/>
      <c r="DT68" s="297"/>
      <c r="DU68" s="297"/>
      <c r="DV68" s="297"/>
      <c r="DW68" s="297"/>
      <c r="DX68" s="297"/>
      <c r="DY68" s="297"/>
      <c r="DZ68" s="297"/>
      <c r="EA68" s="297"/>
      <c r="EB68" s="297"/>
      <c r="EC68" s="297"/>
      <c r="ED68" s="297"/>
      <c r="EE68" s="297"/>
      <c r="EF68" s="297"/>
    </row>
    <row r="69" spans="6:136" ht="29.25" customHeight="1" x14ac:dyDescent="0.25">
      <c r="G69" s="117"/>
      <c r="BF69" s="297"/>
      <c r="BG69" s="297"/>
      <c r="BH69" s="297"/>
      <c r="BI69" s="297"/>
      <c r="BJ69" s="297"/>
      <c r="BK69" s="297"/>
      <c r="BL69" s="297"/>
      <c r="BM69" s="297"/>
      <c r="BN69" s="297"/>
      <c r="BO69" s="297"/>
      <c r="BP69" s="297"/>
      <c r="BQ69" s="297"/>
      <c r="BR69" s="297"/>
      <c r="BS69" s="297"/>
      <c r="BT69" s="297"/>
      <c r="BU69" s="297"/>
      <c r="BV69" s="297"/>
      <c r="BW69" s="297"/>
      <c r="BX69" s="297"/>
      <c r="BY69" s="297"/>
      <c r="BZ69" s="297"/>
      <c r="CA69" s="297"/>
      <c r="CB69" s="297"/>
      <c r="CC69" s="297"/>
      <c r="CD69" s="297"/>
      <c r="CE69" s="297"/>
      <c r="CF69" s="297"/>
      <c r="CG69" s="297"/>
      <c r="CH69" s="297"/>
      <c r="CI69" s="297"/>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7"/>
      <c r="DJ69" s="297"/>
      <c r="DK69" s="297"/>
      <c r="DL69" s="297"/>
      <c r="DM69" s="297"/>
      <c r="DN69" s="298"/>
      <c r="DO69" s="298"/>
      <c r="DP69" s="298"/>
      <c r="DQ69" s="298"/>
      <c r="DR69" s="298"/>
      <c r="DS69" s="298"/>
      <c r="DT69" s="298"/>
      <c r="DU69" s="298"/>
      <c r="DV69" s="298"/>
      <c r="DW69" s="298"/>
      <c r="DX69" s="298"/>
      <c r="DY69" s="298"/>
      <c r="DZ69" s="298"/>
      <c r="EA69" s="298"/>
      <c r="EB69" s="298"/>
      <c r="EC69" s="298"/>
      <c r="ED69" s="298"/>
      <c r="EE69" s="298"/>
      <c r="EF69" s="298"/>
    </row>
    <row r="70" spans="6:136" ht="29.25" customHeight="1" x14ac:dyDescent="0.25">
      <c r="BF70" s="300"/>
      <c r="BG70" s="297"/>
      <c r="BH70" s="297"/>
      <c r="BI70" s="297"/>
      <c r="BJ70" s="297"/>
      <c r="BK70" s="297"/>
      <c r="BL70" s="297"/>
      <c r="BM70" s="297"/>
      <c r="BN70" s="297"/>
      <c r="BO70" s="297"/>
      <c r="BP70" s="297"/>
      <c r="BQ70" s="297"/>
      <c r="BR70" s="297"/>
      <c r="BS70" s="297"/>
      <c r="BT70" s="297"/>
      <c r="BU70" s="297"/>
      <c r="BV70" s="297"/>
      <c r="BW70" s="297"/>
      <c r="BX70" s="297"/>
      <c r="BY70" s="297"/>
      <c r="BZ70" s="297"/>
      <c r="CA70" s="297"/>
      <c r="CB70" s="297"/>
      <c r="CC70" s="297"/>
      <c r="CD70" s="297"/>
      <c r="CE70" s="297"/>
      <c r="CF70" s="297"/>
      <c r="CG70" s="297"/>
      <c r="CH70" s="297"/>
      <c r="CI70" s="297"/>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7"/>
      <c r="DJ70" s="297"/>
      <c r="DK70" s="297"/>
      <c r="DL70" s="297"/>
      <c r="DM70" s="297"/>
      <c r="DN70" s="297"/>
      <c r="DO70" s="297"/>
      <c r="DP70" s="297"/>
      <c r="DQ70" s="297"/>
      <c r="DR70" s="297"/>
      <c r="DS70" s="297"/>
      <c r="DT70" s="297"/>
      <c r="DU70" s="297"/>
      <c r="DV70" s="297"/>
      <c r="DW70" s="297"/>
      <c r="DX70" s="297"/>
      <c r="DY70" s="297"/>
      <c r="DZ70" s="297"/>
      <c r="EA70" s="297"/>
      <c r="EB70" s="297"/>
      <c r="EC70" s="297"/>
      <c r="ED70" s="297"/>
      <c r="EE70" s="297"/>
      <c r="EF70" s="297"/>
    </row>
    <row r="71" spans="6:136" ht="29.25" customHeight="1" x14ac:dyDescent="0.25">
      <c r="G71" s="117"/>
      <c r="Q71" s="117"/>
    </row>
    <row r="72" spans="6:136" ht="29.25" customHeight="1" x14ac:dyDescent="0.25">
      <c r="BF72" s="291"/>
      <c r="CJ72" s="295"/>
      <c r="CK72" s="295"/>
      <c r="CL72" s="295"/>
      <c r="CM72" s="295"/>
      <c r="CN72" s="295"/>
      <c r="CO72" s="295"/>
      <c r="CP72" s="295"/>
      <c r="CQ72" s="295"/>
      <c r="CR72" s="295"/>
      <c r="CS72" s="295"/>
      <c r="CT72" s="295"/>
      <c r="CU72" s="295"/>
      <c r="CV72" s="295"/>
      <c r="CW72" s="295"/>
      <c r="CX72" s="295"/>
      <c r="CY72" s="295"/>
      <c r="CZ72" s="295"/>
      <c r="DA72" s="295"/>
      <c r="DB72" s="295"/>
      <c r="DC72" s="295"/>
      <c r="DD72" s="295"/>
      <c r="DE72" s="295"/>
      <c r="DF72" s="295"/>
      <c r="DG72" s="295"/>
      <c r="DH72" s="295"/>
    </row>
    <row r="74" spans="6:136" ht="29.25" customHeight="1" x14ac:dyDescent="0.25">
      <c r="BF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row>
  </sheetData>
  <mergeCells count="112">
    <mergeCell ref="FB31:FB37"/>
    <mergeCell ref="A10:A16"/>
    <mergeCell ref="A17:A23"/>
    <mergeCell ref="A24:A30"/>
    <mergeCell ref="A31:A37"/>
    <mergeCell ref="EW31:EW37"/>
    <mergeCell ref="EX31:EX37"/>
    <mergeCell ref="EY31:EY37"/>
    <mergeCell ref="EZ31:EZ37"/>
    <mergeCell ref="FA31:FA37"/>
    <mergeCell ref="EX24:EX30"/>
    <mergeCell ref="EY24:EY30"/>
    <mergeCell ref="EZ24:EZ30"/>
    <mergeCell ref="FA24:FA30"/>
    <mergeCell ref="FB24:FB30"/>
    <mergeCell ref="B24:B30"/>
    <mergeCell ref="C24:C30"/>
    <mergeCell ref="D24:D30"/>
    <mergeCell ref="E24:E30"/>
    <mergeCell ref="EW24:EW30"/>
    <mergeCell ref="EX17:EX23"/>
    <mergeCell ref="FB10:FB16"/>
    <mergeCell ref="B10:B16"/>
    <mergeCell ref="C10:C16"/>
    <mergeCell ref="D10:D16"/>
    <mergeCell ref="E10:E16"/>
    <mergeCell ref="EW10:EW16"/>
    <mergeCell ref="EY17:EY23"/>
    <mergeCell ref="EZ17:EZ23"/>
    <mergeCell ref="FA17:FA23"/>
    <mergeCell ref="FB17:FB23"/>
    <mergeCell ref="B17:B23"/>
    <mergeCell ref="C17:C23"/>
    <mergeCell ref="D17:D23"/>
    <mergeCell ref="E17:E23"/>
    <mergeCell ref="EW17:EW23"/>
    <mergeCell ref="G66:M66"/>
    <mergeCell ref="N66:T66"/>
    <mergeCell ref="G64:M64"/>
    <mergeCell ref="N64:T64"/>
    <mergeCell ref="U64:BE64"/>
    <mergeCell ref="G65:M65"/>
    <mergeCell ref="N65:T65"/>
    <mergeCell ref="U65:BE65"/>
    <mergeCell ref="A59:E61"/>
    <mergeCell ref="A45:A51"/>
    <mergeCell ref="A52:A58"/>
    <mergeCell ref="B52:B58"/>
    <mergeCell ref="D31:D37"/>
    <mergeCell ref="E31:E37"/>
    <mergeCell ref="C45:C51"/>
    <mergeCell ref="B45:B51"/>
    <mergeCell ref="B31:B37"/>
    <mergeCell ref="C31:C37"/>
    <mergeCell ref="D38:D44"/>
    <mergeCell ref="A38:A44"/>
    <mergeCell ref="B38:B44"/>
    <mergeCell ref="C38:C44"/>
    <mergeCell ref="E38:E44"/>
    <mergeCell ref="D45:D51"/>
    <mergeCell ref="E45:E51"/>
    <mergeCell ref="C52:C58"/>
    <mergeCell ref="D52:D58"/>
    <mergeCell ref="E52:E58"/>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ER7:ER9"/>
    <mergeCell ref="EU7:EU9"/>
    <mergeCell ref="DN8:EQ8"/>
    <mergeCell ref="CJ8:DM8"/>
    <mergeCell ref="EX7:EX9"/>
    <mergeCell ref="EV7:EV9"/>
    <mergeCell ref="EW7:EW9"/>
    <mergeCell ref="ET7:ET9"/>
    <mergeCell ref="ES7:ES9"/>
    <mergeCell ref="FA52:FA58"/>
    <mergeCell ref="EZ38:EZ44"/>
    <mergeCell ref="EW45:EW51"/>
    <mergeCell ref="EX38:EX44"/>
    <mergeCell ref="FB52:FB58"/>
    <mergeCell ref="EW38:EW44"/>
    <mergeCell ref="FB38:FB44"/>
    <mergeCell ref="FB45:FB51"/>
    <mergeCell ref="EY38:EY44"/>
    <mergeCell ref="FA45:FA51"/>
    <mergeCell ref="FA38:FA44"/>
    <mergeCell ref="EZ52:EZ58"/>
    <mergeCell ref="EY45:EY51"/>
    <mergeCell ref="EY52:EY58"/>
    <mergeCell ref="EW52:EW58"/>
    <mergeCell ref="EX52:EX58"/>
    <mergeCell ref="EX45:EX51"/>
    <mergeCell ref="EZ45:EZ51"/>
    <mergeCell ref="EX10:EX16"/>
    <mergeCell ref="EY10:EY16"/>
    <mergeCell ref="EZ10:EZ16"/>
    <mergeCell ref="FA10:FA16"/>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28"/>
  <sheetViews>
    <sheetView showGridLines="0" zoomScale="60" zoomScaleNormal="60" zoomScalePageLayoutView="75" workbookViewId="0">
      <selection activeCell="D13" sqref="D13:D14"/>
    </sheetView>
  </sheetViews>
  <sheetFormatPr baseColWidth="10" defaultColWidth="10.7109375" defaultRowHeight="33.75" customHeight="1" x14ac:dyDescent="0.25"/>
  <cols>
    <col min="1" max="1" width="11.85546875" style="7" customWidth="1"/>
    <col min="2" max="2" width="21" style="7" customWidth="1"/>
    <col min="3" max="3" width="31.140625" style="15" customWidth="1"/>
    <col min="4" max="4" width="7.140625" style="7" customWidth="1"/>
    <col min="5" max="5" width="8.42578125" style="7" customWidth="1"/>
    <col min="6" max="6" width="8" style="7" customWidth="1"/>
    <col min="7" max="13" width="7.7109375" style="7" customWidth="1"/>
    <col min="14" max="18" width="7.7109375" style="8" customWidth="1"/>
    <col min="19" max="19" width="11.5703125" style="8" customWidth="1"/>
    <col min="20" max="20" width="16.42578125" style="8" customWidth="1"/>
    <col min="21" max="21" width="14" style="8" customWidth="1"/>
    <col min="22" max="22" width="69.85546875" style="119" customWidth="1"/>
    <col min="23" max="24" width="10.7109375" style="11"/>
    <col min="25" max="16384" width="10.7109375" style="7"/>
  </cols>
  <sheetData>
    <row r="1" spans="1:31" s="464" customFormat="1" ht="33.75" customHeight="1" x14ac:dyDescent="0.25">
      <c r="A1" s="764"/>
      <c r="B1" s="765"/>
      <c r="C1" s="765"/>
      <c r="D1" s="770" t="s">
        <v>39</v>
      </c>
      <c r="E1" s="707"/>
      <c r="F1" s="707"/>
      <c r="G1" s="707"/>
      <c r="H1" s="707"/>
      <c r="I1" s="707"/>
      <c r="J1" s="707"/>
      <c r="K1" s="707"/>
      <c r="L1" s="707"/>
      <c r="M1" s="707"/>
      <c r="N1" s="707"/>
      <c r="O1" s="707"/>
      <c r="P1" s="707"/>
      <c r="Q1" s="707"/>
      <c r="R1" s="707"/>
      <c r="S1" s="707"/>
      <c r="T1" s="707"/>
      <c r="U1" s="707"/>
      <c r="V1" s="708"/>
    </row>
    <row r="2" spans="1:31" s="464" customFormat="1" ht="33.75" customHeight="1" x14ac:dyDescent="0.25">
      <c r="A2" s="766"/>
      <c r="B2" s="767"/>
      <c r="C2" s="767"/>
      <c r="D2" s="771" t="s">
        <v>348</v>
      </c>
      <c r="E2" s="772"/>
      <c r="F2" s="772"/>
      <c r="G2" s="772"/>
      <c r="H2" s="772"/>
      <c r="I2" s="772"/>
      <c r="J2" s="772"/>
      <c r="K2" s="772"/>
      <c r="L2" s="772"/>
      <c r="M2" s="772"/>
      <c r="N2" s="772"/>
      <c r="O2" s="772"/>
      <c r="P2" s="772"/>
      <c r="Q2" s="772"/>
      <c r="R2" s="772"/>
      <c r="S2" s="772"/>
      <c r="T2" s="772"/>
      <c r="U2" s="772"/>
      <c r="V2" s="773"/>
    </row>
    <row r="3" spans="1:31" s="464" customFormat="1" ht="33.75" customHeight="1" thickBot="1" x14ac:dyDescent="0.3">
      <c r="A3" s="768"/>
      <c r="B3" s="769"/>
      <c r="C3" s="769"/>
      <c r="D3" s="792" t="s">
        <v>40</v>
      </c>
      <c r="E3" s="793"/>
      <c r="F3" s="793"/>
      <c r="G3" s="793"/>
      <c r="H3" s="793"/>
      <c r="I3" s="793"/>
      <c r="J3" s="793"/>
      <c r="K3" s="793"/>
      <c r="L3" s="793"/>
      <c r="M3" s="793"/>
      <c r="N3" s="793"/>
      <c r="O3" s="793"/>
      <c r="P3" s="793"/>
      <c r="Q3" s="793"/>
      <c r="R3" s="793"/>
      <c r="S3" s="793"/>
      <c r="T3" s="793"/>
      <c r="U3" s="794"/>
      <c r="V3" s="118" t="s">
        <v>327</v>
      </c>
    </row>
    <row r="4" spans="1:31" s="9" customFormat="1" ht="33.75" customHeight="1" thickBot="1" x14ac:dyDescent="0.3">
      <c r="A4" s="787" t="s">
        <v>0</v>
      </c>
      <c r="B4" s="788"/>
      <c r="C4" s="789"/>
      <c r="D4" s="781" t="s">
        <v>412</v>
      </c>
      <c r="E4" s="782"/>
      <c r="F4" s="782"/>
      <c r="G4" s="782"/>
      <c r="H4" s="782"/>
      <c r="I4" s="782"/>
      <c r="J4" s="782"/>
      <c r="K4" s="782"/>
      <c r="L4" s="782"/>
      <c r="M4" s="782"/>
      <c r="N4" s="782"/>
      <c r="O4" s="782"/>
      <c r="P4" s="782"/>
      <c r="Q4" s="782"/>
      <c r="R4" s="782"/>
      <c r="S4" s="782"/>
      <c r="T4" s="782"/>
      <c r="U4" s="782"/>
      <c r="V4" s="783"/>
    </row>
    <row r="5" spans="1:31" s="9" customFormat="1" ht="33.75" customHeight="1" thickBot="1" x14ac:dyDescent="0.3">
      <c r="A5" s="778" t="s">
        <v>2</v>
      </c>
      <c r="B5" s="779"/>
      <c r="C5" s="780"/>
      <c r="D5" s="784" t="s">
        <v>413</v>
      </c>
      <c r="E5" s="785"/>
      <c r="F5" s="785"/>
      <c r="G5" s="785"/>
      <c r="H5" s="785"/>
      <c r="I5" s="785"/>
      <c r="J5" s="785"/>
      <c r="K5" s="785"/>
      <c r="L5" s="785"/>
      <c r="M5" s="785"/>
      <c r="N5" s="785"/>
      <c r="O5" s="785"/>
      <c r="P5" s="785"/>
      <c r="Q5" s="785"/>
      <c r="R5" s="785"/>
      <c r="S5" s="785"/>
      <c r="T5" s="785"/>
      <c r="U5" s="785"/>
      <c r="V5" s="786"/>
    </row>
    <row r="6" spans="1:31" s="9" customFormat="1" ht="33.75" customHeight="1" thickBot="1" x14ac:dyDescent="0.3">
      <c r="A6" s="795"/>
      <c r="B6" s="796"/>
      <c r="C6" s="796"/>
      <c r="D6" s="796"/>
      <c r="E6" s="796"/>
      <c r="F6" s="796"/>
      <c r="G6" s="796"/>
      <c r="H6" s="796"/>
      <c r="I6" s="796"/>
      <c r="J6" s="796"/>
      <c r="K6" s="796"/>
      <c r="L6" s="796"/>
      <c r="M6" s="796"/>
      <c r="N6" s="796"/>
      <c r="O6" s="796"/>
      <c r="P6" s="796"/>
      <c r="Q6" s="796"/>
      <c r="R6" s="796"/>
      <c r="S6" s="796"/>
      <c r="T6" s="796"/>
      <c r="U6" s="796"/>
      <c r="V6" s="797"/>
    </row>
    <row r="7" spans="1:31" s="10" customFormat="1" ht="33.75" customHeight="1" x14ac:dyDescent="0.25">
      <c r="A7" s="790" t="s">
        <v>23</v>
      </c>
      <c r="B7" s="774" t="s">
        <v>24</v>
      </c>
      <c r="C7" s="774" t="s">
        <v>69</v>
      </c>
      <c r="D7" s="776" t="s">
        <v>25</v>
      </c>
      <c r="E7" s="776"/>
      <c r="F7" s="777" t="s">
        <v>263</v>
      </c>
      <c r="G7" s="777"/>
      <c r="H7" s="777"/>
      <c r="I7" s="777"/>
      <c r="J7" s="777"/>
      <c r="K7" s="777"/>
      <c r="L7" s="777"/>
      <c r="M7" s="777"/>
      <c r="N7" s="777"/>
      <c r="O7" s="777"/>
      <c r="P7" s="777"/>
      <c r="Q7" s="777"/>
      <c r="R7" s="777"/>
      <c r="S7" s="777"/>
      <c r="T7" s="774" t="s">
        <v>29</v>
      </c>
      <c r="U7" s="774"/>
      <c r="V7" s="798" t="s">
        <v>534</v>
      </c>
    </row>
    <row r="8" spans="1:31" s="10" customFormat="1" ht="62.25" customHeight="1" thickBot="1" x14ac:dyDescent="0.3">
      <c r="A8" s="791"/>
      <c r="B8" s="775"/>
      <c r="C8" s="775"/>
      <c r="D8" s="49" t="s">
        <v>26</v>
      </c>
      <c r="E8" s="49" t="s">
        <v>27</v>
      </c>
      <c r="F8" s="49" t="s">
        <v>28</v>
      </c>
      <c r="G8" s="50" t="s">
        <v>6</v>
      </c>
      <c r="H8" s="50" t="s">
        <v>7</v>
      </c>
      <c r="I8" s="50" t="s">
        <v>8</v>
      </c>
      <c r="J8" s="50" t="s">
        <v>9</v>
      </c>
      <c r="K8" s="50" t="s">
        <v>10</v>
      </c>
      <c r="L8" s="50" t="s">
        <v>11</v>
      </c>
      <c r="M8" s="50" t="s">
        <v>12</v>
      </c>
      <c r="N8" s="50" t="s">
        <v>13</v>
      </c>
      <c r="O8" s="50" t="s">
        <v>14</v>
      </c>
      <c r="P8" s="50" t="s">
        <v>15</v>
      </c>
      <c r="Q8" s="50" t="s">
        <v>16</v>
      </c>
      <c r="R8" s="50" t="s">
        <v>17</v>
      </c>
      <c r="S8" s="445" t="s">
        <v>18</v>
      </c>
      <c r="T8" s="445" t="s">
        <v>30</v>
      </c>
      <c r="U8" s="445" t="s">
        <v>31</v>
      </c>
      <c r="V8" s="799"/>
    </row>
    <row r="9" spans="1:31" ht="33.75" customHeight="1" x14ac:dyDescent="0.25">
      <c r="A9" s="751" t="s">
        <v>399</v>
      </c>
      <c r="B9" s="757" t="s">
        <v>414</v>
      </c>
      <c r="C9" s="762" t="s">
        <v>415</v>
      </c>
      <c r="D9" s="750" t="s">
        <v>416</v>
      </c>
      <c r="E9" s="750" t="s">
        <v>416</v>
      </c>
      <c r="F9" s="465" t="s">
        <v>19</v>
      </c>
      <c r="G9" s="581">
        <v>8.3299999999999999E-2</v>
      </c>
      <c r="H9" s="581">
        <v>8.3299999999999999E-2</v>
      </c>
      <c r="I9" s="581">
        <v>8.3299999999999999E-2</v>
      </c>
      <c r="J9" s="581">
        <v>8.3299999999999999E-2</v>
      </c>
      <c r="K9" s="581">
        <v>8.3299999999999999E-2</v>
      </c>
      <c r="L9" s="581">
        <v>8.3299999999999999E-2</v>
      </c>
      <c r="M9" s="581">
        <v>8.3299999999999999E-2</v>
      </c>
      <c r="N9" s="581">
        <v>8.3299999999999999E-2</v>
      </c>
      <c r="O9" s="581">
        <v>8.3299999999999999E-2</v>
      </c>
      <c r="P9" s="581">
        <v>8.3299999999999999E-2</v>
      </c>
      <c r="Q9" s="581">
        <v>8.3299999999999999E-2</v>
      </c>
      <c r="R9" s="581">
        <v>8.3699999999999997E-2</v>
      </c>
      <c r="S9" s="466">
        <f>SUM(G9:R9)</f>
        <v>1</v>
      </c>
      <c r="T9" s="754">
        <v>0.15</v>
      </c>
      <c r="U9" s="746">
        <v>5.2499999999999998E-2</v>
      </c>
      <c r="V9" s="761" t="s">
        <v>486</v>
      </c>
    </row>
    <row r="10" spans="1:31" ht="33.75" customHeight="1" x14ac:dyDescent="0.25">
      <c r="A10" s="751"/>
      <c r="B10" s="757"/>
      <c r="C10" s="762"/>
      <c r="D10" s="750"/>
      <c r="E10" s="750"/>
      <c r="F10" s="467" t="s">
        <v>20</v>
      </c>
      <c r="G10" s="582">
        <v>7.4999999999999997E-2</v>
      </c>
      <c r="H10" s="582">
        <v>7.0000000000000007E-2</v>
      </c>
      <c r="I10" s="582">
        <v>8.3299999999999999E-2</v>
      </c>
      <c r="J10" s="582">
        <v>8.3299999999999999E-2</v>
      </c>
      <c r="K10" s="582">
        <v>0.05</v>
      </c>
      <c r="L10" s="582">
        <v>5.3999999999999999E-2</v>
      </c>
      <c r="M10" s="582"/>
      <c r="N10" s="582"/>
      <c r="O10" s="582"/>
      <c r="P10" s="582"/>
      <c r="Q10" s="582"/>
      <c r="R10" s="582"/>
      <c r="S10" s="468">
        <f>SUM(G10:R10)</f>
        <v>0.41559999999999997</v>
      </c>
      <c r="T10" s="754"/>
      <c r="U10" s="746"/>
      <c r="V10" s="761"/>
    </row>
    <row r="11" spans="1:31" ht="33.75" customHeight="1" x14ac:dyDescent="0.25">
      <c r="A11" s="751"/>
      <c r="B11" s="757"/>
      <c r="C11" s="762" t="s">
        <v>417</v>
      </c>
      <c r="D11" s="750" t="s">
        <v>416</v>
      </c>
      <c r="E11" s="750" t="s">
        <v>416</v>
      </c>
      <c r="F11" s="469" t="s">
        <v>19</v>
      </c>
      <c r="G11" s="581">
        <v>8.3299999999999999E-2</v>
      </c>
      <c r="H11" s="581">
        <v>8.3299999999999999E-2</v>
      </c>
      <c r="I11" s="581">
        <v>8.3299999999999999E-2</v>
      </c>
      <c r="J11" s="581">
        <v>8.3299999999999999E-2</v>
      </c>
      <c r="K11" s="581">
        <v>8.3299999999999999E-2</v>
      </c>
      <c r="L11" s="581">
        <v>8.3299999999999999E-2</v>
      </c>
      <c r="M11" s="581">
        <v>8.3299999999999999E-2</v>
      </c>
      <c r="N11" s="581">
        <v>8.3299999999999999E-2</v>
      </c>
      <c r="O11" s="581">
        <v>8.3299999999999999E-2</v>
      </c>
      <c r="P11" s="581">
        <v>8.3299999999999999E-2</v>
      </c>
      <c r="Q11" s="581">
        <v>8.3299999999999999E-2</v>
      </c>
      <c r="R11" s="581">
        <v>8.3699999999999997E-2</v>
      </c>
      <c r="S11" s="466">
        <f t="shared" ref="S11:S68" si="0">SUM(G11:R11)</f>
        <v>1</v>
      </c>
      <c r="T11" s="754"/>
      <c r="U11" s="746">
        <v>0.03</v>
      </c>
      <c r="V11" s="753" t="s">
        <v>487</v>
      </c>
    </row>
    <row r="12" spans="1:31" ht="33.75" customHeight="1" x14ac:dyDescent="0.25">
      <c r="A12" s="751"/>
      <c r="B12" s="757"/>
      <c r="C12" s="762"/>
      <c r="D12" s="750"/>
      <c r="E12" s="750"/>
      <c r="F12" s="470" t="s">
        <v>20</v>
      </c>
      <c r="G12" s="582">
        <v>8.3299999999999999E-2</v>
      </c>
      <c r="H12" s="582">
        <v>0.05</v>
      </c>
      <c r="I12" s="582">
        <v>8.3299999999999999E-2</v>
      </c>
      <c r="J12" s="582">
        <v>8.3299999999999999E-2</v>
      </c>
      <c r="K12" s="582">
        <v>8.3299999999999999E-2</v>
      </c>
      <c r="L12" s="582">
        <v>8.3299999999999999E-2</v>
      </c>
      <c r="M12" s="582"/>
      <c r="N12" s="582"/>
      <c r="O12" s="582"/>
      <c r="P12" s="582"/>
      <c r="Q12" s="582"/>
      <c r="R12" s="582"/>
      <c r="S12" s="468">
        <f t="shared" si="0"/>
        <v>0.46649999999999997</v>
      </c>
      <c r="T12" s="754"/>
      <c r="U12" s="746"/>
      <c r="V12" s="753"/>
      <c r="Y12" s="11"/>
      <c r="Z12" s="11"/>
      <c r="AA12" s="11"/>
      <c r="AB12" s="11"/>
      <c r="AC12" s="11"/>
      <c r="AD12" s="11"/>
      <c r="AE12" s="11"/>
    </row>
    <row r="13" spans="1:31" ht="33.75" customHeight="1" x14ac:dyDescent="0.25">
      <c r="A13" s="751"/>
      <c r="B13" s="757"/>
      <c r="C13" s="762" t="s">
        <v>418</v>
      </c>
      <c r="D13" s="750" t="s">
        <v>416</v>
      </c>
      <c r="E13" s="750" t="s">
        <v>416</v>
      </c>
      <c r="F13" s="469" t="s">
        <v>19</v>
      </c>
      <c r="G13" s="581">
        <v>5.8799999999999998E-2</v>
      </c>
      <c r="H13" s="581">
        <v>5.8799999999999998E-2</v>
      </c>
      <c r="I13" s="581">
        <v>0.1176</v>
      </c>
      <c r="J13" s="581">
        <v>5.8799999999999998E-2</v>
      </c>
      <c r="K13" s="581">
        <v>5.8799999999999998E-2</v>
      </c>
      <c r="L13" s="581">
        <v>0.1764</v>
      </c>
      <c r="M13" s="581">
        <v>5.8799999999999998E-2</v>
      </c>
      <c r="N13" s="581">
        <v>5.8799999999999998E-2</v>
      </c>
      <c r="O13" s="581">
        <v>0.1176</v>
      </c>
      <c r="P13" s="581">
        <v>5.8799999999999998E-2</v>
      </c>
      <c r="Q13" s="581">
        <v>5.8799999999999998E-2</v>
      </c>
      <c r="R13" s="581">
        <v>0.11799999999999999</v>
      </c>
      <c r="S13" s="466">
        <f t="shared" si="0"/>
        <v>0.99999999999999989</v>
      </c>
      <c r="T13" s="754"/>
      <c r="U13" s="746">
        <v>0.03</v>
      </c>
      <c r="V13" s="758" t="s">
        <v>488</v>
      </c>
      <c r="Y13" s="11"/>
      <c r="Z13" s="11"/>
      <c r="AA13" s="11"/>
      <c r="AB13" s="11"/>
      <c r="AC13" s="11"/>
      <c r="AD13" s="11"/>
      <c r="AE13" s="11"/>
    </row>
    <row r="14" spans="1:31" ht="33.75" customHeight="1" x14ac:dyDescent="0.25">
      <c r="A14" s="751"/>
      <c r="B14" s="757"/>
      <c r="C14" s="762"/>
      <c r="D14" s="750"/>
      <c r="E14" s="750"/>
      <c r="F14" s="470" t="s">
        <v>20</v>
      </c>
      <c r="G14" s="582">
        <v>2.9000000000000001E-2</v>
      </c>
      <c r="H14" s="582">
        <v>2.9000000000000001E-2</v>
      </c>
      <c r="I14" s="582">
        <v>0.12939999999999999</v>
      </c>
      <c r="J14" s="582">
        <v>4.7E-2</v>
      </c>
      <c r="K14" s="582">
        <v>5.8799999999999998E-2</v>
      </c>
      <c r="L14" s="582">
        <v>0.1764</v>
      </c>
      <c r="M14" s="582"/>
      <c r="N14" s="582"/>
      <c r="O14" s="582"/>
      <c r="P14" s="582"/>
      <c r="Q14" s="582"/>
      <c r="R14" s="582"/>
      <c r="S14" s="468">
        <f t="shared" si="0"/>
        <v>0.46960000000000002</v>
      </c>
      <c r="T14" s="754"/>
      <c r="U14" s="746"/>
      <c r="V14" s="758"/>
      <c r="Y14" s="11"/>
      <c r="Z14" s="11"/>
      <c r="AA14" s="11"/>
      <c r="AB14" s="11"/>
      <c r="AC14" s="11"/>
      <c r="AD14" s="11"/>
      <c r="AE14" s="11"/>
    </row>
    <row r="15" spans="1:31" ht="33.75" customHeight="1" x14ac:dyDescent="0.25">
      <c r="A15" s="751"/>
      <c r="B15" s="757"/>
      <c r="C15" s="762" t="s">
        <v>419</v>
      </c>
      <c r="D15" s="750" t="s">
        <v>416</v>
      </c>
      <c r="E15" s="750" t="s">
        <v>416</v>
      </c>
      <c r="F15" s="469" t="s">
        <v>19</v>
      </c>
      <c r="G15" s="581">
        <v>0</v>
      </c>
      <c r="H15" s="581">
        <v>0</v>
      </c>
      <c r="I15" s="581">
        <v>0.25</v>
      </c>
      <c r="J15" s="581">
        <v>0</v>
      </c>
      <c r="K15" s="581">
        <v>0</v>
      </c>
      <c r="L15" s="581">
        <v>0.25</v>
      </c>
      <c r="M15" s="581">
        <v>0</v>
      </c>
      <c r="N15" s="581">
        <v>0</v>
      </c>
      <c r="O15" s="581">
        <v>0.25</v>
      </c>
      <c r="P15" s="581">
        <v>0</v>
      </c>
      <c r="Q15" s="581">
        <v>0</v>
      </c>
      <c r="R15" s="581">
        <v>0.25</v>
      </c>
      <c r="S15" s="466">
        <f t="shared" si="0"/>
        <v>1</v>
      </c>
      <c r="T15" s="754"/>
      <c r="U15" s="746">
        <v>2.2499999999999999E-2</v>
      </c>
      <c r="V15" s="758" t="s">
        <v>489</v>
      </c>
    </row>
    <row r="16" spans="1:31" ht="33.75" customHeight="1" x14ac:dyDescent="0.25">
      <c r="A16" s="751"/>
      <c r="B16" s="757"/>
      <c r="C16" s="762"/>
      <c r="D16" s="750"/>
      <c r="E16" s="750"/>
      <c r="F16" s="470" t="s">
        <v>20</v>
      </c>
      <c r="G16" s="582">
        <v>0</v>
      </c>
      <c r="H16" s="582">
        <v>0</v>
      </c>
      <c r="I16" s="582">
        <v>0.25</v>
      </c>
      <c r="J16" s="582">
        <v>0</v>
      </c>
      <c r="K16" s="582">
        <v>0</v>
      </c>
      <c r="L16" s="582">
        <v>0.25</v>
      </c>
      <c r="M16" s="582"/>
      <c r="N16" s="582"/>
      <c r="O16" s="582"/>
      <c r="P16" s="582"/>
      <c r="Q16" s="582"/>
      <c r="R16" s="582"/>
      <c r="S16" s="471">
        <f t="shared" si="0"/>
        <v>0.5</v>
      </c>
      <c r="T16" s="754"/>
      <c r="U16" s="746"/>
      <c r="V16" s="758"/>
    </row>
    <row r="17" spans="1:22" ht="33.75" customHeight="1" x14ac:dyDescent="0.25">
      <c r="A17" s="751"/>
      <c r="B17" s="757"/>
      <c r="C17" s="758" t="s">
        <v>420</v>
      </c>
      <c r="D17" s="750" t="s">
        <v>416</v>
      </c>
      <c r="E17" s="750" t="s">
        <v>416</v>
      </c>
      <c r="F17" s="469" t="s">
        <v>19</v>
      </c>
      <c r="G17" s="581">
        <v>0</v>
      </c>
      <c r="H17" s="581">
        <v>0</v>
      </c>
      <c r="I17" s="581">
        <v>0.25</v>
      </c>
      <c r="J17" s="581">
        <v>0</v>
      </c>
      <c r="K17" s="581">
        <v>0</v>
      </c>
      <c r="L17" s="581">
        <v>0.25</v>
      </c>
      <c r="M17" s="581">
        <v>0</v>
      </c>
      <c r="N17" s="581">
        <v>0</v>
      </c>
      <c r="O17" s="581">
        <v>0.25</v>
      </c>
      <c r="P17" s="581">
        <v>0</v>
      </c>
      <c r="Q17" s="581">
        <v>0</v>
      </c>
      <c r="R17" s="581">
        <v>0.25</v>
      </c>
      <c r="S17" s="466">
        <f t="shared" si="0"/>
        <v>1</v>
      </c>
      <c r="T17" s="754"/>
      <c r="U17" s="746">
        <v>7.4999999999999997E-3</v>
      </c>
      <c r="V17" s="758" t="s">
        <v>490</v>
      </c>
    </row>
    <row r="18" spans="1:22" ht="33.75" customHeight="1" x14ac:dyDescent="0.25">
      <c r="A18" s="751"/>
      <c r="B18" s="757"/>
      <c r="C18" s="758"/>
      <c r="D18" s="750"/>
      <c r="E18" s="750"/>
      <c r="F18" s="470" t="s">
        <v>20</v>
      </c>
      <c r="G18" s="582">
        <v>0</v>
      </c>
      <c r="H18" s="582">
        <v>0</v>
      </c>
      <c r="I18" s="582">
        <v>0.25</v>
      </c>
      <c r="J18" s="582">
        <v>0</v>
      </c>
      <c r="K18" s="582">
        <v>0</v>
      </c>
      <c r="L18" s="582">
        <v>0.25</v>
      </c>
      <c r="M18" s="582"/>
      <c r="N18" s="582"/>
      <c r="O18" s="582"/>
      <c r="P18" s="582"/>
      <c r="Q18" s="582"/>
      <c r="R18" s="582"/>
      <c r="S18" s="471">
        <f t="shared" si="0"/>
        <v>0.5</v>
      </c>
      <c r="T18" s="754"/>
      <c r="U18" s="746"/>
      <c r="V18" s="758"/>
    </row>
    <row r="19" spans="1:22" ht="33.75" customHeight="1" x14ac:dyDescent="0.25">
      <c r="A19" s="751"/>
      <c r="B19" s="757"/>
      <c r="C19" s="753" t="s">
        <v>421</v>
      </c>
      <c r="D19" s="750" t="s">
        <v>416</v>
      </c>
      <c r="E19" s="750" t="s">
        <v>416</v>
      </c>
      <c r="F19" s="469" t="s">
        <v>19</v>
      </c>
      <c r="G19" s="581">
        <v>8.3299999999999999E-2</v>
      </c>
      <c r="H19" s="581">
        <v>8.3299999999999999E-2</v>
      </c>
      <c r="I19" s="581">
        <v>8.3299999999999999E-2</v>
      </c>
      <c r="J19" s="581">
        <v>8.3299999999999999E-2</v>
      </c>
      <c r="K19" s="581">
        <v>8.3299999999999999E-2</v>
      </c>
      <c r="L19" s="581">
        <v>8.3299999999999999E-2</v>
      </c>
      <c r="M19" s="581">
        <v>8.3299999999999999E-2</v>
      </c>
      <c r="N19" s="581">
        <v>8.3299999999999999E-2</v>
      </c>
      <c r="O19" s="581">
        <v>8.3299999999999999E-2</v>
      </c>
      <c r="P19" s="581">
        <v>8.3299999999999999E-2</v>
      </c>
      <c r="Q19" s="581">
        <v>8.3299999999999999E-2</v>
      </c>
      <c r="R19" s="581">
        <v>8.3699999999999997E-2</v>
      </c>
      <c r="S19" s="466">
        <f t="shared" si="0"/>
        <v>1</v>
      </c>
      <c r="T19" s="754"/>
      <c r="U19" s="746">
        <v>7.4999999999999997E-3</v>
      </c>
      <c r="V19" s="755" t="s">
        <v>491</v>
      </c>
    </row>
    <row r="20" spans="1:22" ht="33.75" customHeight="1" x14ac:dyDescent="0.25">
      <c r="A20" s="751"/>
      <c r="B20" s="757"/>
      <c r="C20" s="753"/>
      <c r="D20" s="750"/>
      <c r="E20" s="750"/>
      <c r="F20" s="470" t="s">
        <v>20</v>
      </c>
      <c r="G20" s="582">
        <v>8.3000000000000004E-2</v>
      </c>
      <c r="H20" s="582">
        <v>8.3299999999999999E-2</v>
      </c>
      <c r="I20" s="582">
        <v>8.3330000000000001E-2</v>
      </c>
      <c r="J20" s="582">
        <v>8.3299999999999999E-2</v>
      </c>
      <c r="K20" s="582">
        <v>8.3299999999999999E-2</v>
      </c>
      <c r="L20" s="582">
        <v>8.3299999999999999E-2</v>
      </c>
      <c r="M20" s="582"/>
      <c r="N20" s="582"/>
      <c r="O20" s="582"/>
      <c r="P20" s="582"/>
      <c r="Q20" s="582"/>
      <c r="R20" s="582"/>
      <c r="S20" s="468">
        <f t="shared" si="0"/>
        <v>0.49952999999999997</v>
      </c>
      <c r="T20" s="754"/>
      <c r="U20" s="746"/>
      <c r="V20" s="756"/>
    </row>
    <row r="21" spans="1:22" ht="33.75" customHeight="1" x14ac:dyDescent="0.25">
      <c r="A21" s="760" t="s">
        <v>399</v>
      </c>
      <c r="B21" s="752" t="s">
        <v>492</v>
      </c>
      <c r="C21" s="757" t="s">
        <v>422</v>
      </c>
      <c r="D21" s="750" t="s">
        <v>416</v>
      </c>
      <c r="E21" s="750" t="s">
        <v>416</v>
      </c>
      <c r="F21" s="469" t="s">
        <v>19</v>
      </c>
      <c r="G21" s="581">
        <v>2.5000000000000001E-2</v>
      </c>
      <c r="H21" s="581">
        <v>2.5000000000000001E-2</v>
      </c>
      <c r="I21" s="581">
        <v>0.1</v>
      </c>
      <c r="J21" s="581">
        <v>0.1</v>
      </c>
      <c r="K21" s="581">
        <v>0.125</v>
      </c>
      <c r="L21" s="581">
        <v>0.125</v>
      </c>
      <c r="M21" s="581">
        <v>2.5000000000000001E-2</v>
      </c>
      <c r="N21" s="581">
        <v>2.5000000000000001E-2</v>
      </c>
      <c r="O21" s="581">
        <v>0.1</v>
      </c>
      <c r="P21" s="581">
        <v>0.1</v>
      </c>
      <c r="Q21" s="581">
        <v>0.125</v>
      </c>
      <c r="R21" s="581">
        <v>0.125</v>
      </c>
      <c r="S21" s="466">
        <f t="shared" si="0"/>
        <v>1</v>
      </c>
      <c r="T21" s="754">
        <v>0.15</v>
      </c>
      <c r="U21" s="746">
        <v>0.05</v>
      </c>
      <c r="V21" s="747" t="s">
        <v>494</v>
      </c>
    </row>
    <row r="22" spans="1:22" ht="33.75" customHeight="1" x14ac:dyDescent="0.25">
      <c r="A22" s="760"/>
      <c r="B22" s="752"/>
      <c r="C22" s="757"/>
      <c r="D22" s="750"/>
      <c r="E22" s="750"/>
      <c r="F22" s="470" t="s">
        <v>20</v>
      </c>
      <c r="G22" s="582">
        <v>2.5000000000000001E-2</v>
      </c>
      <c r="H22" s="582">
        <v>2.5000000000000001E-2</v>
      </c>
      <c r="I22" s="582">
        <v>0.1</v>
      </c>
      <c r="J22" s="582">
        <v>0.1</v>
      </c>
      <c r="K22" s="582">
        <v>0.125</v>
      </c>
      <c r="L22" s="582">
        <v>0.125</v>
      </c>
      <c r="M22" s="582"/>
      <c r="N22" s="582"/>
      <c r="O22" s="582"/>
      <c r="P22" s="582"/>
      <c r="Q22" s="582"/>
      <c r="R22" s="582"/>
      <c r="S22" s="471">
        <f t="shared" si="0"/>
        <v>0.5</v>
      </c>
      <c r="T22" s="754"/>
      <c r="U22" s="746"/>
      <c r="V22" s="747"/>
    </row>
    <row r="23" spans="1:22" ht="33.75" customHeight="1" x14ac:dyDescent="0.25">
      <c r="A23" s="760"/>
      <c r="B23" s="752"/>
      <c r="C23" s="757" t="s">
        <v>423</v>
      </c>
      <c r="D23" s="763" t="s">
        <v>416</v>
      </c>
      <c r="E23" s="750" t="s">
        <v>416</v>
      </c>
      <c r="F23" s="469" t="s">
        <v>19</v>
      </c>
      <c r="G23" s="581">
        <v>2.5000000000000001E-2</v>
      </c>
      <c r="H23" s="581">
        <v>2.5000000000000001E-2</v>
      </c>
      <c r="I23" s="581">
        <v>0.1</v>
      </c>
      <c r="J23" s="581">
        <v>0.1</v>
      </c>
      <c r="K23" s="581">
        <v>0.125</v>
      </c>
      <c r="L23" s="581">
        <v>0.125</v>
      </c>
      <c r="M23" s="581">
        <v>2.5000000000000001E-2</v>
      </c>
      <c r="N23" s="581">
        <v>2.5000000000000001E-2</v>
      </c>
      <c r="O23" s="581">
        <v>0.1</v>
      </c>
      <c r="P23" s="581">
        <v>0.1</v>
      </c>
      <c r="Q23" s="581">
        <v>0.125</v>
      </c>
      <c r="R23" s="581">
        <v>0.125</v>
      </c>
      <c r="S23" s="466">
        <f t="shared" si="0"/>
        <v>1</v>
      </c>
      <c r="T23" s="754"/>
      <c r="U23" s="746">
        <v>0.05</v>
      </c>
      <c r="V23" s="755" t="s">
        <v>495</v>
      </c>
    </row>
    <row r="24" spans="1:22" ht="33.75" customHeight="1" x14ac:dyDescent="0.25">
      <c r="A24" s="760"/>
      <c r="B24" s="752"/>
      <c r="C24" s="757"/>
      <c r="D24" s="763"/>
      <c r="E24" s="750"/>
      <c r="F24" s="470" t="s">
        <v>20</v>
      </c>
      <c r="G24" s="582">
        <v>2.5000000000000001E-2</v>
      </c>
      <c r="H24" s="582">
        <v>2.5000000000000001E-2</v>
      </c>
      <c r="I24" s="582">
        <v>0.1</v>
      </c>
      <c r="J24" s="582">
        <v>0.1</v>
      </c>
      <c r="K24" s="582">
        <v>0.125</v>
      </c>
      <c r="L24" s="582">
        <v>0.125</v>
      </c>
      <c r="M24" s="582"/>
      <c r="N24" s="582"/>
      <c r="O24" s="582"/>
      <c r="P24" s="582"/>
      <c r="Q24" s="582"/>
      <c r="R24" s="582"/>
      <c r="S24" s="471">
        <f t="shared" si="0"/>
        <v>0.5</v>
      </c>
      <c r="T24" s="754"/>
      <c r="U24" s="746"/>
      <c r="V24" s="756"/>
    </row>
    <row r="25" spans="1:22" ht="33.75" customHeight="1" x14ac:dyDescent="0.25">
      <c r="A25" s="760"/>
      <c r="B25" s="752"/>
      <c r="C25" s="757" t="s">
        <v>424</v>
      </c>
      <c r="D25" s="750" t="s">
        <v>416</v>
      </c>
      <c r="E25" s="750" t="s">
        <v>416</v>
      </c>
      <c r="F25" s="469" t="s">
        <v>19</v>
      </c>
      <c r="G25" s="581">
        <v>2.5000000000000001E-2</v>
      </c>
      <c r="H25" s="581">
        <v>2.5000000000000001E-2</v>
      </c>
      <c r="I25" s="581">
        <v>0.1</v>
      </c>
      <c r="J25" s="581">
        <v>0.1</v>
      </c>
      <c r="K25" s="581">
        <v>0.125</v>
      </c>
      <c r="L25" s="581">
        <v>0.125</v>
      </c>
      <c r="M25" s="581">
        <v>2.5000000000000001E-2</v>
      </c>
      <c r="N25" s="581">
        <v>2.5000000000000001E-2</v>
      </c>
      <c r="O25" s="581">
        <v>0.1</v>
      </c>
      <c r="P25" s="581">
        <v>0.1</v>
      </c>
      <c r="Q25" s="581">
        <v>0.125</v>
      </c>
      <c r="R25" s="581">
        <v>0.125</v>
      </c>
      <c r="S25" s="466">
        <f t="shared" si="0"/>
        <v>1</v>
      </c>
      <c r="T25" s="754"/>
      <c r="U25" s="746">
        <v>0.05</v>
      </c>
      <c r="V25" s="747" t="s">
        <v>496</v>
      </c>
    </row>
    <row r="26" spans="1:22" ht="33.75" customHeight="1" x14ac:dyDescent="0.25">
      <c r="A26" s="760"/>
      <c r="B26" s="752"/>
      <c r="C26" s="757"/>
      <c r="D26" s="750"/>
      <c r="E26" s="750"/>
      <c r="F26" s="470" t="s">
        <v>20</v>
      </c>
      <c r="G26" s="582">
        <v>2.5000000000000001E-2</v>
      </c>
      <c r="H26" s="582">
        <v>2.5000000000000001E-2</v>
      </c>
      <c r="I26" s="582">
        <v>0.1</v>
      </c>
      <c r="J26" s="582">
        <v>0</v>
      </c>
      <c r="K26" s="582">
        <v>0.125</v>
      </c>
      <c r="L26" s="582">
        <v>0.125</v>
      </c>
      <c r="M26" s="582"/>
      <c r="N26" s="582"/>
      <c r="O26" s="582"/>
      <c r="P26" s="582"/>
      <c r="Q26" s="582"/>
      <c r="R26" s="582"/>
      <c r="S26" s="471">
        <f t="shared" si="0"/>
        <v>0.4</v>
      </c>
      <c r="T26" s="754"/>
      <c r="U26" s="746"/>
      <c r="V26" s="748"/>
    </row>
    <row r="27" spans="1:22" ht="33.75" customHeight="1" x14ac:dyDescent="0.25">
      <c r="A27" s="751" t="s">
        <v>399</v>
      </c>
      <c r="B27" s="752" t="s">
        <v>478</v>
      </c>
      <c r="C27" s="757" t="s">
        <v>425</v>
      </c>
      <c r="D27" s="750" t="s">
        <v>416</v>
      </c>
      <c r="E27" s="750" t="s">
        <v>416</v>
      </c>
      <c r="F27" s="469" t="s">
        <v>19</v>
      </c>
      <c r="G27" s="581">
        <v>0.05</v>
      </c>
      <c r="H27" s="581">
        <v>0.05</v>
      </c>
      <c r="I27" s="581">
        <v>0.1</v>
      </c>
      <c r="J27" s="581">
        <v>0.1</v>
      </c>
      <c r="K27" s="581">
        <v>0.1</v>
      </c>
      <c r="L27" s="581">
        <v>0.1</v>
      </c>
      <c r="M27" s="581">
        <v>0.1</v>
      </c>
      <c r="N27" s="581">
        <v>0.1</v>
      </c>
      <c r="O27" s="581">
        <v>0.1</v>
      </c>
      <c r="P27" s="581">
        <v>0.1</v>
      </c>
      <c r="Q27" s="581">
        <v>0.05</v>
      </c>
      <c r="R27" s="581">
        <v>0.05</v>
      </c>
      <c r="S27" s="466">
        <f t="shared" si="0"/>
        <v>1</v>
      </c>
      <c r="T27" s="754">
        <v>0.15</v>
      </c>
      <c r="U27" s="746">
        <v>4.4999999999999998E-2</v>
      </c>
      <c r="V27" s="759" t="s">
        <v>498</v>
      </c>
    </row>
    <row r="28" spans="1:22" ht="33.75" customHeight="1" x14ac:dyDescent="0.25">
      <c r="A28" s="751"/>
      <c r="B28" s="752"/>
      <c r="C28" s="757"/>
      <c r="D28" s="750"/>
      <c r="E28" s="750"/>
      <c r="F28" s="470" t="s">
        <v>20</v>
      </c>
      <c r="G28" s="582">
        <v>0.04</v>
      </c>
      <c r="H28" s="582">
        <v>2.1499999999999998E-2</v>
      </c>
      <c r="I28" s="582">
        <v>5.7299999999999997E-2</v>
      </c>
      <c r="J28" s="582">
        <v>5.5500000000000001E-2</v>
      </c>
      <c r="K28" s="582">
        <v>8.3299999999999999E-2</v>
      </c>
      <c r="L28" s="582">
        <v>0.29859999999999998</v>
      </c>
      <c r="M28" s="582"/>
      <c r="N28" s="582"/>
      <c r="O28" s="582"/>
      <c r="P28" s="582"/>
      <c r="Q28" s="582"/>
      <c r="R28" s="582"/>
      <c r="S28" s="468">
        <f t="shared" si="0"/>
        <v>0.55620000000000003</v>
      </c>
      <c r="T28" s="754"/>
      <c r="U28" s="746"/>
      <c r="V28" s="759"/>
    </row>
    <row r="29" spans="1:22" ht="33.75" customHeight="1" x14ac:dyDescent="0.25">
      <c r="A29" s="751"/>
      <c r="B29" s="752"/>
      <c r="C29" s="753" t="s">
        <v>426</v>
      </c>
      <c r="D29" s="750" t="s">
        <v>416</v>
      </c>
      <c r="E29" s="750" t="s">
        <v>416</v>
      </c>
      <c r="F29" s="469" t="s">
        <v>19</v>
      </c>
      <c r="G29" s="581">
        <v>8.3299999999999999E-2</v>
      </c>
      <c r="H29" s="581">
        <v>8.3299999999999999E-2</v>
      </c>
      <c r="I29" s="581">
        <v>8.3299999999999999E-2</v>
      </c>
      <c r="J29" s="581">
        <v>8.3299999999999999E-2</v>
      </c>
      <c r="K29" s="581">
        <v>8.3299999999999999E-2</v>
      </c>
      <c r="L29" s="581">
        <v>8.3299999999999999E-2</v>
      </c>
      <c r="M29" s="581">
        <v>8.3299999999999999E-2</v>
      </c>
      <c r="N29" s="581">
        <v>8.3299999999999999E-2</v>
      </c>
      <c r="O29" s="581">
        <v>8.3299999999999999E-2</v>
      </c>
      <c r="P29" s="581">
        <v>8.3299999999999999E-2</v>
      </c>
      <c r="Q29" s="581">
        <v>8.3299999999999999E-2</v>
      </c>
      <c r="R29" s="581">
        <v>8.3699999999999997E-2</v>
      </c>
      <c r="S29" s="466">
        <f t="shared" si="0"/>
        <v>1</v>
      </c>
      <c r="T29" s="754"/>
      <c r="U29" s="746">
        <v>0.03</v>
      </c>
      <c r="V29" s="747" t="s">
        <v>499</v>
      </c>
    </row>
    <row r="30" spans="1:22" ht="33.75" customHeight="1" x14ac:dyDescent="0.25">
      <c r="A30" s="751"/>
      <c r="B30" s="752"/>
      <c r="C30" s="753"/>
      <c r="D30" s="750"/>
      <c r="E30" s="750"/>
      <c r="F30" s="470" t="s">
        <v>20</v>
      </c>
      <c r="G30" s="582">
        <v>8.3299999999999999E-2</v>
      </c>
      <c r="H30" s="582">
        <v>8.3299999999999999E-2</v>
      </c>
      <c r="I30" s="582">
        <v>8.3299999999999999E-2</v>
      </c>
      <c r="J30" s="582">
        <v>8.3299999999999999E-2</v>
      </c>
      <c r="K30" s="582">
        <v>8.3299999999999999E-2</v>
      </c>
      <c r="L30" s="582">
        <v>8.3299999999999999E-2</v>
      </c>
      <c r="M30" s="582"/>
      <c r="N30" s="582"/>
      <c r="O30" s="582"/>
      <c r="P30" s="582"/>
      <c r="Q30" s="582"/>
      <c r="R30" s="582"/>
      <c r="S30" s="468">
        <f t="shared" si="0"/>
        <v>0.49979999999999997</v>
      </c>
      <c r="T30" s="754"/>
      <c r="U30" s="746"/>
      <c r="V30" s="748"/>
    </row>
    <row r="31" spans="1:22" ht="33.75" customHeight="1" x14ac:dyDescent="0.25">
      <c r="A31" s="751"/>
      <c r="B31" s="752"/>
      <c r="C31" s="753" t="s">
        <v>427</v>
      </c>
      <c r="D31" s="750" t="s">
        <v>416</v>
      </c>
      <c r="E31" s="750" t="s">
        <v>416</v>
      </c>
      <c r="F31" s="469" t="s">
        <v>19</v>
      </c>
      <c r="G31" s="581">
        <v>6.4732142857142863E-2</v>
      </c>
      <c r="H31" s="581">
        <v>8.7053571428571425E-2</v>
      </c>
      <c r="I31" s="581">
        <v>8.7053571428571425E-2</v>
      </c>
      <c r="J31" s="581">
        <v>8.7099999999999997E-2</v>
      </c>
      <c r="K31" s="581">
        <v>8.7099999999999997E-2</v>
      </c>
      <c r="L31" s="581">
        <v>8.7099999999999997E-2</v>
      </c>
      <c r="M31" s="581">
        <v>8.7099999999999997E-2</v>
      </c>
      <c r="N31" s="581">
        <v>8.7099999999999997E-2</v>
      </c>
      <c r="O31" s="581">
        <v>8.7099999999999997E-2</v>
      </c>
      <c r="P31" s="581">
        <v>8.7099999999999997E-2</v>
      </c>
      <c r="Q31" s="581">
        <v>8.7099999999999997E-2</v>
      </c>
      <c r="R31" s="581">
        <v>6.4299999999999996E-2</v>
      </c>
      <c r="S31" s="466">
        <f t="shared" si="0"/>
        <v>0.99993928571428548</v>
      </c>
      <c r="T31" s="754"/>
      <c r="U31" s="746">
        <v>4.4999999999999998E-2</v>
      </c>
      <c r="V31" s="806" t="s">
        <v>500</v>
      </c>
    </row>
    <row r="32" spans="1:22" ht="33.75" customHeight="1" x14ac:dyDescent="0.25">
      <c r="A32" s="751"/>
      <c r="B32" s="752"/>
      <c r="C32" s="753"/>
      <c r="D32" s="750"/>
      <c r="E32" s="750"/>
      <c r="F32" s="470" t="s">
        <v>20</v>
      </c>
      <c r="G32" s="582">
        <v>6.4699999999999994E-2</v>
      </c>
      <c r="H32" s="582">
        <v>6.88E-2</v>
      </c>
      <c r="I32" s="582">
        <v>2.41E-2</v>
      </c>
      <c r="J32" s="582">
        <v>0.08</v>
      </c>
      <c r="K32" s="582">
        <v>6.0699999999999997E-2</v>
      </c>
      <c r="L32" s="582">
        <v>0.1047</v>
      </c>
      <c r="M32" s="582"/>
      <c r="N32" s="582"/>
      <c r="O32" s="582"/>
      <c r="P32" s="582"/>
      <c r="Q32" s="582"/>
      <c r="R32" s="582"/>
      <c r="S32" s="468">
        <f t="shared" si="0"/>
        <v>0.40300000000000002</v>
      </c>
      <c r="T32" s="754"/>
      <c r="U32" s="746"/>
      <c r="V32" s="807"/>
    </row>
    <row r="33" spans="1:22" ht="33.75" customHeight="1" x14ac:dyDescent="0.25">
      <c r="A33" s="751"/>
      <c r="B33" s="752"/>
      <c r="C33" s="753" t="s">
        <v>428</v>
      </c>
      <c r="D33" s="750" t="s">
        <v>416</v>
      </c>
      <c r="E33" s="750" t="s">
        <v>416</v>
      </c>
      <c r="F33" s="469" t="s">
        <v>19</v>
      </c>
      <c r="G33" s="581">
        <v>4.2857142857142858E-2</v>
      </c>
      <c r="H33" s="581">
        <v>4.2857142857142858E-2</v>
      </c>
      <c r="I33" s="581">
        <v>5.7142857142857141E-2</v>
      </c>
      <c r="J33" s="581">
        <v>7.1428571428571425E-2</v>
      </c>
      <c r="K33" s="581">
        <v>0.1</v>
      </c>
      <c r="L33" s="581">
        <v>0.1</v>
      </c>
      <c r="M33" s="581">
        <v>0.1</v>
      </c>
      <c r="N33" s="581">
        <v>0.1</v>
      </c>
      <c r="O33" s="581">
        <v>0.1</v>
      </c>
      <c r="P33" s="581">
        <v>0.1</v>
      </c>
      <c r="Q33" s="581">
        <v>0.1</v>
      </c>
      <c r="R33" s="581">
        <v>8.5714285714285715E-2</v>
      </c>
      <c r="S33" s="466">
        <f t="shared" si="0"/>
        <v>0.99999999999999989</v>
      </c>
      <c r="T33" s="754"/>
      <c r="U33" s="746">
        <v>1.4999999999999999E-2</v>
      </c>
      <c r="V33" s="747" t="s">
        <v>501</v>
      </c>
    </row>
    <row r="34" spans="1:22" ht="33.75" customHeight="1" x14ac:dyDescent="0.25">
      <c r="A34" s="751"/>
      <c r="B34" s="752"/>
      <c r="C34" s="753"/>
      <c r="D34" s="750"/>
      <c r="E34" s="750"/>
      <c r="F34" s="470" t="s">
        <v>20</v>
      </c>
      <c r="G34" s="582">
        <v>2.86E-2</v>
      </c>
      <c r="H34" s="582">
        <v>1.43E-2</v>
      </c>
      <c r="I34" s="582">
        <v>1.43E-2</v>
      </c>
      <c r="J34" s="582">
        <v>9.9900000000000003E-2</v>
      </c>
      <c r="K34" s="582">
        <v>8.5699999999999998E-2</v>
      </c>
      <c r="L34" s="582">
        <v>7.1400000000000005E-2</v>
      </c>
      <c r="M34" s="582"/>
      <c r="N34" s="582"/>
      <c r="O34" s="582"/>
      <c r="P34" s="582"/>
      <c r="Q34" s="582"/>
      <c r="R34" s="582"/>
      <c r="S34" s="468">
        <f t="shared" si="0"/>
        <v>0.31420000000000003</v>
      </c>
      <c r="T34" s="754"/>
      <c r="U34" s="746"/>
      <c r="V34" s="747"/>
    </row>
    <row r="35" spans="1:22" ht="33.75" customHeight="1" x14ac:dyDescent="0.25">
      <c r="A35" s="751"/>
      <c r="B35" s="752"/>
      <c r="C35" s="753" t="s">
        <v>429</v>
      </c>
      <c r="D35" s="750" t="s">
        <v>416</v>
      </c>
      <c r="E35" s="750" t="s">
        <v>416</v>
      </c>
      <c r="F35" s="469" t="s">
        <v>19</v>
      </c>
      <c r="G35" s="581">
        <v>8.3299999999999999E-2</v>
      </c>
      <c r="H35" s="581">
        <v>8.3299999999999999E-2</v>
      </c>
      <c r="I35" s="581">
        <v>8.3299999999999999E-2</v>
      </c>
      <c r="J35" s="581">
        <v>8.3299999999999999E-2</v>
      </c>
      <c r="K35" s="581">
        <v>8.3299999999999999E-2</v>
      </c>
      <c r="L35" s="581">
        <v>8.3299999999999999E-2</v>
      </c>
      <c r="M35" s="581">
        <v>8.3299999999999999E-2</v>
      </c>
      <c r="N35" s="581">
        <v>8.3299999999999999E-2</v>
      </c>
      <c r="O35" s="581">
        <v>8.3299999999999999E-2</v>
      </c>
      <c r="P35" s="581">
        <v>8.3299999999999999E-2</v>
      </c>
      <c r="Q35" s="581">
        <v>8.3299999999999999E-2</v>
      </c>
      <c r="R35" s="581">
        <v>8.3699999999999997E-2</v>
      </c>
      <c r="S35" s="466">
        <f t="shared" si="0"/>
        <v>1</v>
      </c>
      <c r="T35" s="754"/>
      <c r="U35" s="746">
        <v>1.4999999999999999E-2</v>
      </c>
      <c r="V35" s="747" t="s">
        <v>502</v>
      </c>
    </row>
    <row r="36" spans="1:22" ht="33.75" customHeight="1" x14ac:dyDescent="0.25">
      <c r="A36" s="751"/>
      <c r="B36" s="752"/>
      <c r="C36" s="753"/>
      <c r="D36" s="750"/>
      <c r="E36" s="750"/>
      <c r="F36" s="470" t="s">
        <v>20</v>
      </c>
      <c r="G36" s="582">
        <v>8.3299999999999999E-2</v>
      </c>
      <c r="H36" s="582">
        <v>8.3299999999999999E-2</v>
      </c>
      <c r="I36" s="582">
        <v>8.3299999999999999E-2</v>
      </c>
      <c r="J36" s="582">
        <v>8.3299999999999999E-2</v>
      </c>
      <c r="K36" s="582">
        <v>8.3299999999999999E-2</v>
      </c>
      <c r="L36" s="582">
        <v>8.3299999999999999E-2</v>
      </c>
      <c r="M36" s="582"/>
      <c r="N36" s="582"/>
      <c r="O36" s="582"/>
      <c r="P36" s="582"/>
      <c r="Q36" s="582"/>
      <c r="R36" s="582"/>
      <c r="S36" s="468">
        <f t="shared" si="0"/>
        <v>0.49979999999999997</v>
      </c>
      <c r="T36" s="754"/>
      <c r="U36" s="746"/>
      <c r="V36" s="748"/>
    </row>
    <row r="37" spans="1:22" ht="33.75" customHeight="1" x14ac:dyDescent="0.25">
      <c r="A37" s="751" t="s">
        <v>430</v>
      </c>
      <c r="B37" s="752" t="s">
        <v>459</v>
      </c>
      <c r="C37" s="753" t="s">
        <v>431</v>
      </c>
      <c r="D37" s="750" t="s">
        <v>416</v>
      </c>
      <c r="E37" s="750" t="s">
        <v>416</v>
      </c>
      <c r="F37" s="469" t="s">
        <v>19</v>
      </c>
      <c r="G37" s="581">
        <v>1.0999999999999999E-2</v>
      </c>
      <c r="H37" s="581">
        <v>1.38E-2</v>
      </c>
      <c r="I37" s="581">
        <v>0.1032</v>
      </c>
      <c r="J37" s="581">
        <v>0.1032</v>
      </c>
      <c r="K37" s="581">
        <v>0.1032</v>
      </c>
      <c r="L37" s="581">
        <v>0.1032</v>
      </c>
      <c r="M37" s="581">
        <v>0.1032</v>
      </c>
      <c r="N37" s="581">
        <v>0.1032</v>
      </c>
      <c r="O37" s="581">
        <v>0.1032</v>
      </c>
      <c r="P37" s="581">
        <v>0.1032</v>
      </c>
      <c r="Q37" s="581">
        <v>0.1032</v>
      </c>
      <c r="R37" s="581">
        <v>4.6399999999999997E-2</v>
      </c>
      <c r="S37" s="472">
        <f t="shared" si="0"/>
        <v>0.99999999999999989</v>
      </c>
      <c r="T37" s="754">
        <v>0.15</v>
      </c>
      <c r="U37" s="746">
        <v>0.1275</v>
      </c>
      <c r="V37" s="755" t="s">
        <v>504</v>
      </c>
    </row>
    <row r="38" spans="1:22" ht="33.75" customHeight="1" x14ac:dyDescent="0.25">
      <c r="A38" s="751"/>
      <c r="B38" s="752"/>
      <c r="C38" s="753"/>
      <c r="D38" s="750"/>
      <c r="E38" s="750"/>
      <c r="F38" s="470" t="s">
        <v>20</v>
      </c>
      <c r="G38" s="582">
        <v>2.63E-2</v>
      </c>
      <c r="H38" s="582">
        <v>0</v>
      </c>
      <c r="I38" s="582">
        <v>0.1162</v>
      </c>
      <c r="J38" s="582">
        <v>0.12529999999999999</v>
      </c>
      <c r="K38" s="582">
        <v>7.9600000000000004E-2</v>
      </c>
      <c r="L38" s="582">
        <v>0.10199999999999999</v>
      </c>
      <c r="M38" s="582"/>
      <c r="N38" s="582"/>
      <c r="O38" s="582"/>
      <c r="P38" s="582"/>
      <c r="Q38" s="582"/>
      <c r="R38" s="582"/>
      <c r="S38" s="468">
        <f t="shared" si="0"/>
        <v>0.44939999999999997</v>
      </c>
      <c r="T38" s="754"/>
      <c r="U38" s="746"/>
      <c r="V38" s="756"/>
    </row>
    <row r="39" spans="1:22" ht="33.75" customHeight="1" x14ac:dyDescent="0.25">
      <c r="A39" s="751"/>
      <c r="B39" s="752"/>
      <c r="C39" s="753" t="s">
        <v>432</v>
      </c>
      <c r="D39" s="750" t="s">
        <v>416</v>
      </c>
      <c r="E39" s="750" t="s">
        <v>416</v>
      </c>
      <c r="F39" s="469" t="s">
        <v>19</v>
      </c>
      <c r="G39" s="581">
        <v>5.2600000000000001E-2</v>
      </c>
      <c r="H39" s="581">
        <v>5.2600000000000001E-2</v>
      </c>
      <c r="I39" s="581">
        <v>9.4700000000000006E-2</v>
      </c>
      <c r="J39" s="581">
        <v>9.4700000000000006E-2</v>
      </c>
      <c r="K39" s="581">
        <v>9.4700000000000006E-2</v>
      </c>
      <c r="L39" s="581">
        <v>9.4700000000000006E-2</v>
      </c>
      <c r="M39" s="581">
        <v>9.4700000000000006E-2</v>
      </c>
      <c r="N39" s="581">
        <v>9.4700000000000006E-2</v>
      </c>
      <c r="O39" s="581">
        <v>9.4700000000000006E-2</v>
      </c>
      <c r="P39" s="581">
        <v>8.9499999999999996E-2</v>
      </c>
      <c r="Q39" s="581">
        <v>8.9499999999999996E-2</v>
      </c>
      <c r="R39" s="581">
        <v>5.2900000000000003E-2</v>
      </c>
      <c r="S39" s="473">
        <f t="shared" si="0"/>
        <v>1</v>
      </c>
      <c r="T39" s="754"/>
      <c r="U39" s="746">
        <v>2.2499999999999999E-2</v>
      </c>
      <c r="V39" s="755" t="s">
        <v>505</v>
      </c>
    </row>
    <row r="40" spans="1:22" ht="33.75" customHeight="1" x14ac:dyDescent="0.25">
      <c r="A40" s="751"/>
      <c r="B40" s="752"/>
      <c r="C40" s="753"/>
      <c r="D40" s="750"/>
      <c r="E40" s="750"/>
      <c r="F40" s="470" t="s">
        <v>20</v>
      </c>
      <c r="G40" s="582">
        <v>0.122</v>
      </c>
      <c r="H40" s="582">
        <v>0.126</v>
      </c>
      <c r="I40" s="582">
        <v>0.1181</v>
      </c>
      <c r="J40" s="582">
        <v>0.1575</v>
      </c>
      <c r="K40" s="582">
        <v>0.1181</v>
      </c>
      <c r="L40" s="582">
        <v>9.4700000000000006E-2</v>
      </c>
      <c r="M40" s="582"/>
      <c r="N40" s="582"/>
      <c r="O40" s="582"/>
      <c r="P40" s="582"/>
      <c r="Q40" s="582"/>
      <c r="R40" s="582"/>
      <c r="S40" s="468">
        <f t="shared" si="0"/>
        <v>0.73639999999999994</v>
      </c>
      <c r="T40" s="754"/>
      <c r="U40" s="746"/>
      <c r="V40" s="756"/>
    </row>
    <row r="41" spans="1:22" ht="33.75" customHeight="1" x14ac:dyDescent="0.25">
      <c r="A41" s="751" t="s">
        <v>433</v>
      </c>
      <c r="B41" s="752" t="s">
        <v>434</v>
      </c>
      <c r="C41" s="753" t="s">
        <v>435</v>
      </c>
      <c r="D41" s="750" t="s">
        <v>416</v>
      </c>
      <c r="E41" s="750" t="s">
        <v>416</v>
      </c>
      <c r="F41" s="469" t="s">
        <v>19</v>
      </c>
      <c r="G41" s="581">
        <v>8.5000000000000006E-2</v>
      </c>
      <c r="H41" s="581">
        <v>6.5000000000000002E-2</v>
      </c>
      <c r="I41" s="581">
        <v>8.5000000000000006E-2</v>
      </c>
      <c r="J41" s="581">
        <v>8.5000000000000006E-2</v>
      </c>
      <c r="K41" s="581">
        <v>8.5000000000000006E-2</v>
      </c>
      <c r="L41" s="581">
        <v>8.5000000000000006E-2</v>
      </c>
      <c r="M41" s="581">
        <v>8.5000000000000006E-2</v>
      </c>
      <c r="N41" s="581">
        <v>8.5000000000000006E-2</v>
      </c>
      <c r="O41" s="581">
        <v>8.5000000000000006E-2</v>
      </c>
      <c r="P41" s="581">
        <v>8.5000000000000006E-2</v>
      </c>
      <c r="Q41" s="581">
        <v>8.5000000000000006E-2</v>
      </c>
      <c r="R41" s="581">
        <v>8.5000000000000006E-2</v>
      </c>
      <c r="S41" s="466">
        <f t="shared" si="0"/>
        <v>0.99999999999999989</v>
      </c>
      <c r="T41" s="754">
        <v>0.15</v>
      </c>
      <c r="U41" s="746">
        <v>0.04</v>
      </c>
      <c r="V41" s="747" t="s">
        <v>514</v>
      </c>
    </row>
    <row r="42" spans="1:22" ht="33.75" customHeight="1" x14ac:dyDescent="0.25">
      <c r="A42" s="751"/>
      <c r="B42" s="752"/>
      <c r="C42" s="753"/>
      <c r="D42" s="750"/>
      <c r="E42" s="750"/>
      <c r="F42" s="470" t="s">
        <v>20</v>
      </c>
      <c r="G42" s="582">
        <v>8.5000000000000006E-2</v>
      </c>
      <c r="H42" s="582">
        <v>6.5000000000000002E-2</v>
      </c>
      <c r="I42" s="582">
        <v>8.5000000000000006E-2</v>
      </c>
      <c r="J42" s="582">
        <v>8.5000000000000006E-2</v>
      </c>
      <c r="K42" s="582">
        <v>8.5000000000000006E-2</v>
      </c>
      <c r="L42" s="582">
        <v>8.5000000000000006E-2</v>
      </c>
      <c r="M42" s="582"/>
      <c r="N42" s="582"/>
      <c r="O42" s="582"/>
      <c r="P42" s="582"/>
      <c r="Q42" s="582"/>
      <c r="R42" s="582"/>
      <c r="S42" s="471">
        <f t="shared" si="0"/>
        <v>0.4900000000000001</v>
      </c>
      <c r="T42" s="754"/>
      <c r="U42" s="746"/>
      <c r="V42" s="748"/>
    </row>
    <row r="43" spans="1:22" ht="33.75" customHeight="1" x14ac:dyDescent="0.25">
      <c r="A43" s="751"/>
      <c r="B43" s="752"/>
      <c r="C43" s="758" t="s">
        <v>436</v>
      </c>
      <c r="D43" s="750" t="s">
        <v>416</v>
      </c>
      <c r="E43" s="750" t="s">
        <v>416</v>
      </c>
      <c r="F43" s="469" t="s">
        <v>19</v>
      </c>
      <c r="G43" s="581">
        <v>0.18</v>
      </c>
      <c r="H43" s="581">
        <v>0.1</v>
      </c>
      <c r="I43" s="581">
        <v>0.18</v>
      </c>
      <c r="J43" s="581">
        <v>0.18</v>
      </c>
      <c r="K43" s="581">
        <v>0.18</v>
      </c>
      <c r="L43" s="581">
        <v>0.18</v>
      </c>
      <c r="M43" s="581">
        <v>0</v>
      </c>
      <c r="N43" s="581">
        <v>0</v>
      </c>
      <c r="O43" s="581">
        <v>0</v>
      </c>
      <c r="P43" s="581">
        <v>0</v>
      </c>
      <c r="Q43" s="581">
        <v>0</v>
      </c>
      <c r="R43" s="581">
        <v>0</v>
      </c>
      <c r="S43" s="466">
        <f t="shared" si="0"/>
        <v>1</v>
      </c>
      <c r="T43" s="754"/>
      <c r="U43" s="746">
        <v>0.02</v>
      </c>
      <c r="V43" s="747" t="s">
        <v>515</v>
      </c>
    </row>
    <row r="44" spans="1:22" ht="33.75" customHeight="1" x14ac:dyDescent="0.25">
      <c r="A44" s="751"/>
      <c r="B44" s="752"/>
      <c r="C44" s="758"/>
      <c r="D44" s="750"/>
      <c r="E44" s="750"/>
      <c r="F44" s="470" t="s">
        <v>20</v>
      </c>
      <c r="G44" s="582">
        <v>0.18</v>
      </c>
      <c r="H44" s="582">
        <v>0.1</v>
      </c>
      <c r="I44" s="582">
        <v>0.18</v>
      </c>
      <c r="J44" s="582">
        <v>0.18</v>
      </c>
      <c r="K44" s="582">
        <v>0.18</v>
      </c>
      <c r="L44" s="582">
        <v>0.18</v>
      </c>
      <c r="M44" s="582"/>
      <c r="N44" s="582"/>
      <c r="O44" s="582"/>
      <c r="P44" s="582"/>
      <c r="Q44" s="582"/>
      <c r="R44" s="582"/>
      <c r="S44" s="473">
        <f t="shared" si="0"/>
        <v>1</v>
      </c>
      <c r="T44" s="754"/>
      <c r="U44" s="746"/>
      <c r="V44" s="748"/>
    </row>
    <row r="45" spans="1:22" ht="33.75" customHeight="1" x14ac:dyDescent="0.25">
      <c r="A45" s="751"/>
      <c r="B45" s="752"/>
      <c r="C45" s="753" t="s">
        <v>437</v>
      </c>
      <c r="D45" s="750" t="s">
        <v>416</v>
      </c>
      <c r="E45" s="750" t="s">
        <v>416</v>
      </c>
      <c r="F45" s="469" t="s">
        <v>19</v>
      </c>
      <c r="G45" s="581">
        <v>8.5000000000000006E-2</v>
      </c>
      <c r="H45" s="581">
        <v>6.5000000000000002E-2</v>
      </c>
      <c r="I45" s="581">
        <v>8.5000000000000006E-2</v>
      </c>
      <c r="J45" s="581">
        <v>8.5000000000000006E-2</v>
      </c>
      <c r="K45" s="581">
        <v>8.5000000000000006E-2</v>
      </c>
      <c r="L45" s="581">
        <v>8.5000000000000006E-2</v>
      </c>
      <c r="M45" s="581">
        <v>8.5000000000000006E-2</v>
      </c>
      <c r="N45" s="581">
        <v>8.5000000000000006E-2</v>
      </c>
      <c r="O45" s="581">
        <v>8.5000000000000006E-2</v>
      </c>
      <c r="P45" s="581">
        <v>8.5000000000000006E-2</v>
      </c>
      <c r="Q45" s="581">
        <v>8.5000000000000006E-2</v>
      </c>
      <c r="R45" s="581">
        <v>8.5000000000000006E-2</v>
      </c>
      <c r="S45" s="466">
        <f t="shared" si="0"/>
        <v>0.99999999999999989</v>
      </c>
      <c r="T45" s="754"/>
      <c r="U45" s="746">
        <v>0.01</v>
      </c>
      <c r="V45" s="747" t="s">
        <v>516</v>
      </c>
    </row>
    <row r="46" spans="1:22" ht="33.75" customHeight="1" x14ac:dyDescent="0.25">
      <c r="A46" s="751"/>
      <c r="B46" s="752"/>
      <c r="C46" s="753"/>
      <c r="D46" s="750"/>
      <c r="E46" s="750"/>
      <c r="F46" s="470" t="s">
        <v>20</v>
      </c>
      <c r="G46" s="582">
        <v>8.5000000000000006E-2</v>
      </c>
      <c r="H46" s="582">
        <v>6.5000000000000002E-2</v>
      </c>
      <c r="I46" s="582">
        <v>8.5000000000000006E-2</v>
      </c>
      <c r="J46" s="582">
        <v>8.5000000000000006E-2</v>
      </c>
      <c r="K46" s="582">
        <v>8.5000000000000006E-2</v>
      </c>
      <c r="L46" s="582">
        <v>8.5000000000000006E-2</v>
      </c>
      <c r="M46" s="582"/>
      <c r="N46" s="582"/>
      <c r="O46" s="582"/>
      <c r="P46" s="582"/>
      <c r="Q46" s="582"/>
      <c r="R46" s="582"/>
      <c r="S46" s="471">
        <f t="shared" si="0"/>
        <v>0.4900000000000001</v>
      </c>
      <c r="T46" s="754"/>
      <c r="U46" s="746"/>
      <c r="V46" s="748"/>
    </row>
    <row r="47" spans="1:22" ht="33.75" customHeight="1" x14ac:dyDescent="0.25">
      <c r="A47" s="751"/>
      <c r="B47" s="752"/>
      <c r="C47" s="753" t="s">
        <v>438</v>
      </c>
      <c r="D47" s="750" t="s">
        <v>416</v>
      </c>
      <c r="E47" s="750" t="s">
        <v>416</v>
      </c>
      <c r="F47" s="469" t="s">
        <v>19</v>
      </c>
      <c r="G47" s="581">
        <v>0</v>
      </c>
      <c r="H47" s="581">
        <v>0</v>
      </c>
      <c r="I47" s="581">
        <v>0</v>
      </c>
      <c r="J47" s="581">
        <v>0</v>
      </c>
      <c r="K47" s="581">
        <v>0.125</v>
      </c>
      <c r="L47" s="581">
        <v>0.125</v>
      </c>
      <c r="M47" s="581">
        <v>0.125</v>
      </c>
      <c r="N47" s="581">
        <v>0.125</v>
      </c>
      <c r="O47" s="581">
        <v>0.125</v>
      </c>
      <c r="P47" s="581">
        <v>0.125</v>
      </c>
      <c r="Q47" s="581">
        <v>0.125</v>
      </c>
      <c r="R47" s="581">
        <v>0.125</v>
      </c>
      <c r="S47" s="466">
        <f t="shared" si="0"/>
        <v>1</v>
      </c>
      <c r="T47" s="754"/>
      <c r="U47" s="746">
        <v>0.05</v>
      </c>
      <c r="V47" s="747" t="s">
        <v>517</v>
      </c>
    </row>
    <row r="48" spans="1:22" ht="33.75" customHeight="1" x14ac:dyDescent="0.25">
      <c r="A48" s="751"/>
      <c r="B48" s="752"/>
      <c r="C48" s="753"/>
      <c r="D48" s="750"/>
      <c r="E48" s="750"/>
      <c r="F48" s="470" t="s">
        <v>20</v>
      </c>
      <c r="G48" s="582">
        <v>0</v>
      </c>
      <c r="H48" s="582">
        <v>0</v>
      </c>
      <c r="I48" s="582">
        <v>0</v>
      </c>
      <c r="J48" s="582">
        <v>0</v>
      </c>
      <c r="K48" s="582">
        <v>0.125</v>
      </c>
      <c r="L48" s="582" t="s">
        <v>507</v>
      </c>
      <c r="M48" s="582"/>
      <c r="N48" s="582"/>
      <c r="O48" s="582"/>
      <c r="P48" s="582"/>
      <c r="Q48" s="582"/>
      <c r="R48" s="582"/>
      <c r="S48" s="471">
        <f t="shared" si="0"/>
        <v>0.125</v>
      </c>
      <c r="T48" s="754"/>
      <c r="U48" s="746"/>
      <c r="V48" s="747"/>
    </row>
    <row r="49" spans="1:22" ht="33.75" customHeight="1" x14ac:dyDescent="0.25">
      <c r="A49" s="751"/>
      <c r="B49" s="752"/>
      <c r="C49" s="753" t="s">
        <v>439</v>
      </c>
      <c r="D49" s="750" t="s">
        <v>416</v>
      </c>
      <c r="E49" s="750" t="s">
        <v>416</v>
      </c>
      <c r="F49" s="469" t="s">
        <v>19</v>
      </c>
      <c r="G49" s="581">
        <v>8.3299999999999999E-2</v>
      </c>
      <c r="H49" s="581">
        <v>8.3299999999999999E-2</v>
      </c>
      <c r="I49" s="581">
        <v>8.3299999999999999E-2</v>
      </c>
      <c r="J49" s="581">
        <v>8.3299999999999999E-2</v>
      </c>
      <c r="K49" s="581">
        <v>8.3299999999999999E-2</v>
      </c>
      <c r="L49" s="581">
        <v>8.3299999999999999E-2</v>
      </c>
      <c r="M49" s="581">
        <v>8.3299999999999999E-2</v>
      </c>
      <c r="N49" s="581">
        <v>8.3299999999999999E-2</v>
      </c>
      <c r="O49" s="581">
        <v>8.3299999999999999E-2</v>
      </c>
      <c r="P49" s="581">
        <v>8.3299999999999999E-2</v>
      </c>
      <c r="Q49" s="581">
        <v>8.3299999999999999E-2</v>
      </c>
      <c r="R49" s="581">
        <v>8.3699999999999997E-2</v>
      </c>
      <c r="S49" s="466">
        <f t="shared" si="0"/>
        <v>1</v>
      </c>
      <c r="T49" s="754"/>
      <c r="U49" s="746">
        <v>0.03</v>
      </c>
      <c r="V49" s="747" t="s">
        <v>518</v>
      </c>
    </row>
    <row r="50" spans="1:22" ht="33.75" customHeight="1" x14ac:dyDescent="0.25">
      <c r="A50" s="751"/>
      <c r="B50" s="752"/>
      <c r="C50" s="753"/>
      <c r="D50" s="750"/>
      <c r="E50" s="750"/>
      <c r="F50" s="470" t="s">
        <v>20</v>
      </c>
      <c r="G50" s="582">
        <v>8.3299999999999999E-2</v>
      </c>
      <c r="H50" s="582">
        <v>8.3299999999999999E-2</v>
      </c>
      <c r="I50" s="582">
        <v>8.3299999999999999E-2</v>
      </c>
      <c r="J50" s="582">
        <v>8.3299999999999999E-2</v>
      </c>
      <c r="K50" s="582">
        <v>8.3299999999999999E-2</v>
      </c>
      <c r="L50" s="582">
        <v>8.3299999999999999E-2</v>
      </c>
      <c r="M50" s="582"/>
      <c r="N50" s="582"/>
      <c r="O50" s="582"/>
      <c r="P50" s="582"/>
      <c r="Q50" s="582"/>
      <c r="R50" s="582"/>
      <c r="S50" s="471">
        <f t="shared" si="0"/>
        <v>0.49979999999999997</v>
      </c>
      <c r="T50" s="754"/>
      <c r="U50" s="746"/>
      <c r="V50" s="748"/>
    </row>
    <row r="51" spans="1:22" ht="33.75" customHeight="1" x14ac:dyDescent="0.25">
      <c r="A51" s="751" t="s">
        <v>402</v>
      </c>
      <c r="B51" s="752" t="s">
        <v>440</v>
      </c>
      <c r="C51" s="753" t="s">
        <v>441</v>
      </c>
      <c r="D51" s="750" t="s">
        <v>416</v>
      </c>
      <c r="E51" s="750" t="s">
        <v>416</v>
      </c>
      <c r="F51" s="469" t="s">
        <v>19</v>
      </c>
      <c r="G51" s="581">
        <v>5.2999999999999999E-2</v>
      </c>
      <c r="H51" s="581">
        <v>8.4699999999999998E-2</v>
      </c>
      <c r="I51" s="581">
        <v>9.5299999999999996E-2</v>
      </c>
      <c r="J51" s="581">
        <v>9.5299999999999996E-2</v>
      </c>
      <c r="K51" s="581">
        <v>9.5299999999999996E-2</v>
      </c>
      <c r="L51" s="581">
        <v>8.4699999999999998E-2</v>
      </c>
      <c r="M51" s="581">
        <v>5.2999999999999999E-2</v>
      </c>
      <c r="N51" s="581">
        <v>7.6300000000000007E-2</v>
      </c>
      <c r="O51" s="581">
        <v>9.5299999999999996E-2</v>
      </c>
      <c r="P51" s="581">
        <v>9.5299999999999996E-2</v>
      </c>
      <c r="Q51" s="581">
        <v>9.5299999999999996E-2</v>
      </c>
      <c r="R51" s="581">
        <v>7.6499999999999999E-2</v>
      </c>
      <c r="S51" s="466">
        <f t="shared" si="0"/>
        <v>1</v>
      </c>
      <c r="T51" s="754">
        <v>0.15</v>
      </c>
      <c r="U51" s="746">
        <v>4.4999999999999998E-2</v>
      </c>
      <c r="V51" s="755" t="s">
        <v>509</v>
      </c>
    </row>
    <row r="52" spans="1:22" ht="33.75" customHeight="1" x14ac:dyDescent="0.25">
      <c r="A52" s="751"/>
      <c r="B52" s="752"/>
      <c r="C52" s="753"/>
      <c r="D52" s="750"/>
      <c r="E52" s="750"/>
      <c r="F52" s="470" t="s">
        <v>20</v>
      </c>
      <c r="G52" s="582">
        <v>5.2999999999999999E-2</v>
      </c>
      <c r="H52" s="582">
        <v>0</v>
      </c>
      <c r="I52" s="582">
        <v>0.1</v>
      </c>
      <c r="J52" s="582">
        <v>9.5299999999999996E-2</v>
      </c>
      <c r="K52" s="582">
        <v>0</v>
      </c>
      <c r="L52" s="582">
        <v>8.4699999999999998E-2</v>
      </c>
      <c r="M52" s="582"/>
      <c r="N52" s="582"/>
      <c r="O52" s="582"/>
      <c r="P52" s="582"/>
      <c r="Q52" s="582"/>
      <c r="R52" s="582"/>
      <c r="S52" s="468">
        <f t="shared" si="0"/>
        <v>0.33299999999999996</v>
      </c>
      <c r="T52" s="754"/>
      <c r="U52" s="746"/>
      <c r="V52" s="756"/>
    </row>
    <row r="53" spans="1:22" ht="33.75" customHeight="1" x14ac:dyDescent="0.25">
      <c r="A53" s="751"/>
      <c r="B53" s="752"/>
      <c r="C53" s="753" t="s">
        <v>442</v>
      </c>
      <c r="D53" s="750" t="s">
        <v>416</v>
      </c>
      <c r="E53" s="750" t="s">
        <v>416</v>
      </c>
      <c r="F53" s="469" t="s">
        <v>19</v>
      </c>
      <c r="G53" s="581">
        <v>8.3299999999999999E-2</v>
      </c>
      <c r="H53" s="581">
        <v>8.3299999999999999E-2</v>
      </c>
      <c r="I53" s="581">
        <v>8.3299999999999999E-2</v>
      </c>
      <c r="J53" s="581">
        <v>8.3299999999999999E-2</v>
      </c>
      <c r="K53" s="581">
        <v>8.3299999999999999E-2</v>
      </c>
      <c r="L53" s="581">
        <v>8.3299999999999999E-2</v>
      </c>
      <c r="M53" s="581">
        <v>8.3299999999999999E-2</v>
      </c>
      <c r="N53" s="581">
        <v>8.3299999999999999E-2</v>
      </c>
      <c r="O53" s="581">
        <v>8.3299999999999999E-2</v>
      </c>
      <c r="P53" s="581">
        <v>8.3299999999999999E-2</v>
      </c>
      <c r="Q53" s="581">
        <v>8.3299999999999999E-2</v>
      </c>
      <c r="R53" s="581">
        <v>8.3699999999999997E-2</v>
      </c>
      <c r="S53" s="466">
        <f t="shared" si="0"/>
        <v>1</v>
      </c>
      <c r="T53" s="754"/>
      <c r="U53" s="746">
        <v>0.03</v>
      </c>
      <c r="V53" s="755" t="s">
        <v>510</v>
      </c>
    </row>
    <row r="54" spans="1:22" ht="33.75" customHeight="1" x14ac:dyDescent="0.25">
      <c r="A54" s="751"/>
      <c r="B54" s="752"/>
      <c r="C54" s="753"/>
      <c r="D54" s="750"/>
      <c r="E54" s="750"/>
      <c r="F54" s="470" t="s">
        <v>20</v>
      </c>
      <c r="G54" s="582">
        <v>8.3299999999999999E-2</v>
      </c>
      <c r="H54" s="582">
        <v>0</v>
      </c>
      <c r="I54" s="582">
        <v>0.05</v>
      </c>
      <c r="J54" s="582">
        <v>8.5199999999999998E-2</v>
      </c>
      <c r="K54" s="582">
        <v>8.3299999999999999E-2</v>
      </c>
      <c r="L54" s="582">
        <v>8.3299999999999999E-2</v>
      </c>
      <c r="M54" s="582"/>
      <c r="N54" s="582"/>
      <c r="O54" s="582"/>
      <c r="P54" s="582"/>
      <c r="Q54" s="582"/>
      <c r="R54" s="582"/>
      <c r="S54" s="468">
        <f t="shared" si="0"/>
        <v>0.3851</v>
      </c>
      <c r="T54" s="754"/>
      <c r="U54" s="746"/>
      <c r="V54" s="756"/>
    </row>
    <row r="55" spans="1:22" ht="33.75" customHeight="1" x14ac:dyDescent="0.25">
      <c r="A55" s="751"/>
      <c r="B55" s="752"/>
      <c r="C55" s="753" t="s">
        <v>443</v>
      </c>
      <c r="D55" s="750" t="s">
        <v>416</v>
      </c>
      <c r="E55" s="750" t="s">
        <v>416</v>
      </c>
      <c r="F55" s="469" t="s">
        <v>19</v>
      </c>
      <c r="G55" s="581">
        <v>4.6699999999999998E-2</v>
      </c>
      <c r="H55" s="581">
        <v>8.4099999999999994E-2</v>
      </c>
      <c r="I55" s="581">
        <v>8.4099999999999994E-2</v>
      </c>
      <c r="J55" s="581">
        <v>9.35E-2</v>
      </c>
      <c r="K55" s="581">
        <v>9.35E-2</v>
      </c>
      <c r="L55" s="581">
        <v>8.4099999999999994E-2</v>
      </c>
      <c r="M55" s="581">
        <v>6.54E-2</v>
      </c>
      <c r="N55" s="581">
        <v>8.4099999999999994E-2</v>
      </c>
      <c r="O55" s="581">
        <v>9.35E-2</v>
      </c>
      <c r="P55" s="581">
        <v>9.35E-2</v>
      </c>
      <c r="Q55" s="581">
        <v>9.35E-2</v>
      </c>
      <c r="R55" s="581">
        <v>8.4000000000000005E-2</v>
      </c>
      <c r="S55" s="466">
        <f t="shared" si="0"/>
        <v>1</v>
      </c>
      <c r="T55" s="754"/>
      <c r="U55" s="746">
        <v>0.03</v>
      </c>
      <c r="V55" s="747" t="s">
        <v>511</v>
      </c>
    </row>
    <row r="56" spans="1:22" ht="33.75" customHeight="1" x14ac:dyDescent="0.25">
      <c r="A56" s="751"/>
      <c r="B56" s="752"/>
      <c r="C56" s="753"/>
      <c r="D56" s="750"/>
      <c r="E56" s="750"/>
      <c r="F56" s="470" t="s">
        <v>20</v>
      </c>
      <c r="G56" s="582">
        <v>4.6699999999999998E-2</v>
      </c>
      <c r="H56" s="582">
        <v>0</v>
      </c>
      <c r="I56" s="582">
        <v>0.08</v>
      </c>
      <c r="J56" s="582">
        <v>0</v>
      </c>
      <c r="K56" s="582">
        <v>9.35E-2</v>
      </c>
      <c r="L56" s="582">
        <v>8.4099999999999994E-2</v>
      </c>
      <c r="M56" s="582"/>
      <c r="N56" s="582"/>
      <c r="O56" s="582"/>
      <c r="P56" s="582"/>
      <c r="Q56" s="582"/>
      <c r="R56" s="582"/>
      <c r="S56" s="468">
        <f t="shared" si="0"/>
        <v>0.30430000000000001</v>
      </c>
      <c r="T56" s="754"/>
      <c r="U56" s="746"/>
      <c r="V56" s="747"/>
    </row>
    <row r="57" spans="1:22" ht="33.75" customHeight="1" x14ac:dyDescent="0.25">
      <c r="A57" s="751"/>
      <c r="B57" s="752"/>
      <c r="C57" s="753" t="s">
        <v>444</v>
      </c>
      <c r="D57" s="750" t="s">
        <v>416</v>
      </c>
      <c r="E57" s="750" t="s">
        <v>416</v>
      </c>
      <c r="F57" s="469" t="s">
        <v>19</v>
      </c>
      <c r="G57" s="581">
        <v>8.3299999999999999E-2</v>
      </c>
      <c r="H57" s="581">
        <v>8.3299999999999999E-2</v>
      </c>
      <c r="I57" s="581">
        <v>8.3299999999999999E-2</v>
      </c>
      <c r="J57" s="581">
        <v>8.3299999999999999E-2</v>
      </c>
      <c r="K57" s="581">
        <v>8.3299999999999999E-2</v>
      </c>
      <c r="L57" s="581">
        <v>8.3299999999999999E-2</v>
      </c>
      <c r="M57" s="581">
        <v>8.3299999999999999E-2</v>
      </c>
      <c r="N57" s="581">
        <v>8.3299999999999999E-2</v>
      </c>
      <c r="O57" s="581">
        <v>8.3299999999999999E-2</v>
      </c>
      <c r="P57" s="581">
        <v>8.3299999999999999E-2</v>
      </c>
      <c r="Q57" s="581">
        <v>8.3299999999999999E-2</v>
      </c>
      <c r="R57" s="581">
        <v>8.3699999999999997E-2</v>
      </c>
      <c r="S57" s="466">
        <f t="shared" si="0"/>
        <v>1</v>
      </c>
      <c r="T57" s="754"/>
      <c r="U57" s="746">
        <v>1.4999999999999999E-2</v>
      </c>
      <c r="V57" s="755" t="s">
        <v>512</v>
      </c>
    </row>
    <row r="58" spans="1:22" ht="33.75" customHeight="1" x14ac:dyDescent="0.25">
      <c r="A58" s="751"/>
      <c r="B58" s="752"/>
      <c r="C58" s="753"/>
      <c r="D58" s="750"/>
      <c r="E58" s="750"/>
      <c r="F58" s="470" t="s">
        <v>20</v>
      </c>
      <c r="G58" s="582">
        <v>8.3299999999999999E-2</v>
      </c>
      <c r="H58" s="582">
        <v>0</v>
      </c>
      <c r="I58" s="582">
        <v>8.3299999999999999E-2</v>
      </c>
      <c r="J58" s="582">
        <v>8.3299999999999999E-2</v>
      </c>
      <c r="K58" s="582">
        <v>8.3299999999999999E-2</v>
      </c>
      <c r="L58" s="582">
        <v>8.3299999999999999E-2</v>
      </c>
      <c r="M58" s="582"/>
      <c r="N58" s="582"/>
      <c r="O58" s="582"/>
      <c r="P58" s="582"/>
      <c r="Q58" s="582"/>
      <c r="R58" s="582"/>
      <c r="S58" s="471">
        <f t="shared" si="0"/>
        <v>0.41649999999999998</v>
      </c>
      <c r="T58" s="754"/>
      <c r="U58" s="746"/>
      <c r="V58" s="756"/>
    </row>
    <row r="59" spans="1:22" ht="33.75" customHeight="1" x14ac:dyDescent="0.25">
      <c r="A59" s="751"/>
      <c r="B59" s="752"/>
      <c r="C59" s="757" t="s">
        <v>445</v>
      </c>
      <c r="D59" s="750" t="s">
        <v>416</v>
      </c>
      <c r="E59" s="750" t="s">
        <v>416</v>
      </c>
      <c r="F59" s="469" t="s">
        <v>19</v>
      </c>
      <c r="G59" s="581">
        <v>5.9200000000000003E-2</v>
      </c>
      <c r="H59" s="581">
        <v>8.8800000000000004E-2</v>
      </c>
      <c r="I59" s="581">
        <v>8.8800000000000004E-2</v>
      </c>
      <c r="J59" s="581">
        <v>8.8800000000000004E-2</v>
      </c>
      <c r="K59" s="581">
        <v>8.8800000000000004E-2</v>
      </c>
      <c r="L59" s="581">
        <v>8.8800000000000004E-2</v>
      </c>
      <c r="M59" s="581">
        <v>8.8800000000000004E-2</v>
      </c>
      <c r="N59" s="581">
        <v>8.8800000000000004E-2</v>
      </c>
      <c r="O59" s="581">
        <v>8.8800000000000004E-2</v>
      </c>
      <c r="P59" s="581">
        <v>8.8800000000000004E-2</v>
      </c>
      <c r="Q59" s="581">
        <v>8.8800000000000004E-2</v>
      </c>
      <c r="R59" s="581">
        <v>5.28E-2</v>
      </c>
      <c r="S59" s="466">
        <f t="shared" si="0"/>
        <v>0.99999999999999989</v>
      </c>
      <c r="T59" s="754"/>
      <c r="U59" s="746">
        <v>0.03</v>
      </c>
      <c r="V59" s="747" t="s">
        <v>513</v>
      </c>
    </row>
    <row r="60" spans="1:22" ht="33.75" customHeight="1" x14ac:dyDescent="0.25">
      <c r="A60" s="751"/>
      <c r="B60" s="752"/>
      <c r="C60" s="757"/>
      <c r="D60" s="750"/>
      <c r="E60" s="750"/>
      <c r="F60" s="470" t="s">
        <v>20</v>
      </c>
      <c r="G60" s="582">
        <v>5.9200000000000003E-2</v>
      </c>
      <c r="H60" s="582">
        <v>8.8800000000000004E-2</v>
      </c>
      <c r="I60" s="582">
        <v>0.13370000000000001</v>
      </c>
      <c r="J60" s="582">
        <v>3.7999999999999999E-2</v>
      </c>
      <c r="K60" s="582">
        <v>8.8800000000000004E-2</v>
      </c>
      <c r="L60" s="582">
        <v>0.17230000000000001</v>
      </c>
      <c r="M60" s="582"/>
      <c r="N60" s="582"/>
      <c r="O60" s="582"/>
      <c r="P60" s="582"/>
      <c r="Q60" s="582"/>
      <c r="R60" s="582"/>
      <c r="S60" s="468">
        <f t="shared" si="0"/>
        <v>0.58079999999999998</v>
      </c>
      <c r="T60" s="754"/>
      <c r="U60" s="746"/>
      <c r="V60" s="747"/>
    </row>
    <row r="61" spans="1:22" ht="33.75" customHeight="1" x14ac:dyDescent="0.25">
      <c r="A61" s="751" t="s">
        <v>402</v>
      </c>
      <c r="B61" s="752" t="s">
        <v>446</v>
      </c>
      <c r="C61" s="753" t="s">
        <v>447</v>
      </c>
      <c r="D61" s="750" t="s">
        <v>416</v>
      </c>
      <c r="E61" s="750" t="s">
        <v>416</v>
      </c>
      <c r="F61" s="469" t="s">
        <v>19</v>
      </c>
      <c r="G61" s="581">
        <v>0.05</v>
      </c>
      <c r="H61" s="581">
        <v>0.05</v>
      </c>
      <c r="I61" s="581">
        <v>0.09</v>
      </c>
      <c r="J61" s="581">
        <v>0.09</v>
      </c>
      <c r="K61" s="581">
        <v>0.09</v>
      </c>
      <c r="L61" s="581">
        <v>0.09</v>
      </c>
      <c r="M61" s="581">
        <v>0.09</v>
      </c>
      <c r="N61" s="581">
        <v>0.09</v>
      </c>
      <c r="O61" s="581">
        <v>0.09</v>
      </c>
      <c r="P61" s="581">
        <v>0.09</v>
      </c>
      <c r="Q61" s="581">
        <v>0.09</v>
      </c>
      <c r="R61" s="581">
        <v>0.09</v>
      </c>
      <c r="S61" s="466">
        <f t="shared" si="0"/>
        <v>0.99999999999999978</v>
      </c>
      <c r="T61" s="754">
        <v>0.1</v>
      </c>
      <c r="U61" s="746">
        <v>3.7499999999999999E-2</v>
      </c>
      <c r="V61" s="747" t="s">
        <v>522</v>
      </c>
    </row>
    <row r="62" spans="1:22" ht="33.75" customHeight="1" x14ac:dyDescent="0.25">
      <c r="A62" s="751"/>
      <c r="B62" s="752"/>
      <c r="C62" s="753"/>
      <c r="D62" s="750"/>
      <c r="E62" s="750"/>
      <c r="F62" s="470" t="s">
        <v>20</v>
      </c>
      <c r="G62" s="582">
        <v>0</v>
      </c>
      <c r="H62" s="582">
        <v>0.05</v>
      </c>
      <c r="I62" s="582">
        <v>0.09</v>
      </c>
      <c r="J62" s="582">
        <v>7.1999999999999998E-3</v>
      </c>
      <c r="K62" s="582">
        <v>5.4199999999999998E-2</v>
      </c>
      <c r="L62" s="582">
        <v>0.09</v>
      </c>
      <c r="M62" s="582"/>
      <c r="N62" s="582"/>
      <c r="O62" s="582"/>
      <c r="P62" s="582"/>
      <c r="Q62" s="582"/>
      <c r="R62" s="582"/>
      <c r="S62" s="471">
        <f t="shared" si="0"/>
        <v>0.29139999999999999</v>
      </c>
      <c r="T62" s="754"/>
      <c r="U62" s="746"/>
      <c r="V62" s="748"/>
    </row>
    <row r="63" spans="1:22" ht="33.75" customHeight="1" x14ac:dyDescent="0.25">
      <c r="A63" s="751"/>
      <c r="B63" s="752"/>
      <c r="C63" s="753" t="s">
        <v>448</v>
      </c>
      <c r="D63" s="750" t="s">
        <v>416</v>
      </c>
      <c r="E63" s="750" t="s">
        <v>416</v>
      </c>
      <c r="F63" s="469" t="s">
        <v>19</v>
      </c>
      <c r="G63" s="581">
        <v>0.05</v>
      </c>
      <c r="H63" s="581">
        <v>0.05</v>
      </c>
      <c r="I63" s="581">
        <v>0.09</v>
      </c>
      <c r="J63" s="581">
        <v>0.09</v>
      </c>
      <c r="K63" s="581">
        <v>0.09</v>
      </c>
      <c r="L63" s="581">
        <v>0.09</v>
      </c>
      <c r="M63" s="581">
        <v>0.09</v>
      </c>
      <c r="N63" s="581">
        <v>0.09</v>
      </c>
      <c r="O63" s="581">
        <v>0.09</v>
      </c>
      <c r="P63" s="581">
        <v>0.09</v>
      </c>
      <c r="Q63" s="581">
        <v>0.09</v>
      </c>
      <c r="R63" s="581">
        <v>0.09</v>
      </c>
      <c r="S63" s="466">
        <f t="shared" si="0"/>
        <v>0.99999999999999978</v>
      </c>
      <c r="T63" s="754"/>
      <c r="U63" s="746">
        <v>1.2500000000000001E-2</v>
      </c>
      <c r="V63" s="747" t="s">
        <v>523</v>
      </c>
    </row>
    <row r="64" spans="1:22" ht="33.75" customHeight="1" x14ac:dyDescent="0.25">
      <c r="A64" s="751"/>
      <c r="B64" s="752"/>
      <c r="C64" s="753"/>
      <c r="D64" s="750"/>
      <c r="E64" s="750"/>
      <c r="F64" s="470" t="s">
        <v>20</v>
      </c>
      <c r="G64" s="582">
        <v>0.05</v>
      </c>
      <c r="H64" s="582">
        <v>0.05</v>
      </c>
      <c r="I64" s="582">
        <v>0.09</v>
      </c>
      <c r="J64" s="582">
        <v>0.09</v>
      </c>
      <c r="K64" s="582">
        <v>0.09</v>
      </c>
      <c r="L64" s="582">
        <v>0.09</v>
      </c>
      <c r="M64" s="582"/>
      <c r="N64" s="582"/>
      <c r="O64" s="582"/>
      <c r="P64" s="582"/>
      <c r="Q64" s="582"/>
      <c r="R64" s="582"/>
      <c r="S64" s="471">
        <f t="shared" si="0"/>
        <v>0.45999999999999996</v>
      </c>
      <c r="T64" s="754"/>
      <c r="U64" s="746"/>
      <c r="V64" s="748"/>
    </row>
    <row r="65" spans="1:22" ht="33.75" customHeight="1" x14ac:dyDescent="0.25">
      <c r="A65" s="751"/>
      <c r="B65" s="752"/>
      <c r="C65" s="753" t="s">
        <v>449</v>
      </c>
      <c r="D65" s="750" t="s">
        <v>416</v>
      </c>
      <c r="E65" s="750" t="s">
        <v>416</v>
      </c>
      <c r="F65" s="469" t="s">
        <v>19</v>
      </c>
      <c r="G65" s="581">
        <v>0.05</v>
      </c>
      <c r="H65" s="581">
        <v>0.05</v>
      </c>
      <c r="I65" s="581">
        <v>0.09</v>
      </c>
      <c r="J65" s="581">
        <v>0.09</v>
      </c>
      <c r="K65" s="581">
        <v>0.09</v>
      </c>
      <c r="L65" s="581">
        <v>0.09</v>
      </c>
      <c r="M65" s="581">
        <v>0.09</v>
      </c>
      <c r="N65" s="581">
        <v>0.09</v>
      </c>
      <c r="O65" s="581">
        <v>0.09</v>
      </c>
      <c r="P65" s="581">
        <v>0.09</v>
      </c>
      <c r="Q65" s="581">
        <v>0.09</v>
      </c>
      <c r="R65" s="581">
        <v>0.09</v>
      </c>
      <c r="S65" s="466">
        <f t="shared" si="0"/>
        <v>0.99999999999999978</v>
      </c>
      <c r="T65" s="754"/>
      <c r="U65" s="746">
        <v>3.7499999999999999E-2</v>
      </c>
      <c r="V65" s="747" t="s">
        <v>524</v>
      </c>
    </row>
    <row r="66" spans="1:22" ht="33.75" customHeight="1" x14ac:dyDescent="0.25">
      <c r="A66" s="751"/>
      <c r="B66" s="752"/>
      <c r="C66" s="753"/>
      <c r="D66" s="750"/>
      <c r="E66" s="750"/>
      <c r="F66" s="470" t="s">
        <v>20</v>
      </c>
      <c r="G66" s="582">
        <v>0.05</v>
      </c>
      <c r="H66" s="582">
        <v>0.05</v>
      </c>
      <c r="I66" s="582">
        <v>0.09</v>
      </c>
      <c r="J66" s="582">
        <v>0.09</v>
      </c>
      <c r="K66" s="582">
        <v>0.09</v>
      </c>
      <c r="L66" s="582">
        <v>0.09</v>
      </c>
      <c r="M66" s="582"/>
      <c r="N66" s="582"/>
      <c r="O66" s="582"/>
      <c r="P66" s="582"/>
      <c r="Q66" s="582"/>
      <c r="R66" s="582"/>
      <c r="S66" s="471">
        <f t="shared" si="0"/>
        <v>0.45999999999999996</v>
      </c>
      <c r="T66" s="754"/>
      <c r="U66" s="746"/>
      <c r="V66" s="747"/>
    </row>
    <row r="67" spans="1:22" ht="33.75" customHeight="1" x14ac:dyDescent="0.25">
      <c r="A67" s="751"/>
      <c r="B67" s="752"/>
      <c r="C67" s="753" t="s">
        <v>450</v>
      </c>
      <c r="D67" s="750" t="s">
        <v>416</v>
      </c>
      <c r="E67" s="750" t="s">
        <v>416</v>
      </c>
      <c r="F67" s="469" t="s">
        <v>19</v>
      </c>
      <c r="G67" s="581">
        <v>0.05</v>
      </c>
      <c r="H67" s="581">
        <v>0.05</v>
      </c>
      <c r="I67" s="581">
        <v>0.09</v>
      </c>
      <c r="J67" s="581">
        <v>0.09</v>
      </c>
      <c r="K67" s="581">
        <v>0.09</v>
      </c>
      <c r="L67" s="581">
        <v>0.09</v>
      </c>
      <c r="M67" s="581">
        <v>0.09</v>
      </c>
      <c r="N67" s="581">
        <v>0.09</v>
      </c>
      <c r="O67" s="581">
        <v>0.09</v>
      </c>
      <c r="P67" s="581">
        <v>0.09</v>
      </c>
      <c r="Q67" s="581">
        <v>0.09</v>
      </c>
      <c r="R67" s="581">
        <v>0.09</v>
      </c>
      <c r="S67" s="466">
        <f t="shared" si="0"/>
        <v>0.99999999999999978</v>
      </c>
      <c r="T67" s="754"/>
      <c r="U67" s="746">
        <v>1.2500000000000001E-2</v>
      </c>
      <c r="V67" s="747" t="s">
        <v>525</v>
      </c>
    </row>
    <row r="68" spans="1:22" ht="33.75" customHeight="1" x14ac:dyDescent="0.25">
      <c r="A68" s="751"/>
      <c r="B68" s="752"/>
      <c r="C68" s="753"/>
      <c r="D68" s="750"/>
      <c r="E68" s="750"/>
      <c r="F68" s="470" t="s">
        <v>20</v>
      </c>
      <c r="G68" s="582">
        <v>0.05</v>
      </c>
      <c r="H68" s="582">
        <v>0</v>
      </c>
      <c r="I68" s="582">
        <v>0.09</v>
      </c>
      <c r="J68" s="582">
        <v>0.09</v>
      </c>
      <c r="K68" s="582">
        <v>1.4E-2</v>
      </c>
      <c r="L68" s="582">
        <v>0.09</v>
      </c>
      <c r="M68" s="582"/>
      <c r="N68" s="582"/>
      <c r="O68" s="582"/>
      <c r="P68" s="582"/>
      <c r="Q68" s="582"/>
      <c r="R68" s="582"/>
      <c r="S68" s="471">
        <f t="shared" si="0"/>
        <v>0.33400000000000002</v>
      </c>
      <c r="T68" s="754"/>
      <c r="U68" s="746"/>
      <c r="V68" s="748"/>
    </row>
    <row r="69" spans="1:22" ht="33.75" customHeight="1" x14ac:dyDescent="0.25">
      <c r="A69" s="749" t="s">
        <v>451</v>
      </c>
      <c r="B69" s="749"/>
      <c r="C69" s="749"/>
      <c r="D69" s="749"/>
      <c r="E69" s="749"/>
      <c r="F69" s="749"/>
      <c r="G69" s="749"/>
      <c r="H69" s="749"/>
      <c r="I69" s="749"/>
      <c r="J69" s="749"/>
      <c r="K69" s="749"/>
      <c r="L69" s="749"/>
      <c r="M69" s="749"/>
      <c r="N69" s="749"/>
      <c r="O69" s="749"/>
      <c r="P69" s="749"/>
      <c r="Q69" s="749"/>
      <c r="R69" s="749"/>
      <c r="S69" s="749"/>
      <c r="T69" s="474">
        <f>SUM(T9:T68)</f>
        <v>1</v>
      </c>
      <c r="U69" s="474">
        <f>SUM(U9:U68)</f>
        <v>1.0000000000000002</v>
      </c>
      <c r="V69" s="475"/>
    </row>
    <row r="70" spans="1:22" ht="33.75" customHeight="1" x14ac:dyDescent="0.25">
      <c r="A70" s="11"/>
      <c r="B70" s="11"/>
      <c r="C70" s="14"/>
      <c r="D70" s="11"/>
      <c r="E70" s="11"/>
      <c r="F70" s="11"/>
      <c r="G70" s="11"/>
      <c r="H70" s="11"/>
      <c r="I70" s="11"/>
      <c r="J70" s="11"/>
      <c r="K70" s="11"/>
      <c r="L70" s="11"/>
      <c r="M70" s="11"/>
      <c r="N70" s="12"/>
      <c r="O70" s="12"/>
      <c r="P70" s="12"/>
      <c r="Q70" s="12"/>
      <c r="R70" s="12"/>
      <c r="S70" s="12"/>
      <c r="T70" s="12"/>
      <c r="U70" s="37"/>
    </row>
    <row r="71" spans="1:22" ht="33.75" customHeight="1" x14ac:dyDescent="0.25">
      <c r="A71" s="11"/>
      <c r="B71" s="11"/>
      <c r="C71" s="14"/>
      <c r="D71" s="11"/>
      <c r="E71" s="11"/>
      <c r="F71" s="11"/>
      <c r="G71" s="11"/>
      <c r="H71" s="11"/>
      <c r="I71" s="11"/>
      <c r="J71" s="11"/>
      <c r="K71" s="11"/>
      <c r="L71" s="11"/>
      <c r="M71" s="11"/>
      <c r="N71" s="12"/>
      <c r="O71" s="12"/>
      <c r="P71" s="12"/>
      <c r="Q71" s="12"/>
      <c r="R71" s="12"/>
      <c r="S71" s="12"/>
      <c r="T71" s="12"/>
      <c r="U71" s="12"/>
    </row>
    <row r="72" spans="1:22" ht="33.75" customHeight="1" x14ac:dyDescent="0.25">
      <c r="A72" s="11"/>
      <c r="B72" s="11"/>
      <c r="C72" s="14"/>
      <c r="D72" s="11"/>
      <c r="E72" s="11"/>
      <c r="F72" s="11"/>
      <c r="G72" s="11"/>
      <c r="H72" s="11"/>
      <c r="I72" s="11"/>
      <c r="J72" s="11"/>
      <c r="K72" s="11"/>
      <c r="L72" s="11"/>
      <c r="M72" s="11"/>
      <c r="N72" s="12"/>
      <c r="O72" s="12"/>
      <c r="P72" s="12"/>
      <c r="Q72" s="12"/>
      <c r="R72" s="12"/>
      <c r="S72" s="12"/>
      <c r="T72" s="12"/>
      <c r="U72" s="12"/>
    </row>
    <row r="73" spans="1:22" ht="33.75" customHeight="1" x14ac:dyDescent="0.25">
      <c r="B73" s="44" t="s">
        <v>36</v>
      </c>
      <c r="C73" s="800" t="s">
        <v>37</v>
      </c>
      <c r="D73" s="801"/>
      <c r="E73" s="801"/>
      <c r="F73" s="801"/>
      <c r="G73" s="801"/>
      <c r="H73" s="801"/>
      <c r="I73" s="802"/>
      <c r="J73" s="803" t="s">
        <v>38</v>
      </c>
      <c r="K73" s="804"/>
      <c r="L73" s="804"/>
      <c r="M73" s="804"/>
      <c r="N73" s="804"/>
      <c r="O73" s="804"/>
      <c r="P73" s="805"/>
      <c r="Q73" s="12"/>
      <c r="R73" s="12"/>
      <c r="S73" s="12"/>
      <c r="T73" s="12"/>
      <c r="U73" s="12"/>
    </row>
    <row r="74" spans="1:22" ht="33.75" customHeight="1" x14ac:dyDescent="0.25">
      <c r="A74" s="11"/>
      <c r="B74" s="21">
        <v>13</v>
      </c>
      <c r="C74" s="664" t="s">
        <v>97</v>
      </c>
      <c r="D74" s="664"/>
      <c r="E74" s="664"/>
      <c r="F74" s="664"/>
      <c r="G74" s="664"/>
      <c r="H74" s="664"/>
      <c r="I74" s="664"/>
      <c r="J74" s="664" t="s">
        <v>88</v>
      </c>
      <c r="K74" s="664"/>
      <c r="L74" s="664"/>
      <c r="M74" s="664"/>
      <c r="N74" s="664"/>
      <c r="O74" s="664"/>
      <c r="P74" s="664"/>
      <c r="Q74" s="12"/>
      <c r="R74" s="12"/>
      <c r="S74" s="12"/>
      <c r="T74" s="12"/>
      <c r="U74" s="12"/>
    </row>
    <row r="75" spans="1:22" ht="33.75" customHeight="1" x14ac:dyDescent="0.25">
      <c r="A75" s="11"/>
      <c r="B75" s="21">
        <v>14</v>
      </c>
      <c r="C75" s="664" t="s">
        <v>351</v>
      </c>
      <c r="D75" s="664"/>
      <c r="E75" s="664"/>
      <c r="F75" s="664"/>
      <c r="G75" s="664"/>
      <c r="H75" s="664"/>
      <c r="I75" s="664"/>
      <c r="J75" s="665"/>
      <c r="K75" s="665"/>
      <c r="L75" s="665"/>
      <c r="M75" s="665"/>
      <c r="N75" s="665"/>
      <c r="O75" s="665"/>
      <c r="P75" s="665"/>
      <c r="Q75" s="12"/>
      <c r="R75" s="12"/>
      <c r="S75" s="12"/>
      <c r="T75" s="12"/>
      <c r="U75" s="12"/>
    </row>
    <row r="76" spans="1:22" ht="33.75" customHeight="1" x14ac:dyDescent="0.25">
      <c r="A76" s="11"/>
      <c r="B76" s="11"/>
      <c r="C76" s="14"/>
      <c r="D76" s="11"/>
      <c r="E76" s="11"/>
      <c r="F76" s="11"/>
      <c r="G76" s="11"/>
      <c r="H76" s="11"/>
      <c r="I76" s="11"/>
      <c r="J76" s="11"/>
      <c r="K76" s="11"/>
      <c r="L76" s="11"/>
      <c r="M76" s="11"/>
      <c r="N76" s="12"/>
      <c r="O76" s="12"/>
      <c r="P76" s="12"/>
      <c r="Q76" s="12"/>
      <c r="R76" s="12"/>
      <c r="S76" s="12"/>
      <c r="T76" s="12"/>
      <c r="U76" s="12"/>
    </row>
    <row r="77" spans="1:22" ht="33.75" customHeight="1" x14ac:dyDescent="0.25">
      <c r="A77" s="11"/>
      <c r="B77" s="11"/>
      <c r="C77" s="14"/>
      <c r="D77" s="11"/>
      <c r="E77" s="11"/>
      <c r="F77" s="11"/>
      <c r="G77" s="11"/>
      <c r="H77" s="11"/>
      <c r="I77" s="11"/>
      <c r="J77" s="11"/>
      <c r="K77" s="11"/>
      <c r="L77" s="11"/>
      <c r="M77" s="11"/>
      <c r="N77" s="12"/>
      <c r="O77" s="12"/>
      <c r="P77" s="12"/>
      <c r="Q77" s="12"/>
      <c r="R77" s="12"/>
      <c r="S77" s="12"/>
      <c r="T77" s="12"/>
      <c r="U77" s="12"/>
    </row>
    <row r="78" spans="1:22" ht="33.75" customHeight="1" x14ac:dyDescent="0.25">
      <c r="A78" s="11"/>
      <c r="B78" s="11"/>
      <c r="C78" s="14"/>
      <c r="D78" s="11"/>
      <c r="E78" s="11"/>
      <c r="F78" s="11"/>
      <c r="G78" s="11"/>
      <c r="H78" s="11"/>
      <c r="I78" s="11"/>
      <c r="J78" s="11"/>
      <c r="K78" s="11"/>
      <c r="L78" s="11"/>
      <c r="M78" s="11"/>
      <c r="N78" s="12"/>
      <c r="O78" s="12"/>
      <c r="P78" s="12"/>
      <c r="Q78" s="12"/>
      <c r="R78" s="12"/>
      <c r="S78" s="12"/>
      <c r="T78" s="12"/>
      <c r="U78" s="12"/>
    </row>
    <row r="79" spans="1:22" ht="33.75" customHeight="1" x14ac:dyDescent="0.25">
      <c r="A79" s="11"/>
      <c r="B79" s="11"/>
      <c r="C79" s="14"/>
      <c r="D79" s="11"/>
      <c r="E79" s="11"/>
      <c r="F79" s="11"/>
      <c r="G79" s="11"/>
      <c r="H79" s="11"/>
      <c r="I79" s="11"/>
      <c r="J79" s="11"/>
      <c r="K79" s="11"/>
      <c r="L79" s="11"/>
      <c r="M79" s="11"/>
      <c r="N79" s="12"/>
      <c r="O79" s="12"/>
      <c r="P79" s="12"/>
      <c r="Q79" s="12"/>
      <c r="R79" s="12"/>
      <c r="S79" s="12"/>
      <c r="T79" s="12"/>
      <c r="U79" s="12"/>
    </row>
    <row r="80" spans="1:22" ht="33.75" customHeight="1" x14ac:dyDescent="0.25">
      <c r="A80" s="11"/>
      <c r="B80" s="11"/>
      <c r="C80" s="14"/>
      <c r="D80" s="11"/>
      <c r="E80" s="11"/>
      <c r="F80" s="11"/>
      <c r="G80" s="11"/>
      <c r="H80" s="11"/>
      <c r="I80" s="11"/>
      <c r="J80" s="11"/>
      <c r="K80" s="11"/>
      <c r="L80" s="11"/>
      <c r="M80" s="11"/>
      <c r="N80" s="12"/>
      <c r="O80" s="12"/>
      <c r="P80" s="12"/>
      <c r="Q80" s="12"/>
      <c r="R80" s="12"/>
      <c r="S80" s="12"/>
      <c r="T80" s="12"/>
      <c r="U80" s="12"/>
    </row>
    <row r="81" spans="1:21" ht="33.75" customHeight="1" x14ac:dyDescent="0.25">
      <c r="A81" s="11"/>
      <c r="B81" s="11"/>
      <c r="C81" s="14"/>
      <c r="D81" s="11"/>
      <c r="E81" s="11"/>
      <c r="F81" s="11"/>
      <c r="G81" s="11"/>
      <c r="H81" s="11"/>
      <c r="I81" s="11"/>
      <c r="J81" s="11"/>
      <c r="K81" s="11"/>
      <c r="L81" s="11"/>
      <c r="M81" s="11"/>
      <c r="N81" s="12"/>
      <c r="O81" s="12"/>
      <c r="P81" s="12"/>
      <c r="Q81" s="12"/>
      <c r="R81" s="12"/>
      <c r="S81" s="12"/>
      <c r="T81" s="12"/>
      <c r="U81" s="12"/>
    </row>
    <row r="82" spans="1:21" ht="33.75" customHeight="1" x14ac:dyDescent="0.25">
      <c r="A82" s="11"/>
      <c r="B82" s="11"/>
      <c r="C82" s="14"/>
      <c r="D82" s="11"/>
      <c r="E82" s="11"/>
      <c r="F82" s="11"/>
      <c r="G82" s="11"/>
      <c r="H82" s="11"/>
      <c r="I82" s="11"/>
      <c r="J82" s="11"/>
      <c r="K82" s="11"/>
      <c r="L82" s="11"/>
      <c r="M82" s="11"/>
      <c r="N82" s="12"/>
      <c r="O82" s="12"/>
      <c r="P82" s="12"/>
      <c r="Q82" s="12"/>
      <c r="R82" s="12"/>
      <c r="S82" s="12"/>
      <c r="T82" s="12"/>
      <c r="U82" s="12"/>
    </row>
    <row r="83" spans="1:21" ht="33.75" customHeight="1" x14ac:dyDescent="0.25">
      <c r="A83" s="11"/>
      <c r="B83" s="11"/>
      <c r="C83" s="14"/>
      <c r="D83" s="11"/>
      <c r="E83" s="11"/>
      <c r="F83" s="11"/>
      <c r="G83" s="11"/>
      <c r="H83" s="11"/>
      <c r="I83" s="11"/>
      <c r="J83" s="11"/>
      <c r="K83" s="11"/>
      <c r="L83" s="11"/>
      <c r="M83" s="11"/>
      <c r="N83" s="12"/>
      <c r="O83" s="12"/>
      <c r="P83" s="12"/>
      <c r="Q83" s="12"/>
      <c r="R83" s="12"/>
      <c r="S83" s="12"/>
      <c r="T83" s="12"/>
      <c r="U83" s="12"/>
    </row>
    <row r="84" spans="1:21" ht="33.75" customHeight="1" x14ac:dyDescent="0.25">
      <c r="A84" s="11"/>
      <c r="B84" s="11"/>
      <c r="C84" s="14"/>
      <c r="D84" s="11"/>
      <c r="E84" s="11"/>
      <c r="F84" s="11"/>
      <c r="G84" s="11"/>
      <c r="H84" s="11"/>
      <c r="I84" s="11"/>
      <c r="J84" s="11"/>
      <c r="K84" s="11"/>
      <c r="L84" s="11"/>
      <c r="M84" s="11"/>
      <c r="N84" s="12"/>
      <c r="O84" s="12"/>
      <c r="P84" s="12"/>
      <c r="Q84" s="12"/>
      <c r="R84" s="12"/>
      <c r="S84" s="12"/>
      <c r="T84" s="12"/>
      <c r="U84" s="12"/>
    </row>
    <row r="85" spans="1:21" ht="33.75" customHeight="1" x14ac:dyDescent="0.25">
      <c r="A85" s="11"/>
      <c r="B85" s="11"/>
      <c r="C85" s="14"/>
      <c r="D85" s="11"/>
      <c r="E85" s="11"/>
      <c r="F85" s="11"/>
      <c r="G85" s="11"/>
      <c r="H85" s="11"/>
      <c r="I85" s="11"/>
      <c r="J85" s="11"/>
      <c r="K85" s="11"/>
      <c r="L85" s="11"/>
      <c r="M85" s="11"/>
      <c r="N85" s="12"/>
      <c r="O85" s="12"/>
      <c r="P85" s="12"/>
      <c r="Q85" s="12"/>
      <c r="R85" s="12"/>
      <c r="S85" s="12"/>
      <c r="T85" s="12"/>
      <c r="U85" s="12"/>
    </row>
    <row r="86" spans="1:21" ht="33.75" customHeight="1" x14ac:dyDescent="0.25">
      <c r="A86" s="11"/>
      <c r="B86" s="11"/>
      <c r="C86" s="14"/>
      <c r="D86" s="11"/>
      <c r="E86" s="11"/>
      <c r="F86" s="11"/>
      <c r="G86" s="11"/>
      <c r="H86" s="11"/>
      <c r="I86" s="11"/>
      <c r="J86" s="11"/>
      <c r="K86" s="11"/>
      <c r="L86" s="11"/>
      <c r="M86" s="11"/>
      <c r="N86" s="12"/>
      <c r="O86" s="12"/>
      <c r="P86" s="12"/>
      <c r="Q86" s="12"/>
      <c r="R86" s="12"/>
      <c r="S86" s="12"/>
      <c r="T86" s="12"/>
      <c r="U86" s="12"/>
    </row>
    <row r="87" spans="1:21" ht="33.75" customHeight="1" x14ac:dyDescent="0.25">
      <c r="A87" s="11"/>
      <c r="B87" s="11"/>
      <c r="C87" s="14"/>
      <c r="D87" s="11"/>
      <c r="E87" s="11"/>
      <c r="F87" s="11"/>
      <c r="G87" s="11"/>
      <c r="H87" s="11"/>
      <c r="I87" s="11"/>
      <c r="J87" s="11"/>
      <c r="K87" s="11"/>
      <c r="L87" s="11"/>
      <c r="M87" s="11"/>
      <c r="N87" s="12"/>
      <c r="O87" s="12"/>
      <c r="P87" s="12"/>
      <c r="Q87" s="12"/>
      <c r="R87" s="12"/>
      <c r="S87" s="12"/>
      <c r="T87" s="12"/>
      <c r="U87" s="12"/>
    </row>
    <row r="88" spans="1:21" ht="33.75" customHeight="1" x14ac:dyDescent="0.25">
      <c r="A88" s="11"/>
      <c r="B88" s="11"/>
      <c r="C88" s="14"/>
      <c r="D88" s="11"/>
      <c r="E88" s="11"/>
      <c r="F88" s="11"/>
      <c r="G88" s="11"/>
      <c r="H88" s="11"/>
      <c r="I88" s="11"/>
      <c r="J88" s="11"/>
      <c r="K88" s="11"/>
      <c r="L88" s="11"/>
      <c r="M88" s="11"/>
      <c r="N88" s="12"/>
      <c r="O88" s="12"/>
      <c r="P88" s="12"/>
      <c r="Q88" s="12"/>
      <c r="R88" s="12"/>
      <c r="S88" s="12"/>
      <c r="T88" s="12"/>
      <c r="U88" s="12"/>
    </row>
    <row r="89" spans="1:21" ht="33.75" customHeight="1" x14ac:dyDescent="0.25">
      <c r="A89" s="11"/>
      <c r="B89" s="11"/>
      <c r="C89" s="14"/>
      <c r="D89" s="11"/>
      <c r="E89" s="11"/>
      <c r="F89" s="11"/>
      <c r="G89" s="11"/>
      <c r="H89" s="11"/>
      <c r="I89" s="11"/>
      <c r="J89" s="11"/>
      <c r="K89" s="11"/>
      <c r="L89" s="11"/>
      <c r="M89" s="11"/>
      <c r="N89" s="12"/>
      <c r="O89" s="12"/>
      <c r="P89" s="12"/>
      <c r="Q89" s="12"/>
      <c r="R89" s="12"/>
      <c r="S89" s="12"/>
      <c r="T89" s="12"/>
      <c r="U89" s="12"/>
    </row>
    <row r="90" spans="1:21" ht="33.75" customHeight="1" x14ac:dyDescent="0.25">
      <c r="A90" s="11"/>
      <c r="B90" s="11"/>
      <c r="C90" s="14"/>
      <c r="D90" s="11"/>
      <c r="E90" s="11"/>
      <c r="F90" s="11"/>
      <c r="G90" s="11"/>
      <c r="H90" s="11"/>
      <c r="I90" s="11"/>
      <c r="J90" s="11"/>
      <c r="K90" s="11"/>
      <c r="L90" s="11"/>
      <c r="M90" s="11"/>
      <c r="N90" s="12"/>
      <c r="O90" s="12"/>
      <c r="P90" s="12"/>
      <c r="Q90" s="12"/>
      <c r="R90" s="12"/>
      <c r="S90" s="12"/>
      <c r="T90" s="12"/>
      <c r="U90" s="12"/>
    </row>
    <row r="91" spans="1:21" ht="33.75" customHeight="1" x14ac:dyDescent="0.25">
      <c r="A91" s="11"/>
      <c r="B91" s="11"/>
      <c r="C91" s="14"/>
      <c r="D91" s="11"/>
      <c r="E91" s="11"/>
      <c r="F91" s="11"/>
      <c r="G91" s="11"/>
      <c r="H91" s="11"/>
      <c r="I91" s="11"/>
      <c r="J91" s="11"/>
      <c r="K91" s="11"/>
      <c r="L91" s="11"/>
      <c r="M91" s="11"/>
      <c r="N91" s="12"/>
      <c r="O91" s="12"/>
      <c r="P91" s="12"/>
      <c r="Q91" s="12"/>
      <c r="R91" s="12"/>
      <c r="S91" s="12"/>
      <c r="T91" s="12"/>
      <c r="U91" s="12"/>
    </row>
    <row r="92" spans="1:21" ht="33.75" customHeight="1" x14ac:dyDescent="0.25">
      <c r="A92" s="11"/>
      <c r="B92" s="11"/>
      <c r="C92" s="14"/>
      <c r="D92" s="11"/>
      <c r="E92" s="11"/>
      <c r="F92" s="11"/>
      <c r="G92" s="11"/>
      <c r="H92" s="11"/>
      <c r="I92" s="11"/>
      <c r="J92" s="11"/>
      <c r="K92" s="11"/>
      <c r="L92" s="11"/>
      <c r="M92" s="11"/>
      <c r="N92" s="12"/>
      <c r="O92" s="12"/>
      <c r="P92" s="12"/>
      <c r="Q92" s="12"/>
      <c r="R92" s="12"/>
      <c r="S92" s="12"/>
      <c r="T92" s="12"/>
      <c r="U92" s="12"/>
    </row>
    <row r="93" spans="1:21" ht="33.75" customHeight="1" x14ac:dyDescent="0.25">
      <c r="A93" s="11"/>
      <c r="B93" s="11"/>
      <c r="C93" s="14"/>
      <c r="D93" s="11"/>
      <c r="E93" s="11"/>
      <c r="F93" s="11"/>
      <c r="G93" s="11"/>
      <c r="H93" s="11"/>
      <c r="I93" s="11"/>
      <c r="J93" s="11"/>
      <c r="K93" s="11"/>
      <c r="L93" s="11"/>
      <c r="M93" s="11"/>
      <c r="N93" s="12"/>
      <c r="O93" s="12"/>
      <c r="P93" s="12"/>
      <c r="Q93" s="12"/>
      <c r="R93" s="12"/>
      <c r="S93" s="12"/>
      <c r="T93" s="12"/>
      <c r="U93" s="12"/>
    </row>
    <row r="94" spans="1:21" ht="33.75" customHeight="1" x14ac:dyDescent="0.25">
      <c r="A94" s="11"/>
      <c r="B94" s="11"/>
      <c r="C94" s="14"/>
      <c r="D94" s="11"/>
      <c r="E94" s="11"/>
      <c r="F94" s="11"/>
      <c r="G94" s="11"/>
      <c r="H94" s="11"/>
      <c r="I94" s="11"/>
      <c r="J94" s="11"/>
      <c r="K94" s="11"/>
      <c r="L94" s="11"/>
      <c r="M94" s="11"/>
      <c r="N94" s="12"/>
      <c r="O94" s="12"/>
      <c r="P94" s="12"/>
      <c r="Q94" s="12"/>
      <c r="R94" s="12"/>
      <c r="S94" s="12"/>
      <c r="T94" s="12"/>
      <c r="U94" s="12"/>
    </row>
    <row r="95" spans="1:21" ht="33.75" customHeight="1" x14ac:dyDescent="0.25">
      <c r="A95" s="11"/>
      <c r="B95" s="11"/>
      <c r="C95" s="14"/>
      <c r="D95" s="11"/>
      <c r="E95" s="11"/>
      <c r="F95" s="11"/>
      <c r="G95" s="11"/>
      <c r="H95" s="11"/>
      <c r="I95" s="11"/>
      <c r="J95" s="11"/>
      <c r="K95" s="11"/>
      <c r="L95" s="11"/>
      <c r="M95" s="11"/>
      <c r="N95" s="12"/>
      <c r="O95" s="12"/>
      <c r="P95" s="12"/>
      <c r="Q95" s="12"/>
      <c r="R95" s="12"/>
      <c r="S95" s="12"/>
      <c r="T95" s="12"/>
      <c r="U95" s="12"/>
    </row>
    <row r="96" spans="1:21" ht="33.75" customHeight="1" x14ac:dyDescent="0.25">
      <c r="A96" s="11"/>
      <c r="B96" s="11"/>
      <c r="C96" s="14"/>
      <c r="D96" s="11"/>
      <c r="E96" s="11"/>
      <c r="F96" s="11"/>
      <c r="G96" s="11"/>
      <c r="H96" s="11"/>
      <c r="I96" s="11"/>
      <c r="J96" s="11"/>
      <c r="K96" s="11"/>
      <c r="L96" s="11"/>
      <c r="M96" s="11"/>
      <c r="N96" s="12"/>
      <c r="O96" s="12"/>
      <c r="P96" s="12"/>
      <c r="Q96" s="12"/>
      <c r="R96" s="12"/>
      <c r="S96" s="12"/>
      <c r="T96" s="12"/>
      <c r="U96" s="12"/>
    </row>
    <row r="97" spans="1:21" ht="33.75" customHeight="1" x14ac:dyDescent="0.25">
      <c r="A97" s="11"/>
      <c r="B97" s="11"/>
      <c r="C97" s="14"/>
      <c r="D97" s="11"/>
      <c r="E97" s="11"/>
      <c r="F97" s="11"/>
      <c r="G97" s="11"/>
      <c r="H97" s="11"/>
      <c r="I97" s="11"/>
      <c r="J97" s="11"/>
      <c r="K97" s="11"/>
      <c r="L97" s="11"/>
      <c r="M97" s="11"/>
      <c r="N97" s="12"/>
      <c r="O97" s="12"/>
      <c r="P97" s="12"/>
      <c r="Q97" s="12"/>
      <c r="R97" s="12"/>
      <c r="S97" s="12"/>
      <c r="T97" s="12"/>
      <c r="U97" s="12"/>
    </row>
    <row r="98" spans="1:21" ht="33.75" customHeight="1" x14ac:dyDescent="0.25">
      <c r="A98" s="11"/>
      <c r="B98" s="11"/>
      <c r="C98" s="14"/>
      <c r="D98" s="11"/>
      <c r="E98" s="11"/>
      <c r="F98" s="11"/>
      <c r="G98" s="11"/>
      <c r="H98" s="11"/>
      <c r="I98" s="11"/>
      <c r="J98" s="11"/>
      <c r="K98" s="11"/>
      <c r="L98" s="11"/>
      <c r="M98" s="11"/>
      <c r="N98" s="12"/>
      <c r="O98" s="12"/>
      <c r="P98" s="12"/>
      <c r="Q98" s="12"/>
      <c r="R98" s="12"/>
      <c r="S98" s="12"/>
      <c r="T98" s="12"/>
      <c r="U98" s="12"/>
    </row>
    <row r="99" spans="1:21" ht="33.75" customHeight="1" x14ac:dyDescent="0.25">
      <c r="A99" s="11"/>
      <c r="B99" s="11"/>
      <c r="C99" s="14"/>
      <c r="D99" s="11"/>
      <c r="E99" s="11"/>
      <c r="F99" s="11"/>
      <c r="G99" s="11"/>
      <c r="H99" s="11"/>
      <c r="I99" s="11"/>
      <c r="J99" s="11"/>
      <c r="K99" s="11"/>
      <c r="L99" s="11"/>
      <c r="M99" s="11"/>
      <c r="N99" s="12"/>
      <c r="O99" s="12"/>
      <c r="P99" s="12"/>
      <c r="Q99" s="12"/>
      <c r="R99" s="12"/>
      <c r="S99" s="12"/>
      <c r="T99" s="12"/>
      <c r="U99" s="12"/>
    </row>
    <row r="100" spans="1:21" ht="33.75" customHeight="1" x14ac:dyDescent="0.25">
      <c r="A100" s="11"/>
      <c r="B100" s="11"/>
      <c r="C100" s="14"/>
      <c r="D100" s="11"/>
      <c r="E100" s="11"/>
      <c r="F100" s="11"/>
      <c r="G100" s="11"/>
      <c r="H100" s="11"/>
      <c r="I100" s="11"/>
      <c r="J100" s="11"/>
      <c r="K100" s="11"/>
      <c r="L100" s="11"/>
      <c r="M100" s="11"/>
      <c r="N100" s="12"/>
      <c r="O100" s="12"/>
      <c r="P100" s="12"/>
      <c r="Q100" s="12"/>
      <c r="R100" s="12"/>
      <c r="S100" s="12"/>
      <c r="T100" s="12"/>
      <c r="U100" s="12"/>
    </row>
    <row r="101" spans="1:21" ht="33.75" customHeight="1" x14ac:dyDescent="0.25">
      <c r="A101" s="11"/>
      <c r="B101" s="11"/>
      <c r="C101" s="14"/>
      <c r="D101" s="11"/>
      <c r="E101" s="11"/>
      <c r="F101" s="11"/>
      <c r="G101" s="11"/>
      <c r="H101" s="11"/>
      <c r="I101" s="11"/>
      <c r="J101" s="11"/>
      <c r="K101" s="11"/>
      <c r="L101" s="11"/>
      <c r="M101" s="11"/>
      <c r="N101" s="12"/>
      <c r="O101" s="12"/>
      <c r="P101" s="12"/>
      <c r="Q101" s="12"/>
      <c r="R101" s="12"/>
      <c r="S101" s="12"/>
      <c r="T101" s="12"/>
      <c r="U101" s="12"/>
    </row>
    <row r="102" spans="1:21" ht="33.75" customHeight="1" x14ac:dyDescent="0.25">
      <c r="A102" s="11"/>
      <c r="B102" s="11"/>
      <c r="C102" s="14"/>
      <c r="D102" s="11"/>
      <c r="E102" s="11"/>
      <c r="F102" s="11"/>
      <c r="G102" s="11"/>
      <c r="H102" s="11"/>
      <c r="I102" s="11"/>
      <c r="J102" s="11"/>
      <c r="K102" s="11"/>
      <c r="L102" s="11"/>
      <c r="M102" s="11"/>
      <c r="N102" s="12"/>
      <c r="O102" s="12"/>
      <c r="P102" s="12"/>
      <c r="Q102" s="12"/>
      <c r="R102" s="12"/>
      <c r="S102" s="12"/>
      <c r="T102" s="12"/>
      <c r="U102" s="12"/>
    </row>
    <row r="103" spans="1:21" ht="33.75" customHeight="1" x14ac:dyDescent="0.25">
      <c r="A103" s="11"/>
      <c r="B103" s="11"/>
      <c r="C103" s="14"/>
      <c r="D103" s="11"/>
      <c r="E103" s="11"/>
      <c r="F103" s="11"/>
      <c r="G103" s="11"/>
      <c r="H103" s="11"/>
      <c r="I103" s="11"/>
      <c r="J103" s="11"/>
      <c r="K103" s="11"/>
      <c r="L103" s="11"/>
      <c r="M103" s="11"/>
      <c r="N103" s="12"/>
      <c r="O103" s="12"/>
      <c r="P103" s="12"/>
      <c r="Q103" s="12"/>
      <c r="R103" s="12"/>
      <c r="S103" s="12"/>
      <c r="T103" s="12"/>
      <c r="U103" s="12"/>
    </row>
    <row r="104" spans="1:21" ht="33.75" customHeight="1" x14ac:dyDescent="0.25">
      <c r="A104" s="11"/>
      <c r="B104" s="11"/>
      <c r="C104" s="14"/>
      <c r="D104" s="11"/>
      <c r="E104" s="11"/>
      <c r="F104" s="11"/>
      <c r="G104" s="11"/>
      <c r="H104" s="11"/>
      <c r="I104" s="11"/>
      <c r="J104" s="11"/>
      <c r="K104" s="11"/>
      <c r="L104" s="11"/>
      <c r="M104" s="11"/>
      <c r="N104" s="12"/>
      <c r="O104" s="12"/>
      <c r="P104" s="12"/>
      <c r="Q104" s="12"/>
      <c r="R104" s="12"/>
      <c r="S104" s="12"/>
      <c r="T104" s="12"/>
      <c r="U104" s="12"/>
    </row>
    <row r="105" spans="1:21" ht="33.75" customHeight="1" x14ac:dyDescent="0.25">
      <c r="A105" s="11"/>
      <c r="B105" s="11"/>
      <c r="C105" s="14"/>
      <c r="D105" s="11"/>
      <c r="E105" s="11"/>
      <c r="F105" s="11"/>
      <c r="G105" s="11"/>
      <c r="H105" s="11"/>
      <c r="I105" s="11"/>
      <c r="J105" s="11"/>
      <c r="K105" s="11"/>
      <c r="L105" s="11"/>
      <c r="M105" s="11"/>
      <c r="N105" s="12"/>
      <c r="O105" s="12"/>
      <c r="P105" s="12"/>
      <c r="Q105" s="12"/>
      <c r="R105" s="12"/>
      <c r="S105" s="12"/>
      <c r="T105" s="12"/>
      <c r="U105" s="12"/>
    </row>
    <row r="106" spans="1:21" ht="33.75" customHeight="1" x14ac:dyDescent="0.25">
      <c r="A106" s="11"/>
      <c r="B106" s="11"/>
      <c r="C106" s="14"/>
      <c r="D106" s="11"/>
      <c r="E106" s="11"/>
      <c r="F106" s="11"/>
      <c r="G106" s="11"/>
      <c r="H106" s="11"/>
      <c r="I106" s="11"/>
      <c r="J106" s="11"/>
      <c r="K106" s="11"/>
      <c r="L106" s="11"/>
      <c r="M106" s="11"/>
      <c r="N106" s="12"/>
      <c r="O106" s="12"/>
      <c r="P106" s="12"/>
      <c r="Q106" s="12"/>
      <c r="R106" s="12"/>
      <c r="S106" s="12"/>
      <c r="T106" s="12"/>
      <c r="U106" s="12"/>
    </row>
    <row r="107" spans="1:21" ht="33.75" customHeight="1" x14ac:dyDescent="0.25">
      <c r="A107" s="11"/>
      <c r="B107" s="11"/>
      <c r="C107" s="14"/>
      <c r="D107" s="11"/>
      <c r="E107" s="11"/>
      <c r="F107" s="11"/>
      <c r="G107" s="11"/>
      <c r="H107" s="11"/>
      <c r="I107" s="11"/>
      <c r="J107" s="11"/>
      <c r="K107" s="11"/>
      <c r="L107" s="11"/>
      <c r="M107" s="11"/>
      <c r="N107" s="12"/>
      <c r="O107" s="12"/>
      <c r="P107" s="12"/>
      <c r="Q107" s="12"/>
      <c r="R107" s="12"/>
      <c r="S107" s="12"/>
      <c r="T107" s="12"/>
      <c r="U107" s="12"/>
    </row>
    <row r="108" spans="1:21" ht="33.75" customHeight="1" x14ac:dyDescent="0.25">
      <c r="A108" s="11"/>
      <c r="B108" s="11"/>
      <c r="C108" s="14"/>
      <c r="D108" s="11"/>
      <c r="E108" s="11"/>
      <c r="F108" s="11"/>
      <c r="G108" s="11"/>
      <c r="H108" s="11"/>
      <c r="I108" s="11"/>
      <c r="J108" s="11"/>
      <c r="K108" s="11"/>
      <c r="L108" s="11"/>
      <c r="M108" s="11"/>
      <c r="N108" s="12"/>
      <c r="O108" s="12"/>
      <c r="P108" s="12"/>
      <c r="Q108" s="12"/>
      <c r="R108" s="12"/>
      <c r="S108" s="12"/>
      <c r="T108" s="12"/>
      <c r="U108" s="12"/>
    </row>
    <row r="109" spans="1:21" ht="33.75" customHeight="1" x14ac:dyDescent="0.25">
      <c r="A109" s="11"/>
      <c r="B109" s="11"/>
      <c r="C109" s="14"/>
      <c r="D109" s="11"/>
      <c r="E109" s="11"/>
      <c r="F109" s="11"/>
      <c r="G109" s="11"/>
      <c r="H109" s="11"/>
      <c r="I109" s="11"/>
      <c r="J109" s="11"/>
      <c r="K109" s="11"/>
      <c r="L109" s="11"/>
      <c r="M109" s="11"/>
      <c r="N109" s="12"/>
      <c r="O109" s="12"/>
      <c r="P109" s="12"/>
      <c r="Q109" s="12"/>
      <c r="R109" s="12"/>
      <c r="S109" s="12"/>
      <c r="T109" s="12"/>
      <c r="U109" s="12"/>
    </row>
    <row r="110" spans="1:21" ht="33.75" customHeight="1" x14ac:dyDescent="0.25">
      <c r="A110" s="11"/>
      <c r="B110" s="11"/>
      <c r="C110" s="14"/>
      <c r="D110" s="11"/>
      <c r="E110" s="11"/>
      <c r="F110" s="11"/>
      <c r="G110" s="11"/>
      <c r="H110" s="11"/>
      <c r="I110" s="11"/>
      <c r="J110" s="11"/>
      <c r="K110" s="11"/>
      <c r="L110" s="11"/>
      <c r="M110" s="11"/>
      <c r="N110" s="12"/>
      <c r="O110" s="12"/>
      <c r="P110" s="12"/>
      <c r="Q110" s="12"/>
      <c r="R110" s="12"/>
      <c r="S110" s="12"/>
      <c r="T110" s="12"/>
      <c r="U110" s="12"/>
    </row>
    <row r="111" spans="1:21" ht="33.75" customHeight="1" x14ac:dyDescent="0.25">
      <c r="A111" s="11"/>
      <c r="B111" s="11"/>
      <c r="C111" s="14"/>
      <c r="D111" s="11"/>
      <c r="E111" s="11"/>
      <c r="F111" s="11"/>
      <c r="G111" s="11"/>
      <c r="H111" s="11"/>
      <c r="I111" s="11"/>
      <c r="J111" s="11"/>
      <c r="K111" s="11"/>
      <c r="L111" s="11"/>
      <c r="M111" s="11"/>
      <c r="N111" s="12"/>
      <c r="O111" s="12"/>
      <c r="P111" s="12"/>
      <c r="Q111" s="12"/>
      <c r="R111" s="12"/>
      <c r="S111" s="12"/>
      <c r="T111" s="12"/>
      <c r="U111" s="12"/>
    </row>
    <row r="112" spans="1:21" ht="33.75" customHeight="1" x14ac:dyDescent="0.25">
      <c r="A112" s="11"/>
      <c r="B112" s="11"/>
      <c r="C112" s="14"/>
      <c r="D112" s="11"/>
      <c r="E112" s="11"/>
      <c r="F112" s="11"/>
      <c r="G112" s="11"/>
      <c r="H112" s="11"/>
      <c r="I112" s="11"/>
      <c r="J112" s="11"/>
      <c r="K112" s="11"/>
      <c r="L112" s="11"/>
      <c r="M112" s="11"/>
      <c r="N112" s="12"/>
      <c r="O112" s="12"/>
      <c r="P112" s="12"/>
      <c r="Q112" s="12"/>
      <c r="R112" s="12"/>
      <c r="S112" s="12"/>
      <c r="T112" s="12"/>
      <c r="U112" s="12"/>
    </row>
    <row r="113" spans="1:21" ht="33.75" customHeight="1" x14ac:dyDescent="0.25">
      <c r="A113" s="11"/>
      <c r="B113" s="11"/>
      <c r="C113" s="14"/>
      <c r="D113" s="11"/>
      <c r="E113" s="11"/>
      <c r="F113" s="11"/>
      <c r="G113" s="11"/>
      <c r="H113" s="11"/>
      <c r="I113" s="11"/>
      <c r="J113" s="11"/>
      <c r="K113" s="11"/>
      <c r="L113" s="11"/>
      <c r="M113" s="11"/>
      <c r="N113" s="12"/>
      <c r="O113" s="12"/>
      <c r="P113" s="12"/>
      <c r="Q113" s="12"/>
      <c r="R113" s="12"/>
      <c r="S113" s="12"/>
      <c r="T113" s="12"/>
      <c r="U113" s="12"/>
    </row>
    <row r="114" spans="1:21" ht="33.75" customHeight="1" x14ac:dyDescent="0.25">
      <c r="A114" s="11"/>
      <c r="B114" s="11"/>
      <c r="C114" s="14"/>
      <c r="D114" s="11"/>
      <c r="E114" s="11"/>
      <c r="F114" s="11"/>
      <c r="G114" s="11"/>
      <c r="H114" s="11"/>
      <c r="I114" s="11"/>
      <c r="J114" s="11"/>
      <c r="K114" s="11"/>
      <c r="L114" s="11"/>
      <c r="M114" s="11"/>
      <c r="N114" s="12"/>
      <c r="O114" s="12"/>
      <c r="P114" s="12"/>
      <c r="Q114" s="12"/>
      <c r="R114" s="12"/>
      <c r="S114" s="12"/>
      <c r="T114" s="12"/>
      <c r="U114" s="12"/>
    </row>
    <row r="115" spans="1:21" ht="33.75" customHeight="1" x14ac:dyDescent="0.25">
      <c r="A115" s="11"/>
      <c r="B115" s="11"/>
      <c r="C115" s="14"/>
      <c r="D115" s="11"/>
      <c r="E115" s="11"/>
      <c r="F115" s="11"/>
      <c r="G115" s="11"/>
      <c r="H115" s="11"/>
      <c r="I115" s="11"/>
      <c r="J115" s="11"/>
      <c r="K115" s="11"/>
      <c r="L115" s="11"/>
      <c r="M115" s="11"/>
      <c r="N115" s="12"/>
      <c r="O115" s="12"/>
      <c r="P115" s="12"/>
      <c r="Q115" s="12"/>
      <c r="R115" s="12"/>
      <c r="S115" s="12"/>
      <c r="T115" s="12"/>
      <c r="U115" s="12"/>
    </row>
    <row r="116" spans="1:21" ht="33.75" customHeight="1" x14ac:dyDescent="0.25">
      <c r="A116" s="11"/>
      <c r="B116" s="11"/>
      <c r="C116" s="14"/>
      <c r="D116" s="11"/>
      <c r="E116" s="11"/>
      <c r="F116" s="11"/>
      <c r="G116" s="11"/>
      <c r="H116" s="11"/>
      <c r="I116" s="11"/>
      <c r="J116" s="11"/>
      <c r="K116" s="11"/>
      <c r="L116" s="11"/>
      <c r="M116" s="11"/>
      <c r="N116" s="12"/>
      <c r="O116" s="12"/>
      <c r="P116" s="12"/>
      <c r="Q116" s="12"/>
      <c r="R116" s="12"/>
      <c r="S116" s="12"/>
      <c r="T116" s="12"/>
      <c r="U116" s="12"/>
    </row>
    <row r="117" spans="1:21" ht="33.75" customHeight="1" x14ac:dyDescent="0.25">
      <c r="A117" s="11"/>
      <c r="B117" s="11"/>
      <c r="C117" s="14"/>
      <c r="D117" s="11"/>
      <c r="E117" s="11"/>
      <c r="F117" s="11"/>
      <c r="G117" s="11"/>
      <c r="H117" s="11"/>
      <c r="I117" s="11"/>
      <c r="J117" s="11"/>
      <c r="K117" s="11"/>
      <c r="L117" s="11"/>
      <c r="M117" s="11"/>
      <c r="N117" s="12"/>
      <c r="O117" s="12"/>
      <c r="P117" s="12"/>
      <c r="Q117" s="12"/>
      <c r="R117" s="12"/>
      <c r="S117" s="12"/>
      <c r="T117" s="12"/>
      <c r="U117" s="12"/>
    </row>
    <row r="118" spans="1:21" ht="33.75" customHeight="1" x14ac:dyDescent="0.25">
      <c r="A118" s="11"/>
      <c r="B118" s="11"/>
      <c r="C118" s="14"/>
      <c r="D118" s="11"/>
      <c r="E118" s="11"/>
      <c r="F118" s="11"/>
      <c r="G118" s="11"/>
      <c r="H118" s="11"/>
      <c r="I118" s="11"/>
      <c r="J118" s="11"/>
      <c r="K118" s="11"/>
      <c r="L118" s="11"/>
      <c r="M118" s="11"/>
      <c r="N118" s="12"/>
      <c r="O118" s="12"/>
      <c r="P118" s="12"/>
      <c r="Q118" s="12"/>
      <c r="R118" s="12"/>
      <c r="S118" s="12"/>
      <c r="T118" s="12"/>
      <c r="U118" s="12"/>
    </row>
    <row r="119" spans="1:21" ht="33.75" customHeight="1" x14ac:dyDescent="0.25">
      <c r="A119" s="11"/>
      <c r="B119" s="11"/>
      <c r="C119" s="14"/>
      <c r="D119" s="11"/>
      <c r="E119" s="11"/>
      <c r="F119" s="11"/>
      <c r="G119" s="11"/>
      <c r="H119" s="11"/>
      <c r="I119" s="11"/>
      <c r="J119" s="11"/>
      <c r="K119" s="11"/>
      <c r="L119" s="11"/>
      <c r="M119" s="11"/>
      <c r="N119" s="12"/>
      <c r="O119" s="12"/>
      <c r="P119" s="12"/>
      <c r="Q119" s="12"/>
      <c r="R119" s="12"/>
      <c r="S119" s="12"/>
      <c r="T119" s="12"/>
      <c r="U119" s="12"/>
    </row>
    <row r="120" spans="1:21" ht="33.75" customHeight="1" x14ac:dyDescent="0.25">
      <c r="A120" s="11"/>
      <c r="B120" s="11"/>
      <c r="C120" s="14"/>
      <c r="D120" s="11"/>
      <c r="E120" s="11"/>
      <c r="F120" s="11"/>
      <c r="G120" s="11"/>
      <c r="H120" s="11"/>
      <c r="I120" s="11"/>
      <c r="J120" s="11"/>
      <c r="K120" s="11"/>
      <c r="L120" s="11"/>
      <c r="M120" s="11"/>
      <c r="N120" s="12"/>
      <c r="O120" s="12"/>
      <c r="P120" s="12"/>
      <c r="Q120" s="12"/>
      <c r="R120" s="12"/>
      <c r="S120" s="12"/>
      <c r="T120" s="12"/>
      <c r="U120" s="12"/>
    </row>
    <row r="121" spans="1:21" ht="33.75" customHeight="1" x14ac:dyDescent="0.25">
      <c r="A121" s="11"/>
      <c r="B121" s="11"/>
      <c r="C121" s="14"/>
      <c r="D121" s="11"/>
      <c r="E121" s="11"/>
      <c r="F121" s="11"/>
      <c r="G121" s="11"/>
      <c r="H121" s="11"/>
      <c r="I121" s="11"/>
      <c r="J121" s="11"/>
      <c r="K121" s="11"/>
      <c r="L121" s="11"/>
      <c r="M121" s="11"/>
      <c r="N121" s="12"/>
      <c r="O121" s="12"/>
      <c r="P121" s="12"/>
      <c r="Q121" s="12"/>
      <c r="R121" s="12"/>
      <c r="S121" s="12"/>
      <c r="T121" s="12"/>
      <c r="U121" s="12"/>
    </row>
    <row r="122" spans="1:21" ht="33.75" customHeight="1" x14ac:dyDescent="0.25">
      <c r="A122" s="11"/>
      <c r="B122" s="11"/>
      <c r="C122" s="14"/>
      <c r="D122" s="11"/>
      <c r="E122" s="11"/>
      <c r="F122" s="11"/>
      <c r="G122" s="11"/>
      <c r="H122" s="11"/>
      <c r="I122" s="11"/>
      <c r="J122" s="11"/>
      <c r="K122" s="11"/>
      <c r="L122" s="11"/>
      <c r="M122" s="11"/>
      <c r="N122" s="12"/>
      <c r="O122" s="12"/>
      <c r="P122" s="12"/>
      <c r="Q122" s="12"/>
      <c r="R122" s="12"/>
      <c r="S122" s="12"/>
      <c r="T122" s="12"/>
      <c r="U122" s="12"/>
    </row>
    <row r="123" spans="1:21" ht="33.75" customHeight="1" x14ac:dyDescent="0.25">
      <c r="A123" s="11"/>
      <c r="B123" s="11"/>
      <c r="C123" s="14"/>
      <c r="D123" s="11"/>
      <c r="E123" s="11"/>
      <c r="F123" s="11"/>
      <c r="G123" s="11"/>
      <c r="H123" s="11"/>
      <c r="I123" s="11"/>
      <c r="J123" s="11"/>
      <c r="K123" s="11"/>
      <c r="L123" s="11"/>
      <c r="M123" s="11"/>
      <c r="N123" s="12"/>
      <c r="O123" s="12"/>
      <c r="P123" s="12"/>
      <c r="Q123" s="12"/>
      <c r="R123" s="12"/>
      <c r="S123" s="12"/>
      <c r="T123" s="12"/>
      <c r="U123" s="12"/>
    </row>
    <row r="124" spans="1:21" ht="33.75" customHeight="1" x14ac:dyDescent="0.25">
      <c r="A124" s="11"/>
      <c r="B124" s="11"/>
      <c r="C124" s="14"/>
      <c r="D124" s="11"/>
      <c r="E124" s="11"/>
      <c r="F124" s="11"/>
      <c r="G124" s="11"/>
      <c r="H124" s="11"/>
      <c r="I124" s="11"/>
      <c r="J124" s="11"/>
      <c r="K124" s="11"/>
      <c r="L124" s="11"/>
      <c r="M124" s="11"/>
      <c r="N124" s="12"/>
      <c r="O124" s="12"/>
      <c r="P124" s="12"/>
      <c r="Q124" s="12"/>
      <c r="R124" s="12"/>
      <c r="S124" s="12"/>
      <c r="T124" s="12"/>
      <c r="U124" s="12"/>
    </row>
    <row r="125" spans="1:21" ht="33.75" customHeight="1" x14ac:dyDescent="0.25">
      <c r="C125" s="14"/>
      <c r="D125" s="11"/>
      <c r="E125" s="11"/>
      <c r="F125" s="11"/>
      <c r="G125" s="11"/>
      <c r="H125" s="11"/>
      <c r="I125" s="11"/>
      <c r="J125" s="11"/>
      <c r="K125" s="11"/>
      <c r="L125" s="11"/>
      <c r="M125" s="11"/>
      <c r="N125" s="12"/>
    </row>
    <row r="126" spans="1:21" ht="33.75" customHeight="1" x14ac:dyDescent="0.25">
      <c r="C126" s="14"/>
      <c r="D126" s="11"/>
      <c r="E126" s="11"/>
      <c r="F126" s="11"/>
      <c r="G126" s="11"/>
      <c r="H126" s="11"/>
      <c r="I126" s="11"/>
      <c r="J126" s="11"/>
      <c r="K126" s="11"/>
      <c r="L126" s="11"/>
      <c r="M126" s="11"/>
      <c r="N126" s="12"/>
    </row>
    <row r="127" spans="1:21" ht="33.75" customHeight="1" x14ac:dyDescent="0.25">
      <c r="C127" s="14"/>
      <c r="D127" s="11"/>
      <c r="E127" s="11"/>
      <c r="F127" s="11"/>
      <c r="G127" s="11"/>
      <c r="H127" s="11"/>
      <c r="I127" s="11"/>
      <c r="J127" s="11"/>
      <c r="K127" s="11"/>
      <c r="L127" s="11"/>
      <c r="M127" s="11"/>
      <c r="N127" s="12"/>
    </row>
    <row r="128" spans="1:21" ht="33.75" customHeight="1" x14ac:dyDescent="0.25">
      <c r="C128" s="14"/>
      <c r="D128" s="11"/>
      <c r="E128" s="11"/>
      <c r="F128" s="11"/>
      <c r="G128" s="11"/>
      <c r="H128" s="11"/>
      <c r="I128" s="11"/>
      <c r="J128" s="11"/>
      <c r="K128" s="11"/>
      <c r="L128" s="11"/>
      <c r="M128" s="11"/>
      <c r="N128" s="12"/>
    </row>
  </sheetData>
  <mergeCells count="194">
    <mergeCell ref="U37:U38"/>
    <mergeCell ref="V19:V20"/>
    <mergeCell ref="T21:T26"/>
    <mergeCell ref="D31:D32"/>
    <mergeCell ref="D33:D34"/>
    <mergeCell ref="U27:U28"/>
    <mergeCell ref="V21:V22"/>
    <mergeCell ref="U33:U34"/>
    <mergeCell ref="U35:U36"/>
    <mergeCell ref="V29:V30"/>
    <mergeCell ref="V31:V32"/>
    <mergeCell ref="C25:C26"/>
    <mergeCell ref="D11:D12"/>
    <mergeCell ref="D17:D18"/>
    <mergeCell ref="C74:I74"/>
    <mergeCell ref="J74:P74"/>
    <mergeCell ref="C75:I75"/>
    <mergeCell ref="J75:P75"/>
    <mergeCell ref="E11:E12"/>
    <mergeCell ref="E13:E14"/>
    <mergeCell ref="E15:E16"/>
    <mergeCell ref="E17:E18"/>
    <mergeCell ref="E19:E20"/>
    <mergeCell ref="C73:I73"/>
    <mergeCell ref="J73:P73"/>
    <mergeCell ref="C31:C32"/>
    <mergeCell ref="D37:D38"/>
    <mergeCell ref="C13:C14"/>
    <mergeCell ref="D13:D14"/>
    <mergeCell ref="E57:E58"/>
    <mergeCell ref="E67:E68"/>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U39:U40"/>
    <mergeCell ref="D39:D40"/>
    <mergeCell ref="D35:D36"/>
    <mergeCell ref="C37:C38"/>
    <mergeCell ref="C39:C40"/>
    <mergeCell ref="C33:C34"/>
    <mergeCell ref="C35:C36"/>
    <mergeCell ref="B9:B20"/>
    <mergeCell ref="E31:E32"/>
    <mergeCell ref="D27:D28"/>
    <mergeCell ref="D29:D30"/>
    <mergeCell ref="E21:E22"/>
    <mergeCell ref="D23:D24"/>
    <mergeCell ref="C9:C10"/>
    <mergeCell ref="U9:U10"/>
    <mergeCell ref="U19:U20"/>
    <mergeCell ref="U15:U16"/>
    <mergeCell ref="T9:T20"/>
    <mergeCell ref="U17:U18"/>
    <mergeCell ref="U11:U12"/>
    <mergeCell ref="U13:U14"/>
    <mergeCell ref="C15:C16"/>
    <mergeCell ref="C19:C20"/>
    <mergeCell ref="D19:D20"/>
    <mergeCell ref="A9:A20"/>
    <mergeCell ref="V17:V18"/>
    <mergeCell ref="A21:A26"/>
    <mergeCell ref="D21:D22"/>
    <mergeCell ref="U21:U22"/>
    <mergeCell ref="U23:U24"/>
    <mergeCell ref="V23:V24"/>
    <mergeCell ref="U25:U26"/>
    <mergeCell ref="V25:V26"/>
    <mergeCell ref="V15:V16"/>
    <mergeCell ref="V9:V10"/>
    <mergeCell ref="V13:V14"/>
    <mergeCell ref="V11:V12"/>
    <mergeCell ref="D15:D16"/>
    <mergeCell ref="E23:E24"/>
    <mergeCell ref="D25:D26"/>
    <mergeCell ref="E25:E26"/>
    <mergeCell ref="C17:C18"/>
    <mergeCell ref="C11:C12"/>
    <mergeCell ref="B21:B26"/>
    <mergeCell ref="C21:C22"/>
    <mergeCell ref="D9:D10"/>
    <mergeCell ref="E9:E10"/>
    <mergeCell ref="C23:C24"/>
    <mergeCell ref="A27:A36"/>
    <mergeCell ref="B27:B36"/>
    <mergeCell ref="T27:T36"/>
    <mergeCell ref="V27:V28"/>
    <mergeCell ref="U29:U30"/>
    <mergeCell ref="E33:E34"/>
    <mergeCell ref="V33:V34"/>
    <mergeCell ref="E35:E36"/>
    <mergeCell ref="V35:V36"/>
    <mergeCell ref="U31:U32"/>
    <mergeCell ref="C27:C28"/>
    <mergeCell ref="C29:C30"/>
    <mergeCell ref="E27:E28"/>
    <mergeCell ref="E29:E30"/>
    <mergeCell ref="A37:A40"/>
    <mergeCell ref="B37:B40"/>
    <mergeCell ref="E37:E38"/>
    <mergeCell ref="T37:T40"/>
    <mergeCell ref="V37:V38"/>
    <mergeCell ref="E39:E40"/>
    <mergeCell ref="V39:V40"/>
    <mergeCell ref="A41:A50"/>
    <mergeCell ref="B41:B50"/>
    <mergeCell ref="C41:C42"/>
    <mergeCell ref="D41:D42"/>
    <mergeCell ref="E41:E42"/>
    <mergeCell ref="T41:T50"/>
    <mergeCell ref="U41:U42"/>
    <mergeCell ref="V41:V42"/>
    <mergeCell ref="C43:C44"/>
    <mergeCell ref="D43:D44"/>
    <mergeCell ref="E43:E44"/>
    <mergeCell ref="U43:U44"/>
    <mergeCell ref="V43:V44"/>
    <mergeCell ref="C45:C46"/>
    <mergeCell ref="D45:D46"/>
    <mergeCell ref="E45:E46"/>
    <mergeCell ref="U45:U46"/>
    <mergeCell ref="V57:V58"/>
    <mergeCell ref="C59:C60"/>
    <mergeCell ref="V45:V46"/>
    <mergeCell ref="C47:C48"/>
    <mergeCell ref="D47:D48"/>
    <mergeCell ref="E47:E48"/>
    <mergeCell ref="U47:U48"/>
    <mergeCell ref="V47:V48"/>
    <mergeCell ref="C49:C50"/>
    <mergeCell ref="D49:D50"/>
    <mergeCell ref="E49:E50"/>
    <mergeCell ref="U49:U50"/>
    <mergeCell ref="V49:V50"/>
    <mergeCell ref="V65:V66"/>
    <mergeCell ref="C67:C68"/>
    <mergeCell ref="D67:D68"/>
    <mergeCell ref="A51:A60"/>
    <mergeCell ref="B51:B60"/>
    <mergeCell ref="C51:C52"/>
    <mergeCell ref="D51:D52"/>
    <mergeCell ref="E51:E52"/>
    <mergeCell ref="T51:T60"/>
    <mergeCell ref="U51:U52"/>
    <mergeCell ref="V51:V52"/>
    <mergeCell ref="C53:C54"/>
    <mergeCell ref="D53:D54"/>
    <mergeCell ref="E53:E54"/>
    <mergeCell ref="U53:U54"/>
    <mergeCell ref="V53:V54"/>
    <mergeCell ref="C55:C56"/>
    <mergeCell ref="D55:D56"/>
    <mergeCell ref="E55:E56"/>
    <mergeCell ref="U55:U56"/>
    <mergeCell ref="V55:V56"/>
    <mergeCell ref="C57:C58"/>
    <mergeCell ref="D57:D58"/>
    <mergeCell ref="U57:U58"/>
    <mergeCell ref="U67:U68"/>
    <mergeCell ref="V67:V68"/>
    <mergeCell ref="A69:S69"/>
    <mergeCell ref="D59:D60"/>
    <mergeCell ref="E59:E60"/>
    <mergeCell ref="U59:U60"/>
    <mergeCell ref="V59:V60"/>
    <mergeCell ref="A61:A68"/>
    <mergeCell ref="B61:B68"/>
    <mergeCell ref="C61:C62"/>
    <mergeCell ref="D61:D62"/>
    <mergeCell ref="E61:E62"/>
    <mergeCell ref="T61:T68"/>
    <mergeCell ref="U61:U62"/>
    <mergeCell ref="V61:V62"/>
    <mergeCell ref="C63:C64"/>
    <mergeCell ref="D63:D64"/>
    <mergeCell ref="E63:E64"/>
    <mergeCell ref="U63:U64"/>
    <mergeCell ref="V63:V64"/>
    <mergeCell ref="C65:C66"/>
    <mergeCell ref="D65:D66"/>
    <mergeCell ref="E65:E66"/>
    <mergeCell ref="U65:U66"/>
  </mergeCells>
  <printOptions horizontalCentered="1" verticalCentered="1"/>
  <pageMargins left="0" right="0" top="0.55118110236220474" bottom="0" header="0.31496062992125984" footer="0"/>
  <pageSetup scale="35"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6DC4E-A340-4CA8-8FF4-99A7D7992724}">
  <dimension ref="A1:BC1670"/>
  <sheetViews>
    <sheetView zoomScale="69" zoomScaleNormal="69" workbookViewId="0">
      <selection activeCell="D115" sqref="D115"/>
    </sheetView>
  </sheetViews>
  <sheetFormatPr baseColWidth="10" defaultRowHeight="15" x14ac:dyDescent="0.25"/>
  <cols>
    <col min="2" max="2" width="23" customWidth="1"/>
    <col min="3" max="3" width="25.42578125" customWidth="1"/>
    <col min="4" max="4" width="14.7109375" customWidth="1"/>
    <col min="5" max="5" width="20.7109375" customWidth="1"/>
    <col min="6" max="6" width="20.7109375" style="544" customWidth="1"/>
    <col min="7" max="7" width="17" customWidth="1"/>
    <col min="8" max="8" width="19.28515625" customWidth="1"/>
    <col min="9" max="9" width="19.5703125" customWidth="1"/>
    <col min="10" max="10" width="17.28515625" bestFit="1" customWidth="1"/>
    <col min="11" max="11" width="16.42578125" bestFit="1" customWidth="1"/>
    <col min="12" max="12" width="23.5703125" customWidth="1"/>
    <col min="13" max="18" width="15.7109375" customWidth="1"/>
    <col min="19" max="19" width="18" customWidth="1"/>
    <col min="20" max="24" width="15.7109375" customWidth="1"/>
    <col min="25" max="25" width="21" customWidth="1"/>
    <col min="26" max="29" width="15.7109375" hidden="1" customWidth="1"/>
    <col min="30" max="30" width="15.7109375" style="96" hidden="1" customWidth="1"/>
    <col min="31" max="31" width="15.7109375" hidden="1" customWidth="1"/>
    <col min="32" max="32" width="23.42578125" customWidth="1"/>
    <col min="33" max="33" width="18.7109375" customWidth="1"/>
    <col min="34" max="35" width="15.7109375" customWidth="1"/>
    <col min="36" max="36" width="34.28515625" customWidth="1"/>
    <col min="37" max="37" width="21.42578125" customWidth="1"/>
    <col min="38" max="38" width="15.7109375" customWidth="1"/>
    <col min="39" max="39" width="18.7109375" customWidth="1"/>
    <col min="40" max="40" width="15.42578125" customWidth="1"/>
    <col min="49" max="49" width="14.7109375" customWidth="1"/>
    <col min="50" max="50" width="22" customWidth="1"/>
    <col min="51" max="51" width="24.28515625" customWidth="1"/>
  </cols>
  <sheetData>
    <row r="1" spans="1:55" s="476" customFormat="1" ht="26.25" x14ac:dyDescent="0.4">
      <c r="A1" s="808"/>
      <c r="B1" s="809"/>
      <c r="C1" s="809"/>
      <c r="D1" s="809"/>
      <c r="E1" s="811" t="s">
        <v>39</v>
      </c>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row>
    <row r="2" spans="1:55" s="476" customFormat="1" ht="27" thickBot="1" x14ac:dyDescent="0.45">
      <c r="A2" s="810"/>
      <c r="B2" s="670"/>
      <c r="C2" s="670"/>
      <c r="D2" s="670"/>
      <c r="E2" s="812" t="s">
        <v>349</v>
      </c>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c r="AH2" s="812"/>
      <c r="AI2" s="812"/>
      <c r="AJ2" s="812"/>
      <c r="AK2" s="812"/>
      <c r="AL2" s="812"/>
      <c r="AM2" s="812"/>
      <c r="AN2" s="812"/>
      <c r="AO2" s="812"/>
      <c r="AP2" s="812"/>
      <c r="AQ2" s="812"/>
      <c r="AR2" s="812"/>
      <c r="AS2" s="812"/>
      <c r="AT2" s="812"/>
      <c r="AU2" s="812"/>
      <c r="AV2" s="812"/>
      <c r="AW2" s="812"/>
      <c r="AX2" s="812"/>
      <c r="AY2" s="812"/>
    </row>
    <row r="3" spans="1:55" ht="16.5" thickBot="1" x14ac:dyDescent="0.3">
      <c r="A3" s="810"/>
      <c r="B3" s="670"/>
      <c r="C3" s="670"/>
      <c r="D3" s="670"/>
      <c r="E3" s="813" t="s">
        <v>40</v>
      </c>
      <c r="F3" s="814"/>
      <c r="G3" s="814"/>
      <c r="H3" s="814"/>
      <c r="I3" s="814"/>
      <c r="J3" s="814"/>
      <c r="K3" s="814"/>
      <c r="L3" s="814"/>
      <c r="M3" s="814"/>
      <c r="N3" s="814"/>
      <c r="O3" s="814"/>
      <c r="P3" s="814"/>
      <c r="Q3" s="814"/>
      <c r="R3" s="814"/>
      <c r="S3" s="814"/>
      <c r="T3" s="814"/>
      <c r="U3" s="814"/>
      <c r="V3" s="814"/>
      <c r="W3" s="814"/>
      <c r="X3" s="814"/>
      <c r="Y3" s="814"/>
      <c r="Z3" s="814"/>
      <c r="AA3" s="814"/>
      <c r="AB3" s="814"/>
      <c r="AC3" s="814"/>
      <c r="AD3" s="815"/>
      <c r="AE3" s="816" t="s">
        <v>350</v>
      </c>
      <c r="AF3" s="817"/>
      <c r="AG3" s="817"/>
      <c r="AH3" s="817"/>
      <c r="AI3" s="817"/>
      <c r="AJ3" s="817"/>
      <c r="AK3" s="817"/>
      <c r="AL3" s="817"/>
      <c r="AM3" s="817"/>
      <c r="AN3" s="817"/>
      <c r="AO3" s="817"/>
      <c r="AP3" s="817"/>
      <c r="AQ3" s="817"/>
      <c r="AR3" s="817"/>
      <c r="AS3" s="817"/>
      <c r="AT3" s="817"/>
      <c r="AU3" s="817"/>
      <c r="AV3" s="817"/>
      <c r="AW3" s="817"/>
      <c r="AX3" s="817"/>
      <c r="AY3" s="818"/>
    </row>
    <row r="4" spans="1:55" ht="18.75" thickBot="1" x14ac:dyDescent="0.3">
      <c r="A4" s="819" t="s">
        <v>0</v>
      </c>
      <c r="B4" s="820"/>
      <c r="C4" s="820"/>
      <c r="D4" s="821"/>
      <c r="E4" s="822" t="s">
        <v>412</v>
      </c>
      <c r="F4" s="822"/>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4"/>
    </row>
    <row r="5" spans="1:55" ht="18.75" thickBot="1" x14ac:dyDescent="0.3">
      <c r="A5" s="825" t="s">
        <v>2</v>
      </c>
      <c r="B5" s="826"/>
      <c r="C5" s="826"/>
      <c r="D5" s="827"/>
      <c r="E5" s="828" t="s">
        <v>413</v>
      </c>
      <c r="F5" s="828"/>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c r="AF5" s="829"/>
      <c r="AG5" s="829"/>
      <c r="AH5" s="829"/>
      <c r="AI5" s="829"/>
      <c r="AJ5" s="829"/>
      <c r="AK5" s="829"/>
      <c r="AL5" s="829"/>
      <c r="AM5" s="829"/>
      <c r="AN5" s="829"/>
      <c r="AO5" s="829"/>
      <c r="AP5" s="829"/>
      <c r="AQ5" s="829"/>
      <c r="AR5" s="829"/>
      <c r="AS5" s="829"/>
      <c r="AT5" s="829"/>
      <c r="AU5" s="829"/>
      <c r="AV5" s="829"/>
      <c r="AW5" s="829"/>
      <c r="AX5" s="829"/>
      <c r="AY5" s="830"/>
    </row>
    <row r="6" spans="1:55" ht="18.75" thickBot="1" x14ac:dyDescent="0.3">
      <c r="A6" s="831" t="s">
        <v>21</v>
      </c>
      <c r="B6" s="832"/>
      <c r="C6" s="832"/>
      <c r="D6" s="833"/>
      <c r="E6" s="834" t="s">
        <v>535</v>
      </c>
      <c r="F6" s="834"/>
      <c r="G6" s="834"/>
      <c r="H6" s="834"/>
      <c r="I6" s="834"/>
      <c r="J6" s="834"/>
      <c r="K6" s="834"/>
      <c r="L6" s="834"/>
      <c r="M6" s="834"/>
      <c r="N6" s="834"/>
      <c r="O6" s="834"/>
      <c r="P6" s="834"/>
      <c r="Q6" s="834"/>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5"/>
      <c r="AY6" s="836"/>
    </row>
    <row r="7" spans="1:55" ht="18.75" thickBot="1" x14ac:dyDescent="0.3">
      <c r="A7" s="837"/>
      <c r="B7" s="838"/>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8"/>
      <c r="AY7" s="839"/>
    </row>
    <row r="8" spans="1:55" s="96" customFormat="1" ht="19.5" customHeight="1" x14ac:dyDescent="0.25">
      <c r="A8" s="840" t="s">
        <v>98</v>
      </c>
      <c r="B8" s="841"/>
      <c r="C8" s="841"/>
      <c r="D8" s="841"/>
      <c r="E8" s="841"/>
      <c r="F8" s="841"/>
      <c r="G8" s="841" t="s">
        <v>104</v>
      </c>
      <c r="H8" s="841"/>
      <c r="I8" s="841"/>
      <c r="J8" s="841"/>
      <c r="K8" s="841"/>
      <c r="L8" s="841"/>
      <c r="M8" s="841"/>
      <c r="N8" s="841"/>
      <c r="O8" s="841"/>
      <c r="P8" s="841"/>
      <c r="Q8" s="841"/>
      <c r="R8" s="841"/>
      <c r="S8" s="841"/>
      <c r="T8" s="841" t="s">
        <v>105</v>
      </c>
      <c r="U8" s="841"/>
      <c r="V8" s="841"/>
      <c r="W8" s="841"/>
      <c r="X8" s="841"/>
      <c r="Y8" s="841"/>
      <c r="Z8" s="841"/>
      <c r="AA8" s="841"/>
      <c r="AB8" s="841"/>
      <c r="AC8" s="841"/>
      <c r="AD8" s="841"/>
      <c r="AE8" s="841"/>
      <c r="AF8" s="841"/>
      <c r="AG8" s="841" t="s">
        <v>106</v>
      </c>
      <c r="AH8" s="841"/>
      <c r="AI8" s="841"/>
      <c r="AJ8" s="841"/>
      <c r="AK8" s="841"/>
      <c r="AL8" s="841" t="s">
        <v>112</v>
      </c>
      <c r="AM8" s="841"/>
      <c r="AN8" s="545"/>
      <c r="AO8" s="841" t="s">
        <v>68</v>
      </c>
      <c r="AP8" s="841"/>
      <c r="AQ8" s="841"/>
      <c r="AR8" s="841"/>
      <c r="AS8" s="841"/>
      <c r="AT8" s="841"/>
      <c r="AU8" s="841"/>
      <c r="AV8" s="841"/>
      <c r="AW8" s="841"/>
      <c r="AX8" s="841"/>
      <c r="AY8" s="842" t="s">
        <v>126</v>
      </c>
      <c r="AZ8" s="488"/>
      <c r="BA8" s="488"/>
      <c r="BB8" s="488"/>
      <c r="BC8" s="488"/>
    </row>
    <row r="9" spans="1:55" s="96" customFormat="1" ht="70.900000000000006" customHeight="1" thickBot="1" x14ac:dyDescent="0.3">
      <c r="A9" s="337" t="s">
        <v>99</v>
      </c>
      <c r="B9" s="336" t="s">
        <v>100</v>
      </c>
      <c r="C9" s="489" t="s">
        <v>101</v>
      </c>
      <c r="D9" s="336" t="s">
        <v>102</v>
      </c>
      <c r="E9" s="336" t="s">
        <v>264</v>
      </c>
      <c r="F9" s="336" t="s">
        <v>103</v>
      </c>
      <c r="G9" s="490" t="s">
        <v>6</v>
      </c>
      <c r="H9" s="490" t="s">
        <v>7</v>
      </c>
      <c r="I9" s="490" t="s">
        <v>8</v>
      </c>
      <c r="J9" s="490" t="s">
        <v>9</v>
      </c>
      <c r="K9" s="490" t="s">
        <v>10</v>
      </c>
      <c r="L9" s="490" t="s">
        <v>11</v>
      </c>
      <c r="M9" s="490" t="s">
        <v>12</v>
      </c>
      <c r="N9" s="490" t="s">
        <v>13</v>
      </c>
      <c r="O9" s="490" t="s">
        <v>14</v>
      </c>
      <c r="P9" s="490" t="s">
        <v>15</v>
      </c>
      <c r="Q9" s="490" t="s">
        <v>16</v>
      </c>
      <c r="R9" s="490" t="s">
        <v>17</v>
      </c>
      <c r="S9" s="336" t="s">
        <v>66</v>
      </c>
      <c r="T9" s="490" t="s">
        <v>6</v>
      </c>
      <c r="U9" s="490" t="s">
        <v>7</v>
      </c>
      <c r="V9" s="490" t="s">
        <v>8</v>
      </c>
      <c r="W9" s="490" t="s">
        <v>9</v>
      </c>
      <c r="X9" s="490" t="s">
        <v>10</v>
      </c>
      <c r="Y9" s="490" t="s">
        <v>11</v>
      </c>
      <c r="Z9" s="490" t="s">
        <v>12</v>
      </c>
      <c r="AA9" s="490" t="s">
        <v>13</v>
      </c>
      <c r="AB9" s="490" t="s">
        <v>14</v>
      </c>
      <c r="AC9" s="490" t="s">
        <v>15</v>
      </c>
      <c r="AD9" s="585" t="s">
        <v>16</v>
      </c>
      <c r="AE9" s="336" t="s">
        <v>17</v>
      </c>
      <c r="AF9" s="336" t="s">
        <v>67</v>
      </c>
      <c r="AG9" s="336" t="s">
        <v>107</v>
      </c>
      <c r="AH9" s="336" t="s">
        <v>108</v>
      </c>
      <c r="AI9" s="336" t="s">
        <v>109</v>
      </c>
      <c r="AJ9" s="336" t="s">
        <v>110</v>
      </c>
      <c r="AK9" s="336" t="s">
        <v>111</v>
      </c>
      <c r="AL9" s="336" t="s">
        <v>113</v>
      </c>
      <c r="AM9" s="336" t="s">
        <v>114</v>
      </c>
      <c r="AN9" s="336" t="s">
        <v>115</v>
      </c>
      <c r="AO9" s="336" t="s">
        <v>116</v>
      </c>
      <c r="AP9" s="336" t="s">
        <v>117</v>
      </c>
      <c r="AQ9" s="336" t="s">
        <v>118</v>
      </c>
      <c r="AR9" s="336" t="s">
        <v>119</v>
      </c>
      <c r="AS9" s="336" t="s">
        <v>120</v>
      </c>
      <c r="AT9" s="336" t="s">
        <v>121</v>
      </c>
      <c r="AU9" s="336" t="s">
        <v>122</v>
      </c>
      <c r="AV9" s="336" t="s">
        <v>123</v>
      </c>
      <c r="AW9" s="336" t="s">
        <v>124</v>
      </c>
      <c r="AX9" s="336" t="s">
        <v>125</v>
      </c>
      <c r="AY9" s="843"/>
      <c r="AZ9" s="488"/>
      <c r="BA9" s="488"/>
      <c r="BB9" s="488"/>
      <c r="BC9" s="488"/>
    </row>
    <row r="10" spans="1:55" ht="49.9" customHeight="1" x14ac:dyDescent="0.25">
      <c r="A10" s="844">
        <v>1</v>
      </c>
      <c r="B10" s="845" t="s">
        <v>414</v>
      </c>
      <c r="C10" s="846" t="s">
        <v>452</v>
      </c>
      <c r="D10" s="586" t="s">
        <v>41</v>
      </c>
      <c r="E10" s="340">
        <f>+[2]INVERSIÓN!AB10</f>
        <v>1</v>
      </c>
      <c r="F10" s="340">
        <f>+E10</f>
        <v>1</v>
      </c>
      <c r="G10" s="340">
        <f>+[2]INVERSIÓN!AC10</f>
        <v>1</v>
      </c>
      <c r="H10" s="340">
        <f>+[2]INVERSIÓN!AE10</f>
        <v>1</v>
      </c>
      <c r="I10" s="340">
        <f>+[2]INVERSIÓN!AG10</f>
        <v>1</v>
      </c>
      <c r="J10" s="340">
        <f>+[2]INVERSIÓN!AI10</f>
        <v>1</v>
      </c>
      <c r="K10" s="340">
        <f>+[2]INVERSIÓN!AK10</f>
        <v>1</v>
      </c>
      <c r="L10" s="340">
        <v>1</v>
      </c>
      <c r="M10" s="340"/>
      <c r="N10" s="340"/>
      <c r="O10" s="340"/>
      <c r="P10" s="340"/>
      <c r="Q10" s="340"/>
      <c r="R10" s="340"/>
      <c r="S10" s="478"/>
      <c r="T10" s="340">
        <f>+[2]INVERSIÓN!AD10</f>
        <v>0.86</v>
      </c>
      <c r="U10" s="340">
        <f>+[2]INVERSIÓN!AF10</f>
        <v>0.75</v>
      </c>
      <c r="V10" s="340">
        <f>+[2]INVERSIÓN!AH10</f>
        <v>0.8</v>
      </c>
      <c r="W10" s="340">
        <f>+[2]INVERSIÓN!AJ10</f>
        <v>1</v>
      </c>
      <c r="X10" s="340">
        <f>+[2]INVERSIÓN!AL10</f>
        <v>1</v>
      </c>
      <c r="Y10" s="340">
        <f>+[2]INVERSIÓN!AN10</f>
        <v>1</v>
      </c>
      <c r="Z10" s="413"/>
      <c r="AA10" s="413"/>
      <c r="AB10" s="413"/>
      <c r="AC10" s="340"/>
      <c r="AD10" s="340"/>
      <c r="AE10" s="340"/>
      <c r="AF10" s="478"/>
      <c r="AG10" s="845" t="s">
        <v>453</v>
      </c>
      <c r="AH10" s="845" t="s">
        <v>454</v>
      </c>
      <c r="AI10" s="845" t="s">
        <v>454</v>
      </c>
      <c r="AJ10" s="845" t="s">
        <v>455</v>
      </c>
      <c r="AK10" s="845" t="s">
        <v>456</v>
      </c>
      <c r="AL10" s="845" t="s">
        <v>454</v>
      </c>
      <c r="AM10" s="845" t="s">
        <v>454</v>
      </c>
      <c r="AN10" s="845" t="s">
        <v>454</v>
      </c>
      <c r="AO10" s="849">
        <v>3721767</v>
      </c>
      <c r="AP10" s="850">
        <v>4082893</v>
      </c>
      <c r="AQ10" s="845" t="s">
        <v>454</v>
      </c>
      <c r="AR10" s="845" t="s">
        <v>454</v>
      </c>
      <c r="AS10" s="845" t="s">
        <v>454</v>
      </c>
      <c r="AT10" s="845" t="s">
        <v>454</v>
      </c>
      <c r="AU10" s="845" t="s">
        <v>454</v>
      </c>
      <c r="AV10" s="845" t="s">
        <v>454</v>
      </c>
      <c r="AW10" s="845" t="s">
        <v>454</v>
      </c>
      <c r="AX10" s="847">
        <f>+AO10+AP10</f>
        <v>7804660</v>
      </c>
      <c r="AY10" s="848"/>
    </row>
    <row r="11" spans="1:55" s="156" customFormat="1" ht="49.9" customHeight="1" x14ac:dyDescent="0.25">
      <c r="A11" s="844"/>
      <c r="B11" s="845"/>
      <c r="C11" s="846"/>
      <c r="D11" s="587" t="s">
        <v>3</v>
      </c>
      <c r="E11" s="442">
        <f>+[2]INVERSIÓN!AB11</f>
        <v>1564678000</v>
      </c>
      <c r="F11" s="442">
        <v>871335614</v>
      </c>
      <c r="G11" s="442">
        <f>+[2]INVERSIÓN!AC11</f>
        <v>0</v>
      </c>
      <c r="H11" s="442">
        <f>+[2]INVERSIÓN!AE11</f>
        <v>188232000</v>
      </c>
      <c r="I11" s="442">
        <f>+[2]INVERSIÓN!AG11</f>
        <v>348992000</v>
      </c>
      <c r="J11" s="442">
        <f>+[2]INVERSIÓN!AI11</f>
        <v>127479857</v>
      </c>
      <c r="K11" s="442">
        <f>+[2]INVERSIÓN!AK11</f>
        <v>0</v>
      </c>
      <c r="L11" s="442">
        <v>871335614</v>
      </c>
      <c r="M11" s="442"/>
      <c r="N11" s="442"/>
      <c r="O11" s="442"/>
      <c r="P11" s="442"/>
      <c r="Q11" s="442"/>
      <c r="R11" s="442"/>
      <c r="S11" s="442"/>
      <c r="T11" s="442">
        <f>+[2]INVERSIÓN!AD11</f>
        <v>0</v>
      </c>
      <c r="U11" s="442">
        <f>+[2]INVERSIÓN!AF11</f>
        <v>188232000</v>
      </c>
      <c r="V11" s="442">
        <f>+[2]INVERSIÓN!AH11</f>
        <v>348992000</v>
      </c>
      <c r="W11" s="442">
        <f>+[2]INVERSIÓN!AJ11</f>
        <v>127479857</v>
      </c>
      <c r="X11" s="442">
        <f>+[2]INVERSIÓN!AL11</f>
        <v>0</v>
      </c>
      <c r="Y11" s="442">
        <f>+[2]INVERSIÓN!AN11</f>
        <v>206477896</v>
      </c>
      <c r="Z11" s="414"/>
      <c r="AA11" s="414"/>
      <c r="AB11" s="414"/>
      <c r="AC11" s="442"/>
      <c r="AD11" s="442"/>
      <c r="AE11" s="442"/>
      <c r="AF11" s="442"/>
      <c r="AG11" s="845"/>
      <c r="AH11" s="845"/>
      <c r="AI11" s="845"/>
      <c r="AJ11" s="845"/>
      <c r="AK11" s="845"/>
      <c r="AL11" s="845"/>
      <c r="AM11" s="845"/>
      <c r="AN11" s="845"/>
      <c r="AO11" s="849"/>
      <c r="AP11" s="850"/>
      <c r="AQ11" s="845"/>
      <c r="AR11" s="845"/>
      <c r="AS11" s="845"/>
      <c r="AT11" s="845"/>
      <c r="AU11" s="845"/>
      <c r="AV11" s="845"/>
      <c r="AW11" s="845"/>
      <c r="AX11" s="847"/>
      <c r="AY11" s="848"/>
    </row>
    <row r="12" spans="1:55" ht="49.9" customHeight="1" x14ac:dyDescent="0.25">
      <c r="A12" s="844"/>
      <c r="B12" s="845"/>
      <c r="C12" s="846"/>
      <c r="D12" s="586" t="s">
        <v>42</v>
      </c>
      <c r="E12" s="340">
        <f>+[2]INVERSIÓN!AB13</f>
        <v>0</v>
      </c>
      <c r="F12" s="340">
        <f>+E12</f>
        <v>0</v>
      </c>
      <c r="G12" s="340">
        <f>+[2]INVERSIÓN!AC13</f>
        <v>0</v>
      </c>
      <c r="H12" s="340">
        <f>+[2]INVERSIÓN!AE13</f>
        <v>0</v>
      </c>
      <c r="I12" s="340">
        <f>+[2]INVERSIÓN!AG13</f>
        <v>0</v>
      </c>
      <c r="J12" s="340">
        <f>+[2]INVERSIÓN!AI13</f>
        <v>0</v>
      </c>
      <c r="K12" s="340">
        <f>+[2]INVERSIÓN!AK13</f>
        <v>0</v>
      </c>
      <c r="L12" s="340">
        <v>0</v>
      </c>
      <c r="M12" s="340"/>
      <c r="N12" s="340"/>
      <c r="O12" s="340"/>
      <c r="P12" s="340"/>
      <c r="Q12" s="340"/>
      <c r="R12" s="340"/>
      <c r="S12" s="340"/>
      <c r="T12" s="340">
        <f>+[2]INVERSIÓN!AD13</f>
        <v>0</v>
      </c>
      <c r="U12" s="340">
        <f>+[2]INVERSIÓN!AF13</f>
        <v>0</v>
      </c>
      <c r="V12" s="340">
        <f>+[2]INVERSIÓN!AH13</f>
        <v>0</v>
      </c>
      <c r="W12" s="340">
        <f>+[2]INVERSIÓN!AJ13</f>
        <v>0</v>
      </c>
      <c r="X12" s="340">
        <f>+[2]INVERSIÓN!AL13</f>
        <v>0</v>
      </c>
      <c r="Y12" s="340">
        <f>+[2]INVERSIÓN!AN13</f>
        <v>0</v>
      </c>
      <c r="Z12" s="413"/>
      <c r="AA12" s="413"/>
      <c r="AB12" s="413"/>
      <c r="AC12" s="340"/>
      <c r="AD12" s="340"/>
      <c r="AE12" s="340"/>
      <c r="AF12" s="340"/>
      <c r="AG12" s="845"/>
      <c r="AH12" s="845"/>
      <c r="AI12" s="845"/>
      <c r="AJ12" s="845"/>
      <c r="AK12" s="845"/>
      <c r="AL12" s="845"/>
      <c r="AM12" s="845"/>
      <c r="AN12" s="845"/>
      <c r="AO12" s="849"/>
      <c r="AP12" s="850"/>
      <c r="AQ12" s="845"/>
      <c r="AR12" s="845"/>
      <c r="AS12" s="845"/>
      <c r="AT12" s="845"/>
      <c r="AU12" s="845"/>
      <c r="AV12" s="845"/>
      <c r="AW12" s="845"/>
      <c r="AX12" s="847"/>
      <c r="AY12" s="848"/>
    </row>
    <row r="13" spans="1:55" s="156" customFormat="1" ht="49.9" customHeight="1" x14ac:dyDescent="0.25">
      <c r="A13" s="844"/>
      <c r="B13" s="845"/>
      <c r="C13" s="846"/>
      <c r="D13" s="587" t="s">
        <v>4</v>
      </c>
      <c r="E13" s="442">
        <f>+[2]INVERSIÓN!AB14</f>
        <v>349704142</v>
      </c>
      <c r="F13" s="442">
        <f>+E13</f>
        <v>349704142</v>
      </c>
      <c r="G13" s="442">
        <f>+[2]INVERSIÓN!AC14</f>
        <v>62876122</v>
      </c>
      <c r="H13" s="442">
        <f>+[2]INVERSIÓN!AE14</f>
        <v>54302358</v>
      </c>
      <c r="I13" s="442">
        <f>+[2]INVERSIÓN!AG14</f>
        <v>104432327</v>
      </c>
      <c r="J13" s="442">
        <f>+[2]INVERSIÓN!AI14</f>
        <v>5682842</v>
      </c>
      <c r="K13" s="442">
        <f>+[2]INVERSIÓN!AK14</f>
        <v>80059278</v>
      </c>
      <c r="L13" s="442">
        <v>349704142</v>
      </c>
      <c r="M13" s="442"/>
      <c r="N13" s="442"/>
      <c r="O13" s="442"/>
      <c r="P13" s="442"/>
      <c r="Q13" s="442"/>
      <c r="R13" s="442"/>
      <c r="S13" s="442"/>
      <c r="T13" s="442">
        <f>+[2]INVERSIÓN!AD14</f>
        <v>62876122</v>
      </c>
      <c r="U13" s="442">
        <f>+[2]INVERSIÓN!AF14</f>
        <v>54302358</v>
      </c>
      <c r="V13" s="442">
        <f>+[2]INVERSIÓN!AH14</f>
        <v>104432327</v>
      </c>
      <c r="W13" s="442">
        <f>+[2]INVERSIÓN!AJ14</f>
        <v>5682842</v>
      </c>
      <c r="X13" s="442">
        <f>+[2]INVERSIÓN!AL14</f>
        <v>80059278</v>
      </c>
      <c r="Y13" s="442">
        <f>+[2]INVERSIÓN!AN14</f>
        <v>19233596</v>
      </c>
      <c r="Z13" s="414"/>
      <c r="AA13" s="414"/>
      <c r="AB13" s="414"/>
      <c r="AC13" s="442"/>
      <c r="AD13" s="442"/>
      <c r="AE13" s="442"/>
      <c r="AF13" s="442"/>
      <c r="AG13" s="845"/>
      <c r="AH13" s="845"/>
      <c r="AI13" s="845"/>
      <c r="AJ13" s="845"/>
      <c r="AK13" s="845"/>
      <c r="AL13" s="845"/>
      <c r="AM13" s="845"/>
      <c r="AN13" s="845"/>
      <c r="AO13" s="849"/>
      <c r="AP13" s="850"/>
      <c r="AQ13" s="845"/>
      <c r="AR13" s="845"/>
      <c r="AS13" s="845"/>
      <c r="AT13" s="845"/>
      <c r="AU13" s="845"/>
      <c r="AV13" s="845"/>
      <c r="AW13" s="845"/>
      <c r="AX13" s="847"/>
      <c r="AY13" s="848"/>
    </row>
    <row r="14" spans="1:55" ht="49.9" customHeight="1" x14ac:dyDescent="0.25">
      <c r="A14" s="844"/>
      <c r="B14" s="845"/>
      <c r="C14" s="846"/>
      <c r="D14" s="586" t="s">
        <v>43</v>
      </c>
      <c r="E14" s="479">
        <f t="shared" ref="E14:K15" si="0">+E10+E12</f>
        <v>1</v>
      </c>
      <c r="F14" s="479">
        <f t="shared" si="0"/>
        <v>1</v>
      </c>
      <c r="G14" s="479">
        <f t="shared" si="0"/>
        <v>1</v>
      </c>
      <c r="H14" s="479">
        <f t="shared" si="0"/>
        <v>1</v>
      </c>
      <c r="I14" s="479">
        <f t="shared" si="0"/>
        <v>1</v>
      </c>
      <c r="J14" s="479">
        <f t="shared" si="0"/>
        <v>1</v>
      </c>
      <c r="K14" s="479">
        <f t="shared" si="0"/>
        <v>1</v>
      </c>
      <c r="L14" s="479">
        <v>1</v>
      </c>
      <c r="M14" s="479"/>
      <c r="N14" s="479"/>
      <c r="O14" s="479"/>
      <c r="P14" s="479"/>
      <c r="Q14" s="479"/>
      <c r="R14" s="479"/>
      <c r="S14" s="479"/>
      <c r="T14" s="479">
        <f t="shared" ref="T14:Y15" si="1">+T10+T12</f>
        <v>0.86</v>
      </c>
      <c r="U14" s="479">
        <f t="shared" si="1"/>
        <v>0.75</v>
      </c>
      <c r="V14" s="479">
        <f t="shared" si="1"/>
        <v>0.8</v>
      </c>
      <c r="W14" s="479">
        <f t="shared" si="1"/>
        <v>1</v>
      </c>
      <c r="X14" s="479">
        <f t="shared" si="1"/>
        <v>1</v>
      </c>
      <c r="Y14" s="479">
        <f t="shared" si="1"/>
        <v>1</v>
      </c>
      <c r="Z14" s="479"/>
      <c r="AA14" s="479"/>
      <c r="AB14" s="479"/>
      <c r="AC14" s="479"/>
      <c r="AD14" s="479"/>
      <c r="AE14" s="479"/>
      <c r="AF14" s="340"/>
      <c r="AG14" s="845"/>
      <c r="AH14" s="845"/>
      <c r="AI14" s="845"/>
      <c r="AJ14" s="845"/>
      <c r="AK14" s="845"/>
      <c r="AL14" s="845"/>
      <c r="AM14" s="845"/>
      <c r="AN14" s="845"/>
      <c r="AO14" s="849"/>
      <c r="AP14" s="850"/>
      <c r="AQ14" s="845"/>
      <c r="AR14" s="845"/>
      <c r="AS14" s="845"/>
      <c r="AT14" s="845"/>
      <c r="AU14" s="845"/>
      <c r="AV14" s="845"/>
      <c r="AW14" s="845"/>
      <c r="AX14" s="847"/>
      <c r="AY14" s="848"/>
    </row>
    <row r="15" spans="1:55" s="156" customFormat="1" ht="49.9" customHeight="1" x14ac:dyDescent="0.25">
      <c r="A15" s="844"/>
      <c r="B15" s="845"/>
      <c r="C15" s="846"/>
      <c r="D15" s="587" t="s">
        <v>45</v>
      </c>
      <c r="E15" s="480">
        <f t="shared" si="0"/>
        <v>1914382142</v>
      </c>
      <c r="F15" s="480">
        <f t="shared" si="0"/>
        <v>1221039756</v>
      </c>
      <c r="G15" s="480">
        <f t="shared" si="0"/>
        <v>62876122</v>
      </c>
      <c r="H15" s="480">
        <f t="shared" si="0"/>
        <v>242534358</v>
      </c>
      <c r="I15" s="480">
        <f t="shared" si="0"/>
        <v>453424327</v>
      </c>
      <c r="J15" s="480">
        <f t="shared" si="0"/>
        <v>133162699</v>
      </c>
      <c r="K15" s="480">
        <f t="shared" si="0"/>
        <v>80059278</v>
      </c>
      <c r="L15" s="480">
        <f>L11+L13</f>
        <v>1221039756</v>
      </c>
      <c r="M15" s="480"/>
      <c r="N15" s="480"/>
      <c r="O15" s="480"/>
      <c r="P15" s="480"/>
      <c r="Q15" s="480"/>
      <c r="R15" s="480"/>
      <c r="S15" s="480"/>
      <c r="T15" s="480">
        <f t="shared" si="1"/>
        <v>62876122</v>
      </c>
      <c r="U15" s="480">
        <f t="shared" si="1"/>
        <v>242534358</v>
      </c>
      <c r="V15" s="480">
        <f t="shared" si="1"/>
        <v>453424327</v>
      </c>
      <c r="W15" s="480">
        <f t="shared" si="1"/>
        <v>133162699</v>
      </c>
      <c r="X15" s="480">
        <f t="shared" si="1"/>
        <v>80059278</v>
      </c>
      <c r="Y15" s="480">
        <f t="shared" si="1"/>
        <v>225711492</v>
      </c>
      <c r="Z15" s="480"/>
      <c r="AA15" s="480"/>
      <c r="AB15" s="480"/>
      <c r="AC15" s="480"/>
      <c r="AD15" s="480"/>
      <c r="AE15" s="480"/>
      <c r="AF15" s="442"/>
      <c r="AG15" s="845"/>
      <c r="AH15" s="845"/>
      <c r="AI15" s="845"/>
      <c r="AJ15" s="845"/>
      <c r="AK15" s="845"/>
      <c r="AL15" s="845"/>
      <c r="AM15" s="845"/>
      <c r="AN15" s="845"/>
      <c r="AO15" s="849"/>
      <c r="AP15" s="850"/>
      <c r="AQ15" s="845"/>
      <c r="AR15" s="845"/>
      <c r="AS15" s="845"/>
      <c r="AT15" s="845"/>
      <c r="AU15" s="845"/>
      <c r="AV15" s="845"/>
      <c r="AW15" s="845"/>
      <c r="AX15" s="847"/>
      <c r="AY15" s="848"/>
    </row>
    <row r="16" spans="1:55" ht="49.9" customHeight="1" x14ac:dyDescent="0.25">
      <c r="A16" s="844">
        <v>2</v>
      </c>
      <c r="B16" s="845" t="s">
        <v>457</v>
      </c>
      <c r="C16" s="846" t="s">
        <v>536</v>
      </c>
      <c r="D16" s="588" t="s">
        <v>41</v>
      </c>
      <c r="E16" s="416">
        <v>8</v>
      </c>
      <c r="F16" s="416">
        <f>+E16</f>
        <v>8</v>
      </c>
      <c r="G16" s="416">
        <f>+[2]INVERSIÓN!AC17</f>
        <v>0.2</v>
      </c>
      <c r="H16" s="416">
        <f>+[2]INVERSIÓN!AE17</f>
        <v>0.25</v>
      </c>
      <c r="I16" s="416">
        <f>+[2]INVERSIÓN!AG17</f>
        <v>0.55000000000000004</v>
      </c>
      <c r="J16" s="416">
        <f>+[2]INVERSIÓN!AI17</f>
        <v>0.6</v>
      </c>
      <c r="K16" s="416">
        <f>+[2]INVERSIÓN!AK17</f>
        <v>0.7</v>
      </c>
      <c r="L16" s="416">
        <v>8</v>
      </c>
      <c r="M16" s="416"/>
      <c r="N16" s="416"/>
      <c r="O16" s="416"/>
      <c r="P16" s="416"/>
      <c r="Q16" s="416"/>
      <c r="R16" s="416"/>
      <c r="S16" s="416"/>
      <c r="T16" s="341">
        <f>+[2]INVERSIÓN!AD17</f>
        <v>0.2</v>
      </c>
      <c r="U16" s="341">
        <f>+[2]INVERSIÓN!AF17</f>
        <v>0.25</v>
      </c>
      <c r="V16" s="341">
        <f>+[2]INVERSIÓN!AH17</f>
        <v>0.55000000000000004</v>
      </c>
      <c r="W16" s="341">
        <f>+[2]INVERSIÓN!AJ17</f>
        <v>0.6</v>
      </c>
      <c r="X16" s="341">
        <f>+[2]INVERSIÓN!AL17</f>
        <v>0.7</v>
      </c>
      <c r="Y16" s="341">
        <f>+[2]INVERSIÓN!AN17</f>
        <v>0.7</v>
      </c>
      <c r="Z16" s="481"/>
      <c r="AA16" s="481"/>
      <c r="AB16" s="481"/>
      <c r="AC16" s="341"/>
      <c r="AD16" s="341"/>
      <c r="AE16" s="341"/>
      <c r="AF16" s="416"/>
      <c r="AG16" s="845" t="s">
        <v>453</v>
      </c>
      <c r="AH16" s="845" t="s">
        <v>454</v>
      </c>
      <c r="AI16" s="845" t="s">
        <v>454</v>
      </c>
      <c r="AJ16" s="845" t="s">
        <v>537</v>
      </c>
      <c r="AK16" s="845" t="s">
        <v>456</v>
      </c>
      <c r="AL16" s="845" t="s">
        <v>454</v>
      </c>
      <c r="AM16" s="845" t="s">
        <v>454</v>
      </c>
      <c r="AN16" s="845" t="s">
        <v>454</v>
      </c>
      <c r="AO16" s="849">
        <v>3721767</v>
      </c>
      <c r="AP16" s="850">
        <v>4082893</v>
      </c>
      <c r="AQ16" s="845" t="s">
        <v>454</v>
      </c>
      <c r="AR16" s="845" t="s">
        <v>454</v>
      </c>
      <c r="AS16" s="845" t="s">
        <v>454</v>
      </c>
      <c r="AT16" s="845" t="s">
        <v>454</v>
      </c>
      <c r="AU16" s="845" t="s">
        <v>454</v>
      </c>
      <c r="AV16" s="845" t="s">
        <v>454</v>
      </c>
      <c r="AW16" s="845" t="s">
        <v>454</v>
      </c>
      <c r="AX16" s="847">
        <f>+AO16+AP16</f>
        <v>7804660</v>
      </c>
      <c r="AY16" s="848"/>
    </row>
    <row r="17" spans="1:51" s="156" customFormat="1" ht="49.9" customHeight="1" x14ac:dyDescent="0.25">
      <c r="A17" s="844"/>
      <c r="B17" s="845"/>
      <c r="C17" s="846"/>
      <c r="D17" s="587" t="s">
        <v>3</v>
      </c>
      <c r="E17" s="414">
        <v>1374057000</v>
      </c>
      <c r="F17" s="414">
        <v>1262994000</v>
      </c>
      <c r="G17" s="414">
        <f>+[2]INVERSIÓN!AC18</f>
        <v>0</v>
      </c>
      <c r="H17" s="414">
        <f>+[2]INVERSIÓN!AE18</f>
        <v>582050000</v>
      </c>
      <c r="I17" s="414">
        <f>+[2]INVERSIÓN!AG18</f>
        <v>539567000</v>
      </c>
      <c r="J17" s="414">
        <f>+[2]INVERSIÓN!AI18</f>
        <v>94112000</v>
      </c>
      <c r="K17" s="414">
        <f>+[2]INVERSIÓN!AK18</f>
        <v>0</v>
      </c>
      <c r="L17" s="414">
        <v>1262994000</v>
      </c>
      <c r="M17" s="414"/>
      <c r="N17" s="414"/>
      <c r="O17" s="414"/>
      <c r="P17" s="414"/>
      <c r="Q17" s="442"/>
      <c r="R17" s="442"/>
      <c r="S17" s="442"/>
      <c r="T17" s="414">
        <f>+[2]INVERSIÓN!AD18</f>
        <v>0</v>
      </c>
      <c r="U17" s="414">
        <f>+[2]INVERSIÓN!AF18</f>
        <v>582050000</v>
      </c>
      <c r="V17" s="414">
        <f>+[2]INVERSIÓN!AH18</f>
        <v>539567000</v>
      </c>
      <c r="W17" s="414">
        <f>+[2]INVERSIÓN!AJ18</f>
        <v>94112000</v>
      </c>
      <c r="X17" s="414">
        <f>+[2]INVERSIÓN!AL18</f>
        <v>0</v>
      </c>
      <c r="Y17" s="414">
        <f>+[2]INVERSIÓN!AN18</f>
        <v>0</v>
      </c>
      <c r="Z17" s="414"/>
      <c r="AA17" s="414"/>
      <c r="AB17" s="414"/>
      <c r="AC17" s="442"/>
      <c r="AD17" s="442"/>
      <c r="AE17" s="442"/>
      <c r="AF17" s="442"/>
      <c r="AG17" s="845"/>
      <c r="AH17" s="845"/>
      <c r="AI17" s="845"/>
      <c r="AJ17" s="845"/>
      <c r="AK17" s="845"/>
      <c r="AL17" s="845"/>
      <c r="AM17" s="845"/>
      <c r="AN17" s="845"/>
      <c r="AO17" s="849"/>
      <c r="AP17" s="850"/>
      <c r="AQ17" s="845"/>
      <c r="AR17" s="845"/>
      <c r="AS17" s="845"/>
      <c r="AT17" s="845"/>
      <c r="AU17" s="845"/>
      <c r="AV17" s="845"/>
      <c r="AW17" s="845"/>
      <c r="AX17" s="847"/>
      <c r="AY17" s="848"/>
    </row>
    <row r="18" spans="1:51" ht="49.9" customHeight="1" x14ac:dyDescent="0.25">
      <c r="A18" s="844"/>
      <c r="B18" s="845"/>
      <c r="C18" s="846"/>
      <c r="D18" s="588" t="s">
        <v>42</v>
      </c>
      <c r="E18" s="416">
        <v>0</v>
      </c>
      <c r="F18" s="416">
        <f>+E18</f>
        <v>0</v>
      </c>
      <c r="G18" s="416">
        <f>+[2]INVERSIÓN!AC20</f>
        <v>0</v>
      </c>
      <c r="H18" s="416">
        <f>+[2]INVERSIÓN!AE20</f>
        <v>0</v>
      </c>
      <c r="I18" s="416">
        <f>+[2]INVERSIÓN!AG20</f>
        <v>0</v>
      </c>
      <c r="J18" s="416">
        <f>+[2]INVERSIÓN!AI20</f>
        <v>0</v>
      </c>
      <c r="K18" s="416">
        <f>+[2]INVERSIÓN!AK20</f>
        <v>0</v>
      </c>
      <c r="L18" s="416">
        <v>0</v>
      </c>
      <c r="M18" s="416"/>
      <c r="N18" s="416"/>
      <c r="O18" s="416"/>
      <c r="P18" s="416"/>
      <c r="Q18" s="416"/>
      <c r="R18" s="416"/>
      <c r="S18" s="482"/>
      <c r="T18" s="341">
        <f>+[2]INVERSIÓN!AD20</f>
        <v>0</v>
      </c>
      <c r="U18" s="341">
        <f>+[2]INVERSIÓN!AF20</f>
        <v>0</v>
      </c>
      <c r="V18" s="341">
        <f>+[2]INVERSIÓN!AH20</f>
        <v>0</v>
      </c>
      <c r="W18" s="341">
        <f>+[2]INVERSIÓN!AJ20</f>
        <v>0</v>
      </c>
      <c r="X18" s="341">
        <f>+[2]INVERSIÓN!AL20</f>
        <v>0</v>
      </c>
      <c r="Y18" s="341">
        <f>+[2]INVERSIÓN!AN20</f>
        <v>0</v>
      </c>
      <c r="Z18" s="481"/>
      <c r="AA18" s="481"/>
      <c r="AB18" s="481"/>
      <c r="AC18" s="341"/>
      <c r="AD18" s="341"/>
      <c r="AE18" s="341"/>
      <c r="AF18" s="482"/>
      <c r="AG18" s="845"/>
      <c r="AH18" s="845"/>
      <c r="AI18" s="845"/>
      <c r="AJ18" s="845"/>
      <c r="AK18" s="845"/>
      <c r="AL18" s="845"/>
      <c r="AM18" s="845"/>
      <c r="AN18" s="845"/>
      <c r="AO18" s="849"/>
      <c r="AP18" s="850"/>
      <c r="AQ18" s="845"/>
      <c r="AR18" s="845"/>
      <c r="AS18" s="845"/>
      <c r="AT18" s="845"/>
      <c r="AU18" s="845"/>
      <c r="AV18" s="845"/>
      <c r="AW18" s="845"/>
      <c r="AX18" s="847"/>
      <c r="AY18" s="848"/>
    </row>
    <row r="19" spans="1:51" s="156" customFormat="1" ht="49.9" customHeight="1" x14ac:dyDescent="0.25">
      <c r="A19" s="844"/>
      <c r="B19" s="845"/>
      <c r="C19" s="846"/>
      <c r="D19" s="587" t="s">
        <v>4</v>
      </c>
      <c r="E19" s="414">
        <v>220512384</v>
      </c>
      <c r="F19" s="414">
        <f>+E19</f>
        <v>220512384</v>
      </c>
      <c r="G19" s="414">
        <f>+[2]INVERSIÓN!AC21</f>
        <v>62045867</v>
      </c>
      <c r="H19" s="414">
        <f>+[2]INVERSIÓN!AE21</f>
        <v>68053533</v>
      </c>
      <c r="I19" s="414">
        <f>+[2]INVERSIÓN!AG21</f>
        <v>10948200</v>
      </c>
      <c r="J19" s="414">
        <f>+[2]INVERSIÓN!AI21</f>
        <v>8101667</v>
      </c>
      <c r="K19" s="442">
        <f>+[2]INVERSIÓN!AK21</f>
        <v>15903967</v>
      </c>
      <c r="L19" s="442">
        <v>220512384</v>
      </c>
      <c r="M19" s="414"/>
      <c r="N19" s="414"/>
      <c r="O19" s="414"/>
      <c r="P19" s="414"/>
      <c r="Q19" s="442"/>
      <c r="R19" s="442"/>
      <c r="S19" s="480"/>
      <c r="T19" s="414">
        <f>+[2]INVERSIÓN!AD21</f>
        <v>62045867</v>
      </c>
      <c r="U19" s="414">
        <f>+[2]INVERSIÓN!AF21</f>
        <v>68053533</v>
      </c>
      <c r="V19" s="414">
        <f>+[2]INVERSIÓN!AH21</f>
        <v>10948200</v>
      </c>
      <c r="W19" s="414">
        <f>+[2]INVERSIÓN!AJ21</f>
        <v>8101667</v>
      </c>
      <c r="X19" s="442">
        <f>+[2]INVERSIÓN!AL21</f>
        <v>15903967</v>
      </c>
      <c r="Y19" s="442">
        <f>+[2]INVERSIÓN!AN21</f>
        <v>5571367</v>
      </c>
      <c r="Z19" s="414"/>
      <c r="AA19" s="414"/>
      <c r="AB19" s="414"/>
      <c r="AC19" s="442"/>
      <c r="AD19" s="442"/>
      <c r="AE19" s="442"/>
      <c r="AF19" s="480"/>
      <c r="AG19" s="845"/>
      <c r="AH19" s="845"/>
      <c r="AI19" s="845"/>
      <c r="AJ19" s="845"/>
      <c r="AK19" s="845"/>
      <c r="AL19" s="845"/>
      <c r="AM19" s="845"/>
      <c r="AN19" s="845"/>
      <c r="AO19" s="849"/>
      <c r="AP19" s="850"/>
      <c r="AQ19" s="845"/>
      <c r="AR19" s="845"/>
      <c r="AS19" s="845"/>
      <c r="AT19" s="845"/>
      <c r="AU19" s="845"/>
      <c r="AV19" s="845"/>
      <c r="AW19" s="845"/>
      <c r="AX19" s="847"/>
      <c r="AY19" s="848"/>
    </row>
    <row r="20" spans="1:51" ht="49.9" customHeight="1" x14ac:dyDescent="0.25">
      <c r="A20" s="844"/>
      <c r="B20" s="845"/>
      <c r="C20" s="846"/>
      <c r="D20" s="588" t="s">
        <v>43</v>
      </c>
      <c r="E20" s="483">
        <f t="shared" ref="E20:K21" si="2">+E16+E18</f>
        <v>8</v>
      </c>
      <c r="F20" s="483">
        <f t="shared" si="2"/>
        <v>8</v>
      </c>
      <c r="G20" s="483">
        <f t="shared" si="2"/>
        <v>0.2</v>
      </c>
      <c r="H20" s="483">
        <f t="shared" si="2"/>
        <v>0.25</v>
      </c>
      <c r="I20" s="483">
        <f t="shared" si="2"/>
        <v>0.55000000000000004</v>
      </c>
      <c r="J20" s="483">
        <f t="shared" si="2"/>
        <v>0.6</v>
      </c>
      <c r="K20" s="483">
        <f t="shared" si="2"/>
        <v>0.7</v>
      </c>
      <c r="L20" s="483">
        <v>0.7</v>
      </c>
      <c r="M20" s="483"/>
      <c r="N20" s="483"/>
      <c r="O20" s="483"/>
      <c r="P20" s="483"/>
      <c r="Q20" s="483"/>
      <c r="R20" s="483"/>
      <c r="S20" s="483"/>
      <c r="T20" s="483">
        <f t="shared" ref="T20:Y21" si="3">+T16+T18</f>
        <v>0.2</v>
      </c>
      <c r="U20" s="483">
        <f t="shared" si="3"/>
        <v>0.25</v>
      </c>
      <c r="V20" s="483">
        <f t="shared" si="3"/>
        <v>0.55000000000000004</v>
      </c>
      <c r="W20" s="483">
        <f t="shared" si="3"/>
        <v>0.6</v>
      </c>
      <c r="X20" s="483">
        <f t="shared" si="3"/>
        <v>0.7</v>
      </c>
      <c r="Y20" s="483">
        <f t="shared" si="3"/>
        <v>0.7</v>
      </c>
      <c r="Z20" s="483"/>
      <c r="AA20" s="483"/>
      <c r="AB20" s="483"/>
      <c r="AC20" s="483"/>
      <c r="AD20" s="483"/>
      <c r="AE20" s="483"/>
      <c r="AF20" s="482"/>
      <c r="AG20" s="845"/>
      <c r="AH20" s="845"/>
      <c r="AI20" s="845"/>
      <c r="AJ20" s="845"/>
      <c r="AK20" s="845"/>
      <c r="AL20" s="845"/>
      <c r="AM20" s="845"/>
      <c r="AN20" s="845"/>
      <c r="AO20" s="849"/>
      <c r="AP20" s="850"/>
      <c r="AQ20" s="845"/>
      <c r="AR20" s="845"/>
      <c r="AS20" s="845"/>
      <c r="AT20" s="845"/>
      <c r="AU20" s="845"/>
      <c r="AV20" s="845"/>
      <c r="AW20" s="845"/>
      <c r="AX20" s="847"/>
      <c r="AY20" s="848"/>
    </row>
    <row r="21" spans="1:51" s="157" customFormat="1" ht="49.9" customHeight="1" x14ac:dyDescent="0.25">
      <c r="A21" s="844"/>
      <c r="B21" s="845"/>
      <c r="C21" s="846"/>
      <c r="D21" s="587" t="s">
        <v>45</v>
      </c>
      <c r="E21" s="480">
        <f t="shared" si="2"/>
        <v>1594569384</v>
      </c>
      <c r="F21" s="480">
        <f t="shared" si="2"/>
        <v>1483506384</v>
      </c>
      <c r="G21" s="480">
        <f t="shared" si="2"/>
        <v>62045867</v>
      </c>
      <c r="H21" s="480">
        <f t="shared" si="2"/>
        <v>650103533</v>
      </c>
      <c r="I21" s="480">
        <f t="shared" si="2"/>
        <v>550515200</v>
      </c>
      <c r="J21" s="480">
        <f t="shared" si="2"/>
        <v>102213667</v>
      </c>
      <c r="K21" s="480">
        <f t="shared" si="2"/>
        <v>15903967</v>
      </c>
      <c r="L21" s="480">
        <f>L17+L19</f>
        <v>1483506384</v>
      </c>
      <c r="M21" s="480"/>
      <c r="N21" s="480"/>
      <c r="O21" s="480"/>
      <c r="P21" s="480"/>
      <c r="Q21" s="480"/>
      <c r="R21" s="480"/>
      <c r="S21" s="480"/>
      <c r="T21" s="480">
        <f t="shared" si="3"/>
        <v>62045867</v>
      </c>
      <c r="U21" s="480">
        <f t="shared" si="3"/>
        <v>650103533</v>
      </c>
      <c r="V21" s="480">
        <f t="shared" si="3"/>
        <v>550515200</v>
      </c>
      <c r="W21" s="480">
        <f t="shared" si="3"/>
        <v>102213667</v>
      </c>
      <c r="X21" s="480">
        <f t="shared" si="3"/>
        <v>15903967</v>
      </c>
      <c r="Y21" s="480">
        <f t="shared" si="3"/>
        <v>5571367</v>
      </c>
      <c r="Z21" s="480"/>
      <c r="AA21" s="480"/>
      <c r="AB21" s="480"/>
      <c r="AC21" s="480"/>
      <c r="AD21" s="480"/>
      <c r="AE21" s="480"/>
      <c r="AF21" s="414"/>
      <c r="AG21" s="845"/>
      <c r="AH21" s="845"/>
      <c r="AI21" s="845"/>
      <c r="AJ21" s="845"/>
      <c r="AK21" s="845"/>
      <c r="AL21" s="845"/>
      <c r="AM21" s="845"/>
      <c r="AN21" s="845"/>
      <c r="AO21" s="849"/>
      <c r="AP21" s="850"/>
      <c r="AQ21" s="845"/>
      <c r="AR21" s="845"/>
      <c r="AS21" s="845"/>
      <c r="AT21" s="845"/>
      <c r="AU21" s="845"/>
      <c r="AV21" s="845"/>
      <c r="AW21" s="845"/>
      <c r="AX21" s="847"/>
      <c r="AY21" s="848"/>
    </row>
    <row r="22" spans="1:51" ht="49.9" customHeight="1" x14ac:dyDescent="0.25">
      <c r="A22" s="851">
        <v>3</v>
      </c>
      <c r="B22" s="853" t="s">
        <v>458</v>
      </c>
      <c r="C22" s="853" t="s">
        <v>538</v>
      </c>
      <c r="D22" s="588" t="s">
        <v>41</v>
      </c>
      <c r="E22" s="484">
        <v>2</v>
      </c>
      <c r="F22" s="484">
        <f>+E22</f>
        <v>2</v>
      </c>
      <c r="G22" s="416">
        <f>+[2]INVERSIÓN!AC24</f>
        <v>0.17</v>
      </c>
      <c r="H22" s="416">
        <f>+[2]INVERSIÓN!AE24</f>
        <v>0.17</v>
      </c>
      <c r="I22" s="416">
        <f>+[2]INVERSIÓN!AG24</f>
        <v>0.17</v>
      </c>
      <c r="J22" s="416">
        <f>+[2]INVERSIÓN!AI24</f>
        <v>0.17</v>
      </c>
      <c r="K22" s="416">
        <f>+[2]INVERSIÓN!AK24</f>
        <v>0.14000000000000001</v>
      </c>
      <c r="L22" s="416">
        <v>2</v>
      </c>
      <c r="M22" s="416"/>
      <c r="N22" s="416"/>
      <c r="O22" s="416"/>
      <c r="P22" s="416"/>
      <c r="Q22" s="416"/>
      <c r="R22" s="416"/>
      <c r="S22" s="416"/>
      <c r="T22" s="341">
        <f>+[2]INVERSIÓN!AD24</f>
        <v>0.15</v>
      </c>
      <c r="U22" s="341">
        <f>+[2]INVERSIÓN!AF24</f>
        <v>0.11</v>
      </c>
      <c r="V22" s="341">
        <f>+[2]INVERSIÓN!AH24</f>
        <v>0.1</v>
      </c>
      <c r="W22" s="341">
        <f>+[2]INVERSIÓN!AJ24</f>
        <v>0.15</v>
      </c>
      <c r="X22" s="341">
        <f>+[2]INVERSIÓN!AL24</f>
        <v>0.14000000000000001</v>
      </c>
      <c r="Y22" s="341">
        <v>0.09</v>
      </c>
      <c r="Z22" s="481"/>
      <c r="AA22" s="481"/>
      <c r="AB22" s="481"/>
      <c r="AC22" s="341"/>
      <c r="AD22" s="341"/>
      <c r="AE22" s="341"/>
      <c r="AF22" s="416"/>
      <c r="AG22" s="845" t="s">
        <v>453</v>
      </c>
      <c r="AH22" s="845" t="s">
        <v>454</v>
      </c>
      <c r="AI22" s="845" t="s">
        <v>454</v>
      </c>
      <c r="AJ22" s="845" t="s">
        <v>456</v>
      </c>
      <c r="AK22" s="845" t="s">
        <v>456</v>
      </c>
      <c r="AL22" s="845" t="s">
        <v>454</v>
      </c>
      <c r="AM22" s="845" t="s">
        <v>454</v>
      </c>
      <c r="AN22" s="845" t="s">
        <v>454</v>
      </c>
      <c r="AO22" s="849">
        <v>3721767</v>
      </c>
      <c r="AP22" s="850">
        <v>4082893</v>
      </c>
      <c r="AQ22" s="845" t="s">
        <v>454</v>
      </c>
      <c r="AR22" s="845" t="s">
        <v>454</v>
      </c>
      <c r="AS22" s="845" t="s">
        <v>454</v>
      </c>
      <c r="AT22" s="845" t="s">
        <v>454</v>
      </c>
      <c r="AU22" s="845" t="s">
        <v>454</v>
      </c>
      <c r="AV22" s="845" t="s">
        <v>454</v>
      </c>
      <c r="AW22" s="845" t="s">
        <v>454</v>
      </c>
      <c r="AX22" s="847">
        <f>+AO22+AP22</f>
        <v>7804660</v>
      </c>
      <c r="AY22" s="848"/>
    </row>
    <row r="23" spans="1:51" s="41" customFormat="1" ht="49.9" customHeight="1" x14ac:dyDescent="0.25">
      <c r="A23" s="852"/>
      <c r="B23" s="854"/>
      <c r="C23" s="854"/>
      <c r="D23" s="587" t="s">
        <v>3</v>
      </c>
      <c r="E23" s="442">
        <v>2973776000</v>
      </c>
      <c r="F23" s="442">
        <v>2602043000</v>
      </c>
      <c r="G23" s="442">
        <f>+[2]INVERSIÓN!AC25</f>
        <v>0</v>
      </c>
      <c r="H23" s="448">
        <v>408790000</v>
      </c>
      <c r="I23" s="448">
        <v>1385154150</v>
      </c>
      <c r="J23" s="448">
        <v>557630000</v>
      </c>
      <c r="K23" s="442"/>
      <c r="L23" s="442">
        <v>2602043000</v>
      </c>
      <c r="M23" s="414"/>
      <c r="N23" s="414"/>
      <c r="O23" s="414"/>
      <c r="P23" s="414"/>
      <c r="Q23" s="442"/>
      <c r="R23" s="442"/>
      <c r="S23" s="414"/>
      <c r="T23" s="442">
        <f>+[2]INVERSIÓN!AD25</f>
        <v>0</v>
      </c>
      <c r="U23" s="442">
        <f>+[2]INVERSIÓN!AF25</f>
        <v>408790000</v>
      </c>
      <c r="V23" s="442">
        <f>+[2]INVERSIÓN!AH25</f>
        <v>1385154150</v>
      </c>
      <c r="W23" s="442">
        <f>+[2]INVERSIÓN!AJ25</f>
        <v>148840000</v>
      </c>
      <c r="X23" s="442">
        <f>+[2]INVERSIÓN!AL25</f>
        <v>5000000</v>
      </c>
      <c r="Y23" s="442">
        <v>63630206.640000001</v>
      </c>
      <c r="Z23" s="414"/>
      <c r="AA23" s="414"/>
      <c r="AB23" s="414"/>
      <c r="AC23" s="442"/>
      <c r="AD23" s="442"/>
      <c r="AE23" s="442"/>
      <c r="AF23" s="442"/>
      <c r="AG23" s="845"/>
      <c r="AH23" s="845"/>
      <c r="AI23" s="845"/>
      <c r="AJ23" s="845"/>
      <c r="AK23" s="845"/>
      <c r="AL23" s="845"/>
      <c r="AM23" s="845"/>
      <c r="AN23" s="845"/>
      <c r="AO23" s="849"/>
      <c r="AP23" s="850"/>
      <c r="AQ23" s="845"/>
      <c r="AR23" s="845"/>
      <c r="AS23" s="845"/>
      <c r="AT23" s="845"/>
      <c r="AU23" s="845"/>
      <c r="AV23" s="845"/>
      <c r="AW23" s="845"/>
      <c r="AX23" s="847"/>
      <c r="AY23" s="848"/>
    </row>
    <row r="24" spans="1:51" ht="49.9" customHeight="1" x14ac:dyDescent="0.25">
      <c r="A24" s="852"/>
      <c r="B24" s="854"/>
      <c r="C24" s="854"/>
      <c r="D24" s="588" t="s">
        <v>42</v>
      </c>
      <c r="E24" s="484">
        <v>0</v>
      </c>
      <c r="F24" s="484">
        <f>+E24</f>
        <v>0</v>
      </c>
      <c r="G24" s="416">
        <f>+[2]INVERSIÓN!AC27</f>
        <v>0</v>
      </c>
      <c r="H24" s="416">
        <f>+[2]INVERSIÓN!AE27</f>
        <v>0</v>
      </c>
      <c r="I24" s="416">
        <f>+[2]INVERSIÓN!AG27</f>
        <v>0</v>
      </c>
      <c r="J24" s="416">
        <f>+[2]INVERSIÓN!AI27</f>
        <v>0</v>
      </c>
      <c r="K24" s="416">
        <f>+[2]INVERSIÓN!AK27</f>
        <v>0</v>
      </c>
      <c r="L24" s="416">
        <v>0</v>
      </c>
      <c r="M24" s="416"/>
      <c r="N24" s="416"/>
      <c r="O24" s="416"/>
      <c r="P24" s="416"/>
      <c r="Q24" s="416"/>
      <c r="R24" s="416"/>
      <c r="S24" s="416"/>
      <c r="T24" s="416">
        <f>+[2]INVERSIÓN!AD27</f>
        <v>0</v>
      </c>
      <c r="U24" s="416">
        <f>+[2]INVERSIÓN!AF27</f>
        <v>0</v>
      </c>
      <c r="V24" s="416">
        <f>+[2]INVERSIÓN!AH27</f>
        <v>0</v>
      </c>
      <c r="W24" s="416">
        <f>+[2]INVERSIÓN!AJ27</f>
        <v>0</v>
      </c>
      <c r="X24" s="416">
        <f>+[2]INVERSIÓN!AL27</f>
        <v>0</v>
      </c>
      <c r="Y24" s="416">
        <f>+[2]INVERSIÓN!AN27</f>
        <v>0</v>
      </c>
      <c r="Z24" s="481"/>
      <c r="AA24" s="481"/>
      <c r="AB24" s="481"/>
      <c r="AC24" s="341"/>
      <c r="AD24" s="341"/>
      <c r="AE24" s="341"/>
      <c r="AF24" s="484"/>
      <c r="AG24" s="845"/>
      <c r="AH24" s="845"/>
      <c r="AI24" s="845"/>
      <c r="AJ24" s="845"/>
      <c r="AK24" s="845"/>
      <c r="AL24" s="845"/>
      <c r="AM24" s="845"/>
      <c r="AN24" s="845"/>
      <c r="AO24" s="849"/>
      <c r="AP24" s="850"/>
      <c r="AQ24" s="845"/>
      <c r="AR24" s="845"/>
      <c r="AS24" s="845"/>
      <c r="AT24" s="845"/>
      <c r="AU24" s="845"/>
      <c r="AV24" s="845"/>
      <c r="AW24" s="845"/>
      <c r="AX24" s="847"/>
      <c r="AY24" s="848"/>
    </row>
    <row r="25" spans="1:51" ht="49.9" customHeight="1" x14ac:dyDescent="0.25">
      <c r="A25" s="852"/>
      <c r="B25" s="854"/>
      <c r="C25" s="854"/>
      <c r="D25" s="587" t="s">
        <v>4</v>
      </c>
      <c r="E25" s="442">
        <v>592742679</v>
      </c>
      <c r="F25" s="442">
        <f>+E25</f>
        <v>592742679</v>
      </c>
      <c r="G25" s="442">
        <f>+[2]INVERSIÓN!AC28</f>
        <v>91072667</v>
      </c>
      <c r="H25" s="442">
        <f>+[2]INVERSIÓN!AE28</f>
        <v>114404900</v>
      </c>
      <c r="I25" s="442">
        <f>+[2]INVERSIÓN!AG28</f>
        <v>43650195</v>
      </c>
      <c r="J25" s="442">
        <f>+[2]INVERSIÓN!AI28</f>
        <v>52211433</v>
      </c>
      <c r="K25" s="442">
        <f>+[2]INVERSIÓN!AK28</f>
        <v>38507889</v>
      </c>
      <c r="L25" s="442">
        <v>592742679</v>
      </c>
      <c r="M25" s="414"/>
      <c r="N25" s="414"/>
      <c r="O25" s="414"/>
      <c r="P25" s="414"/>
      <c r="Q25" s="442"/>
      <c r="R25" s="442"/>
      <c r="S25" s="414"/>
      <c r="T25" s="442">
        <f>+[2]INVERSIÓN!AD28</f>
        <v>91072667</v>
      </c>
      <c r="U25" s="442">
        <f>+[2]INVERSIÓN!AF28</f>
        <v>114404900</v>
      </c>
      <c r="V25" s="442">
        <f>+[2]INVERSIÓN!AH28</f>
        <v>43650195</v>
      </c>
      <c r="W25" s="442">
        <f>+[2]INVERSIÓN!AJ28</f>
        <v>52211433</v>
      </c>
      <c r="X25" s="442">
        <f>+[2]INVERSIÓN!AL28</f>
        <v>38507889</v>
      </c>
      <c r="Y25" s="442">
        <f>+[2]INVERSIÓN!AN28</f>
        <v>91626500</v>
      </c>
      <c r="Z25" s="414"/>
      <c r="AA25" s="414"/>
      <c r="AB25" s="414"/>
      <c r="AC25" s="442"/>
      <c r="AD25" s="442"/>
      <c r="AE25" s="442"/>
      <c r="AF25" s="442"/>
      <c r="AG25" s="845"/>
      <c r="AH25" s="845"/>
      <c r="AI25" s="845"/>
      <c r="AJ25" s="845"/>
      <c r="AK25" s="845"/>
      <c r="AL25" s="845"/>
      <c r="AM25" s="845"/>
      <c r="AN25" s="845"/>
      <c r="AO25" s="849"/>
      <c r="AP25" s="850"/>
      <c r="AQ25" s="845"/>
      <c r="AR25" s="845"/>
      <c r="AS25" s="845"/>
      <c r="AT25" s="845"/>
      <c r="AU25" s="845"/>
      <c r="AV25" s="845"/>
      <c r="AW25" s="845"/>
      <c r="AX25" s="847"/>
      <c r="AY25" s="848"/>
    </row>
    <row r="26" spans="1:51" ht="49.9" customHeight="1" x14ac:dyDescent="0.25">
      <c r="A26" s="852"/>
      <c r="B26" s="854"/>
      <c r="C26" s="854"/>
      <c r="D26" s="588" t="s">
        <v>43</v>
      </c>
      <c r="E26" s="483">
        <f t="shared" ref="E26:K27" si="4">+E22+E24</f>
        <v>2</v>
      </c>
      <c r="F26" s="483">
        <f t="shared" si="4"/>
        <v>2</v>
      </c>
      <c r="G26" s="483">
        <f t="shared" si="4"/>
        <v>0.17</v>
      </c>
      <c r="H26" s="483">
        <f t="shared" si="4"/>
        <v>0.17</v>
      </c>
      <c r="I26" s="483">
        <f t="shared" si="4"/>
        <v>0.17</v>
      </c>
      <c r="J26" s="483">
        <f t="shared" si="4"/>
        <v>0.17</v>
      </c>
      <c r="K26" s="483">
        <f t="shared" si="4"/>
        <v>0.14000000000000001</v>
      </c>
      <c r="L26" s="483">
        <f>L22+L24</f>
        <v>2</v>
      </c>
      <c r="M26" s="483"/>
      <c r="N26" s="483"/>
      <c r="O26" s="483"/>
      <c r="P26" s="483"/>
      <c r="Q26" s="483"/>
      <c r="R26" s="483"/>
      <c r="S26" s="483"/>
      <c r="T26" s="483">
        <f t="shared" ref="T26:Y27" si="5">+T22+T24</f>
        <v>0.15</v>
      </c>
      <c r="U26" s="483">
        <f t="shared" si="5"/>
        <v>0.11</v>
      </c>
      <c r="V26" s="483">
        <f t="shared" si="5"/>
        <v>0.1</v>
      </c>
      <c r="W26" s="483">
        <f t="shared" si="5"/>
        <v>0.15</v>
      </c>
      <c r="X26" s="483">
        <f t="shared" si="5"/>
        <v>0.14000000000000001</v>
      </c>
      <c r="Y26" s="483">
        <f t="shared" si="5"/>
        <v>0.09</v>
      </c>
      <c r="Z26" s="483"/>
      <c r="AA26" s="483"/>
      <c r="AB26" s="483"/>
      <c r="AC26" s="483"/>
      <c r="AD26" s="483"/>
      <c r="AE26" s="483"/>
      <c r="AF26" s="482"/>
      <c r="AG26" s="845"/>
      <c r="AH26" s="845"/>
      <c r="AI26" s="845"/>
      <c r="AJ26" s="845"/>
      <c r="AK26" s="845"/>
      <c r="AL26" s="845"/>
      <c r="AM26" s="845"/>
      <c r="AN26" s="845"/>
      <c r="AO26" s="849"/>
      <c r="AP26" s="850"/>
      <c r="AQ26" s="845"/>
      <c r="AR26" s="845"/>
      <c r="AS26" s="845"/>
      <c r="AT26" s="845"/>
      <c r="AU26" s="845"/>
      <c r="AV26" s="845"/>
      <c r="AW26" s="845"/>
      <c r="AX26" s="847"/>
      <c r="AY26" s="848"/>
    </row>
    <row r="27" spans="1:51" ht="49.9" customHeight="1" x14ac:dyDescent="0.25">
      <c r="A27" s="852"/>
      <c r="B27" s="854"/>
      <c r="C27" s="854"/>
      <c r="D27" s="587" t="s">
        <v>45</v>
      </c>
      <c r="E27" s="480">
        <f t="shared" si="4"/>
        <v>3566518679</v>
      </c>
      <c r="F27" s="480">
        <f t="shared" si="4"/>
        <v>3194785679</v>
      </c>
      <c r="G27" s="480">
        <f t="shared" si="4"/>
        <v>91072667</v>
      </c>
      <c r="H27" s="480">
        <f t="shared" si="4"/>
        <v>523194900</v>
      </c>
      <c r="I27" s="480">
        <f t="shared" si="4"/>
        <v>1428804345</v>
      </c>
      <c r="J27" s="480">
        <f t="shared" si="4"/>
        <v>609841433</v>
      </c>
      <c r="K27" s="480">
        <f t="shared" si="4"/>
        <v>38507889</v>
      </c>
      <c r="L27" s="480">
        <f>L23+L25</f>
        <v>3194785679</v>
      </c>
      <c r="M27" s="480"/>
      <c r="N27" s="480"/>
      <c r="O27" s="480"/>
      <c r="P27" s="480"/>
      <c r="Q27" s="480"/>
      <c r="R27" s="480"/>
      <c r="S27" s="480"/>
      <c r="T27" s="480">
        <f t="shared" si="5"/>
        <v>91072667</v>
      </c>
      <c r="U27" s="480">
        <f t="shared" si="5"/>
        <v>523194900</v>
      </c>
      <c r="V27" s="480">
        <f t="shared" si="5"/>
        <v>1428804345</v>
      </c>
      <c r="W27" s="480">
        <f t="shared" si="5"/>
        <v>201051433</v>
      </c>
      <c r="X27" s="480">
        <f t="shared" si="5"/>
        <v>43507889</v>
      </c>
      <c r="Y27" s="480">
        <f t="shared" si="5"/>
        <v>155256706.63999999</v>
      </c>
      <c r="Z27" s="480"/>
      <c r="AA27" s="480"/>
      <c r="AB27" s="480"/>
      <c r="AC27" s="480"/>
      <c r="AD27" s="480"/>
      <c r="AE27" s="480"/>
      <c r="AF27" s="414"/>
      <c r="AG27" s="845"/>
      <c r="AH27" s="845"/>
      <c r="AI27" s="845"/>
      <c r="AJ27" s="845"/>
      <c r="AK27" s="845"/>
      <c r="AL27" s="845"/>
      <c r="AM27" s="845"/>
      <c r="AN27" s="845"/>
      <c r="AO27" s="849"/>
      <c r="AP27" s="850"/>
      <c r="AQ27" s="845"/>
      <c r="AR27" s="845"/>
      <c r="AS27" s="845"/>
      <c r="AT27" s="845"/>
      <c r="AU27" s="845"/>
      <c r="AV27" s="845"/>
      <c r="AW27" s="845"/>
      <c r="AX27" s="847"/>
      <c r="AY27" s="848"/>
    </row>
    <row r="28" spans="1:51" ht="49.9" customHeight="1" x14ac:dyDescent="0.25">
      <c r="A28" s="851">
        <v>4</v>
      </c>
      <c r="B28" s="853" t="s">
        <v>459</v>
      </c>
      <c r="C28" s="853" t="s">
        <v>539</v>
      </c>
      <c r="D28" s="588" t="s">
        <v>41</v>
      </c>
      <c r="E28" s="416">
        <v>0</v>
      </c>
      <c r="F28" s="416">
        <v>0</v>
      </c>
      <c r="G28" s="416">
        <v>0</v>
      </c>
      <c r="H28" s="416">
        <v>0</v>
      </c>
      <c r="I28" s="416">
        <v>0</v>
      </c>
      <c r="J28" s="416">
        <v>0</v>
      </c>
      <c r="K28" s="416">
        <v>0</v>
      </c>
      <c r="L28" s="416">
        <v>893</v>
      </c>
      <c r="M28" s="416"/>
      <c r="N28" s="416">
        <v>0</v>
      </c>
      <c r="O28" s="416">
        <v>0</v>
      </c>
      <c r="P28" s="416">
        <v>0</v>
      </c>
      <c r="Q28" s="416">
        <v>0</v>
      </c>
      <c r="R28" s="416">
        <v>0</v>
      </c>
      <c r="S28" s="416"/>
      <c r="T28" s="416">
        <v>36</v>
      </c>
      <c r="U28" s="416">
        <v>16</v>
      </c>
      <c r="V28" s="416">
        <v>104</v>
      </c>
      <c r="W28" s="416">
        <v>116</v>
      </c>
      <c r="X28" s="416">
        <v>76</v>
      </c>
      <c r="Y28" s="416">
        <v>893</v>
      </c>
      <c r="Z28" s="341" t="e">
        <f>+[2]INVERSIÓN!AJ7</f>
        <v>#REF!</v>
      </c>
      <c r="AA28" s="341" t="e">
        <f>+[2]INVERSIÓN!AK7</f>
        <v>#REF!</v>
      </c>
      <c r="AB28" s="341" t="e">
        <f>+[2]INVERSIÓN!AL7</f>
        <v>#REF!</v>
      </c>
      <c r="AC28" s="341" t="e">
        <f>+[2]INVERSIÓN!AM7</f>
        <v>#REF!</v>
      </c>
      <c r="AD28" s="341" t="e">
        <f>+[2]INVERSIÓN!AN7</f>
        <v>#REF!</v>
      </c>
      <c r="AE28" s="341" t="e">
        <f>+[2]INVERSIÓN!AO7</f>
        <v>#REF!</v>
      </c>
      <c r="AF28" s="416"/>
      <c r="AG28" s="845" t="s">
        <v>540</v>
      </c>
      <c r="AH28" s="845" t="s">
        <v>454</v>
      </c>
      <c r="AI28" s="845" t="s">
        <v>454</v>
      </c>
      <c r="AJ28" s="845" t="s">
        <v>456</v>
      </c>
      <c r="AK28" s="845" t="s">
        <v>456</v>
      </c>
      <c r="AL28" s="845" t="s">
        <v>454</v>
      </c>
      <c r="AM28" s="845" t="s">
        <v>454</v>
      </c>
      <c r="AN28" s="845" t="s">
        <v>454</v>
      </c>
      <c r="AO28" s="849">
        <v>3721767</v>
      </c>
      <c r="AP28" s="849">
        <v>4082893</v>
      </c>
      <c r="AQ28" s="845" t="s">
        <v>454</v>
      </c>
      <c r="AR28" s="845" t="s">
        <v>454</v>
      </c>
      <c r="AS28" s="845" t="s">
        <v>454</v>
      </c>
      <c r="AT28" s="845" t="s">
        <v>454</v>
      </c>
      <c r="AU28" s="845" t="s">
        <v>454</v>
      </c>
      <c r="AV28" s="845" t="s">
        <v>454</v>
      </c>
      <c r="AW28" s="845" t="s">
        <v>454</v>
      </c>
      <c r="AX28" s="847">
        <v>7804660</v>
      </c>
      <c r="AY28" s="848"/>
    </row>
    <row r="29" spans="1:51" ht="49.9" customHeight="1" x14ac:dyDescent="0.25">
      <c r="A29" s="852"/>
      <c r="B29" s="854"/>
      <c r="C29" s="854"/>
      <c r="D29" s="587" t="s">
        <v>3</v>
      </c>
      <c r="E29" s="414">
        <v>0</v>
      </c>
      <c r="F29" s="414">
        <v>0</v>
      </c>
      <c r="G29" s="414">
        <v>0</v>
      </c>
      <c r="H29" s="414">
        <v>0</v>
      </c>
      <c r="I29" s="414">
        <v>0</v>
      </c>
      <c r="J29" s="414">
        <v>0</v>
      </c>
      <c r="K29" s="414">
        <v>0</v>
      </c>
      <c r="L29" s="414">
        <v>1453575000</v>
      </c>
      <c r="M29" s="414">
        <v>0</v>
      </c>
      <c r="N29" s="414">
        <v>0</v>
      </c>
      <c r="O29" s="414">
        <v>0</v>
      </c>
      <c r="P29" s="414">
        <v>0</v>
      </c>
      <c r="Q29" s="442">
        <v>0</v>
      </c>
      <c r="R29" s="442">
        <v>0</v>
      </c>
      <c r="S29" s="442"/>
      <c r="T29" s="414">
        <v>0</v>
      </c>
      <c r="U29" s="414">
        <v>740287000</v>
      </c>
      <c r="V29" s="414">
        <v>261288000</v>
      </c>
      <c r="W29" s="414">
        <v>0</v>
      </c>
      <c r="X29" s="414">
        <v>0</v>
      </c>
      <c r="Y29" s="414">
        <v>1453575000</v>
      </c>
      <c r="Z29" s="414"/>
      <c r="AA29" s="414"/>
      <c r="AB29" s="414"/>
      <c r="AC29" s="442"/>
      <c r="AD29" s="442"/>
      <c r="AE29" s="442"/>
      <c r="AF29" s="442"/>
      <c r="AG29" s="845"/>
      <c r="AH29" s="845"/>
      <c r="AI29" s="845"/>
      <c r="AJ29" s="845"/>
      <c r="AK29" s="845"/>
      <c r="AL29" s="845"/>
      <c r="AM29" s="845"/>
      <c r="AN29" s="845"/>
      <c r="AO29" s="849"/>
      <c r="AP29" s="849"/>
      <c r="AQ29" s="845"/>
      <c r="AR29" s="845"/>
      <c r="AS29" s="845"/>
      <c r="AT29" s="845"/>
      <c r="AU29" s="845"/>
      <c r="AV29" s="845"/>
      <c r="AW29" s="845"/>
      <c r="AX29" s="847"/>
      <c r="AY29" s="848"/>
    </row>
    <row r="30" spans="1:51" ht="49.9" customHeight="1" x14ac:dyDescent="0.25">
      <c r="A30" s="852"/>
      <c r="B30" s="854"/>
      <c r="C30" s="854"/>
      <c r="D30" s="588" t="s">
        <v>42</v>
      </c>
      <c r="E30" s="416">
        <v>0</v>
      </c>
      <c r="F30" s="484">
        <v>0</v>
      </c>
      <c r="G30" s="484">
        <v>0</v>
      </c>
      <c r="H30" s="484">
        <v>0</v>
      </c>
      <c r="I30" s="484">
        <v>0</v>
      </c>
      <c r="J30" s="484">
        <v>0</v>
      </c>
      <c r="K30" s="484">
        <v>0</v>
      </c>
      <c r="L30" s="484">
        <v>0</v>
      </c>
      <c r="M30" s="416">
        <v>0</v>
      </c>
      <c r="N30" s="416">
        <v>0</v>
      </c>
      <c r="O30" s="416">
        <v>0</v>
      </c>
      <c r="P30" s="416">
        <v>0</v>
      </c>
      <c r="Q30" s="416">
        <v>0</v>
      </c>
      <c r="R30" s="416">
        <v>0</v>
      </c>
      <c r="S30" s="482"/>
      <c r="T30" s="416">
        <v>0</v>
      </c>
      <c r="U30" s="416">
        <v>0</v>
      </c>
      <c r="V30" s="416">
        <v>0</v>
      </c>
      <c r="W30" s="416">
        <v>0</v>
      </c>
      <c r="X30" s="416">
        <v>0</v>
      </c>
      <c r="Y30" s="416">
        <v>0</v>
      </c>
      <c r="Z30" s="481"/>
      <c r="AA30" s="481"/>
      <c r="AB30" s="481"/>
      <c r="AC30" s="341"/>
      <c r="AD30" s="341"/>
      <c r="AE30" s="341"/>
      <c r="AF30" s="482"/>
      <c r="AG30" s="845"/>
      <c r="AH30" s="845"/>
      <c r="AI30" s="845"/>
      <c r="AJ30" s="845"/>
      <c r="AK30" s="845"/>
      <c r="AL30" s="845"/>
      <c r="AM30" s="845"/>
      <c r="AN30" s="845"/>
      <c r="AO30" s="849"/>
      <c r="AP30" s="849"/>
      <c r="AQ30" s="845"/>
      <c r="AR30" s="845"/>
      <c r="AS30" s="845"/>
      <c r="AT30" s="845"/>
      <c r="AU30" s="845"/>
      <c r="AV30" s="845"/>
      <c r="AW30" s="845"/>
      <c r="AX30" s="847"/>
      <c r="AY30" s="848"/>
    </row>
    <row r="31" spans="1:51" ht="49.9" customHeight="1" x14ac:dyDescent="0.25">
      <c r="A31" s="852"/>
      <c r="B31" s="854"/>
      <c r="C31" s="854"/>
      <c r="D31" s="587" t="s">
        <v>4</v>
      </c>
      <c r="E31" s="414">
        <v>0</v>
      </c>
      <c r="F31" s="442">
        <v>0</v>
      </c>
      <c r="G31" s="442">
        <v>0</v>
      </c>
      <c r="H31" s="442">
        <v>0</v>
      </c>
      <c r="I31" s="442">
        <v>0</v>
      </c>
      <c r="J31" s="442">
        <v>0</v>
      </c>
      <c r="K31" s="442">
        <v>0</v>
      </c>
      <c r="L31" s="442">
        <v>131226434</v>
      </c>
      <c r="M31" s="414">
        <v>0</v>
      </c>
      <c r="N31" s="414">
        <v>0</v>
      </c>
      <c r="O31" s="414">
        <v>0</v>
      </c>
      <c r="P31" s="414">
        <v>0</v>
      </c>
      <c r="Q31" s="442">
        <v>0</v>
      </c>
      <c r="R31" s="442">
        <v>0</v>
      </c>
      <c r="S31" s="480"/>
      <c r="T31" s="414">
        <v>69771834</v>
      </c>
      <c r="U31" s="414">
        <v>42432466</v>
      </c>
      <c r="V31" s="414">
        <v>19022134</v>
      </c>
      <c r="W31" s="414">
        <v>0</v>
      </c>
      <c r="X31" s="414">
        <v>0</v>
      </c>
      <c r="Y31" s="483">
        <v>131226434</v>
      </c>
      <c r="Z31" s="414"/>
      <c r="AA31" s="414"/>
      <c r="AB31" s="414"/>
      <c r="AC31" s="442"/>
      <c r="AD31" s="442"/>
      <c r="AE31" s="442"/>
      <c r="AF31" s="480"/>
      <c r="AG31" s="845"/>
      <c r="AH31" s="845"/>
      <c r="AI31" s="845"/>
      <c r="AJ31" s="845"/>
      <c r="AK31" s="845"/>
      <c r="AL31" s="845"/>
      <c r="AM31" s="845"/>
      <c r="AN31" s="845"/>
      <c r="AO31" s="849"/>
      <c r="AP31" s="849"/>
      <c r="AQ31" s="845"/>
      <c r="AR31" s="845"/>
      <c r="AS31" s="845"/>
      <c r="AT31" s="845"/>
      <c r="AU31" s="845"/>
      <c r="AV31" s="845"/>
      <c r="AW31" s="845"/>
      <c r="AX31" s="847"/>
      <c r="AY31" s="848"/>
    </row>
    <row r="32" spans="1:51" ht="49.9" customHeight="1" x14ac:dyDescent="0.25">
      <c r="A32" s="852"/>
      <c r="B32" s="854"/>
      <c r="C32" s="854"/>
      <c r="D32" s="588" t="s">
        <v>43</v>
      </c>
      <c r="E32" s="483">
        <f t="shared" ref="E32:K33" si="6">+E28+E30</f>
        <v>0</v>
      </c>
      <c r="F32" s="483">
        <f t="shared" si="6"/>
        <v>0</v>
      </c>
      <c r="G32" s="483">
        <f t="shared" si="6"/>
        <v>0</v>
      </c>
      <c r="H32" s="483">
        <f t="shared" si="6"/>
        <v>0</v>
      </c>
      <c r="I32" s="483">
        <f t="shared" si="6"/>
        <v>0</v>
      </c>
      <c r="J32" s="483">
        <f t="shared" si="6"/>
        <v>0</v>
      </c>
      <c r="K32" s="483">
        <f t="shared" si="6"/>
        <v>0</v>
      </c>
      <c r="L32" s="483">
        <f>L28</f>
        <v>893</v>
      </c>
      <c r="M32" s="483"/>
      <c r="N32" s="483"/>
      <c r="O32" s="483"/>
      <c r="P32" s="483"/>
      <c r="Q32" s="483"/>
      <c r="R32" s="483"/>
      <c r="S32" s="483"/>
      <c r="T32" s="483">
        <v>36</v>
      </c>
      <c r="U32" s="483">
        <v>16</v>
      </c>
      <c r="V32" s="483">
        <v>104</v>
      </c>
      <c r="W32" s="483">
        <v>116</v>
      </c>
      <c r="X32" s="483">
        <v>76</v>
      </c>
      <c r="Z32" s="483"/>
      <c r="AA32" s="483"/>
      <c r="AB32" s="483"/>
      <c r="AC32" s="483"/>
      <c r="AD32" s="483"/>
      <c r="AE32" s="483"/>
      <c r="AF32" s="482"/>
      <c r="AG32" s="845"/>
      <c r="AH32" s="845"/>
      <c r="AI32" s="845"/>
      <c r="AJ32" s="845"/>
      <c r="AK32" s="845"/>
      <c r="AL32" s="845"/>
      <c r="AM32" s="845"/>
      <c r="AN32" s="845"/>
      <c r="AO32" s="849"/>
      <c r="AP32" s="849"/>
      <c r="AQ32" s="845"/>
      <c r="AR32" s="845"/>
      <c r="AS32" s="845"/>
      <c r="AT32" s="845"/>
      <c r="AU32" s="845"/>
      <c r="AV32" s="845"/>
      <c r="AW32" s="845"/>
      <c r="AX32" s="847"/>
      <c r="AY32" s="848"/>
    </row>
    <row r="33" spans="1:51" ht="49.9" customHeight="1" x14ac:dyDescent="0.25">
      <c r="A33" s="855"/>
      <c r="B33" s="856"/>
      <c r="C33" s="856"/>
      <c r="D33" s="587" t="s">
        <v>45</v>
      </c>
      <c r="E33" s="480">
        <f t="shared" si="6"/>
        <v>0</v>
      </c>
      <c r="F33" s="480">
        <f t="shared" si="6"/>
        <v>0</v>
      </c>
      <c r="G33" s="480">
        <f t="shared" si="6"/>
        <v>0</v>
      </c>
      <c r="H33" s="480">
        <f t="shared" si="6"/>
        <v>0</v>
      </c>
      <c r="I33" s="480">
        <f t="shared" si="6"/>
        <v>0</v>
      </c>
      <c r="J33" s="480">
        <f t="shared" si="6"/>
        <v>0</v>
      </c>
      <c r="K33" s="480">
        <f t="shared" si="6"/>
        <v>0</v>
      </c>
      <c r="L33" s="480">
        <f>L29+L31</f>
        <v>1584801434</v>
      </c>
      <c r="M33" s="480"/>
      <c r="N33" s="480"/>
      <c r="O33" s="480"/>
      <c r="P33" s="480"/>
      <c r="Q33" s="480"/>
      <c r="R33" s="480"/>
      <c r="S33" s="480"/>
      <c r="T33" s="480"/>
      <c r="U33" s="480">
        <v>740287000</v>
      </c>
      <c r="V33" s="480">
        <v>261288000</v>
      </c>
      <c r="W33" s="480">
        <v>0</v>
      </c>
      <c r="X33" s="480">
        <v>0</v>
      </c>
      <c r="Y33" s="480">
        <f>Y29+Y31</f>
        <v>1584801434</v>
      </c>
      <c r="Z33" s="480"/>
      <c r="AA33" s="480"/>
      <c r="AB33" s="480"/>
      <c r="AC33" s="480"/>
      <c r="AD33" s="480"/>
      <c r="AE33" s="480"/>
      <c r="AF33" s="414"/>
      <c r="AG33" s="845"/>
      <c r="AH33" s="845"/>
      <c r="AI33" s="845"/>
      <c r="AJ33" s="845"/>
      <c r="AK33" s="845"/>
      <c r="AL33" s="845"/>
      <c r="AM33" s="845"/>
      <c r="AN33" s="845"/>
      <c r="AO33" s="849"/>
      <c r="AP33" s="849"/>
      <c r="AQ33" s="845"/>
      <c r="AR33" s="845"/>
      <c r="AS33" s="845"/>
      <c r="AT33" s="845"/>
      <c r="AU33" s="845"/>
      <c r="AV33" s="845"/>
      <c r="AW33" s="845"/>
      <c r="AX33" s="847"/>
      <c r="AY33" s="848"/>
    </row>
    <row r="34" spans="1:51" ht="19.5" hidden="1" customHeight="1" x14ac:dyDescent="0.25">
      <c r="A34" s="851">
        <v>4</v>
      </c>
      <c r="B34" s="853" t="s">
        <v>459</v>
      </c>
      <c r="C34" s="853" t="s">
        <v>541</v>
      </c>
      <c r="D34" s="588" t="s">
        <v>41</v>
      </c>
      <c r="E34" s="416">
        <v>0</v>
      </c>
      <c r="F34" s="416">
        <v>0</v>
      </c>
      <c r="G34" s="416">
        <v>0</v>
      </c>
      <c r="H34" s="416">
        <v>0</v>
      </c>
      <c r="I34" s="416">
        <v>0</v>
      </c>
      <c r="J34" s="416">
        <v>0</v>
      </c>
      <c r="K34" s="416">
        <v>0</v>
      </c>
      <c r="L34" s="416">
        <v>0</v>
      </c>
      <c r="M34" s="416">
        <v>0</v>
      </c>
      <c r="N34" s="416">
        <v>0</v>
      </c>
      <c r="O34" s="416">
        <v>0</v>
      </c>
      <c r="P34" s="416">
        <v>0</v>
      </c>
      <c r="Q34" s="416">
        <v>0</v>
      </c>
      <c r="R34" s="416">
        <v>0</v>
      </c>
      <c r="S34" s="416"/>
      <c r="T34" s="416">
        <v>0</v>
      </c>
      <c r="U34" s="416">
        <v>0</v>
      </c>
      <c r="V34" s="416">
        <v>0</v>
      </c>
      <c r="W34" s="416">
        <v>0</v>
      </c>
      <c r="X34" s="416">
        <v>0</v>
      </c>
      <c r="Y34" s="416">
        <v>4</v>
      </c>
      <c r="Z34" s="341">
        <f>+[2]INVERSIÓN!AJ13</f>
        <v>0</v>
      </c>
      <c r="AA34" s="341">
        <f>+[2]INVERSIÓN!AK13</f>
        <v>0</v>
      </c>
      <c r="AB34" s="341">
        <f>+[2]INVERSIÓN!AL13</f>
        <v>0</v>
      </c>
      <c r="AC34" s="341">
        <f>+[2]INVERSIÓN!AM13</f>
        <v>0</v>
      </c>
      <c r="AD34" s="341">
        <f>+[2]INVERSIÓN!AN13</f>
        <v>0</v>
      </c>
      <c r="AE34" s="341">
        <f>+[2]INVERSIÓN!AO13</f>
        <v>0</v>
      </c>
      <c r="AF34" s="416"/>
      <c r="AG34" s="845" t="s">
        <v>542</v>
      </c>
      <c r="AH34" s="845" t="s">
        <v>454</v>
      </c>
      <c r="AI34" s="845" t="s">
        <v>454</v>
      </c>
      <c r="AJ34" s="845" t="s">
        <v>542</v>
      </c>
      <c r="AK34" s="845" t="s">
        <v>456</v>
      </c>
      <c r="AL34" s="845" t="s">
        <v>454</v>
      </c>
      <c r="AM34" s="845" t="s">
        <v>454</v>
      </c>
      <c r="AN34" s="845" t="s">
        <v>454</v>
      </c>
      <c r="AO34" s="849">
        <v>40068</v>
      </c>
      <c r="AP34" s="849">
        <v>43706</v>
      </c>
      <c r="AQ34" s="845" t="s">
        <v>454</v>
      </c>
      <c r="AR34" s="845" t="s">
        <v>454</v>
      </c>
      <c r="AS34" s="845" t="s">
        <v>454</v>
      </c>
      <c r="AT34" s="845" t="s">
        <v>454</v>
      </c>
      <c r="AU34" s="845" t="s">
        <v>454</v>
      </c>
      <c r="AV34" s="845" t="s">
        <v>454</v>
      </c>
      <c r="AW34" s="845" t="s">
        <v>454</v>
      </c>
      <c r="AX34" s="847">
        <f>+AO34+AP34</f>
        <v>83774</v>
      </c>
      <c r="AY34" s="848"/>
    </row>
    <row r="35" spans="1:51" ht="19.5" hidden="1" customHeight="1" x14ac:dyDescent="0.25">
      <c r="A35" s="852"/>
      <c r="B35" s="854"/>
      <c r="C35" s="854"/>
      <c r="D35" s="587" t="s">
        <v>3</v>
      </c>
      <c r="E35" s="414">
        <v>0</v>
      </c>
      <c r="F35" s="414">
        <v>0</v>
      </c>
      <c r="G35" s="414">
        <v>0</v>
      </c>
      <c r="H35" s="414">
        <v>0</v>
      </c>
      <c r="I35" s="414">
        <v>0</v>
      </c>
      <c r="J35" s="414">
        <v>0</v>
      </c>
      <c r="K35" s="414">
        <v>0</v>
      </c>
      <c r="L35" s="414">
        <v>0</v>
      </c>
      <c r="M35" s="414">
        <v>0</v>
      </c>
      <c r="N35" s="414">
        <v>0</v>
      </c>
      <c r="O35" s="414">
        <v>0</v>
      </c>
      <c r="P35" s="414">
        <v>0</v>
      </c>
      <c r="Q35" s="442">
        <v>0</v>
      </c>
      <c r="R35" s="442">
        <v>0</v>
      </c>
      <c r="S35" s="442"/>
      <c r="T35" s="414">
        <v>0</v>
      </c>
      <c r="U35" s="414">
        <v>0</v>
      </c>
      <c r="V35" s="414">
        <v>0</v>
      </c>
      <c r="W35" s="414">
        <v>0</v>
      </c>
      <c r="X35" s="414">
        <v>0</v>
      </c>
      <c r="Y35" s="414">
        <v>5217391.3043478262</v>
      </c>
      <c r="Z35" s="414"/>
      <c r="AA35" s="414"/>
      <c r="AB35" s="414"/>
      <c r="AC35" s="442"/>
      <c r="AD35" s="442"/>
      <c r="AE35" s="442"/>
      <c r="AF35" s="442"/>
      <c r="AG35" s="845"/>
      <c r="AH35" s="845"/>
      <c r="AI35" s="845"/>
      <c r="AJ35" s="845"/>
      <c r="AK35" s="845"/>
      <c r="AL35" s="845"/>
      <c r="AM35" s="845"/>
      <c r="AN35" s="845"/>
      <c r="AO35" s="849"/>
      <c r="AP35" s="849"/>
      <c r="AQ35" s="845"/>
      <c r="AR35" s="845"/>
      <c r="AS35" s="845"/>
      <c r="AT35" s="845"/>
      <c r="AU35" s="845"/>
      <c r="AV35" s="845"/>
      <c r="AW35" s="845"/>
      <c r="AX35" s="847"/>
      <c r="AY35" s="848"/>
    </row>
    <row r="36" spans="1:51" ht="19.5" hidden="1" customHeight="1" x14ac:dyDescent="0.25">
      <c r="A36" s="852"/>
      <c r="B36" s="854"/>
      <c r="C36" s="854"/>
      <c r="D36" s="588" t="s">
        <v>42</v>
      </c>
      <c r="E36" s="416">
        <v>0</v>
      </c>
      <c r="F36" s="484">
        <v>0</v>
      </c>
      <c r="G36" s="484">
        <v>0</v>
      </c>
      <c r="H36" s="484">
        <v>0</v>
      </c>
      <c r="I36" s="484">
        <v>0</v>
      </c>
      <c r="J36" s="484">
        <v>0</v>
      </c>
      <c r="K36" s="484">
        <v>0</v>
      </c>
      <c r="L36" s="484">
        <v>0</v>
      </c>
      <c r="M36" s="416">
        <v>0</v>
      </c>
      <c r="N36" s="416">
        <v>0</v>
      </c>
      <c r="O36" s="416">
        <v>0</v>
      </c>
      <c r="P36" s="416">
        <v>0</v>
      </c>
      <c r="Q36" s="416">
        <v>0</v>
      </c>
      <c r="R36" s="416">
        <v>0</v>
      </c>
      <c r="S36" s="482"/>
      <c r="T36" s="416">
        <v>0</v>
      </c>
      <c r="U36" s="416">
        <v>0</v>
      </c>
      <c r="V36" s="416">
        <v>0</v>
      </c>
      <c r="W36" s="416">
        <v>0</v>
      </c>
      <c r="X36" s="416">
        <v>0</v>
      </c>
      <c r="Y36" s="416">
        <v>0</v>
      </c>
      <c r="Z36" s="481"/>
      <c r="AA36" s="481"/>
      <c r="AB36" s="481"/>
      <c r="AC36" s="341"/>
      <c r="AD36" s="341"/>
      <c r="AE36" s="341"/>
      <c r="AF36" s="482"/>
      <c r="AG36" s="845"/>
      <c r="AH36" s="845"/>
      <c r="AI36" s="845"/>
      <c r="AJ36" s="845"/>
      <c r="AK36" s="845"/>
      <c r="AL36" s="845"/>
      <c r="AM36" s="845"/>
      <c r="AN36" s="845"/>
      <c r="AO36" s="849"/>
      <c r="AP36" s="849"/>
      <c r="AQ36" s="845"/>
      <c r="AR36" s="845"/>
      <c r="AS36" s="845"/>
      <c r="AT36" s="845"/>
      <c r="AU36" s="845"/>
      <c r="AV36" s="845"/>
      <c r="AW36" s="845"/>
      <c r="AX36" s="847"/>
      <c r="AY36" s="848"/>
    </row>
    <row r="37" spans="1:51" ht="19.5" hidden="1" customHeight="1" x14ac:dyDescent="0.25">
      <c r="A37" s="852"/>
      <c r="B37" s="854"/>
      <c r="C37" s="854"/>
      <c r="D37" s="587" t="s">
        <v>4</v>
      </c>
      <c r="E37" s="414">
        <v>0</v>
      </c>
      <c r="F37" s="442">
        <v>0</v>
      </c>
      <c r="G37" s="442">
        <v>0</v>
      </c>
      <c r="H37" s="442">
        <v>0</v>
      </c>
      <c r="I37" s="442">
        <v>0</v>
      </c>
      <c r="J37" s="442">
        <v>0</v>
      </c>
      <c r="K37" s="442">
        <v>0</v>
      </c>
      <c r="L37" s="442">
        <v>0</v>
      </c>
      <c r="M37" s="414">
        <v>0</v>
      </c>
      <c r="N37" s="414">
        <v>0</v>
      </c>
      <c r="O37" s="414">
        <v>0</v>
      </c>
      <c r="P37" s="414">
        <v>0</v>
      </c>
      <c r="Q37" s="442">
        <v>0</v>
      </c>
      <c r="R37" s="442">
        <v>0</v>
      </c>
      <c r="S37" s="480"/>
      <c r="T37" s="414">
        <v>0</v>
      </c>
      <c r="U37" s="414">
        <v>0</v>
      </c>
      <c r="V37" s="414">
        <v>0</v>
      </c>
      <c r="W37" s="414">
        <v>0</v>
      </c>
      <c r="X37" s="414">
        <v>0</v>
      </c>
      <c r="Y37" s="414">
        <v>0</v>
      </c>
      <c r="Z37" s="414"/>
      <c r="AA37" s="414"/>
      <c r="AB37" s="414"/>
      <c r="AC37" s="442"/>
      <c r="AD37" s="442"/>
      <c r="AE37" s="442"/>
      <c r="AF37" s="480"/>
      <c r="AG37" s="845"/>
      <c r="AH37" s="845"/>
      <c r="AI37" s="845"/>
      <c r="AJ37" s="845"/>
      <c r="AK37" s="845"/>
      <c r="AL37" s="845"/>
      <c r="AM37" s="845"/>
      <c r="AN37" s="845"/>
      <c r="AO37" s="849"/>
      <c r="AP37" s="849"/>
      <c r="AQ37" s="845"/>
      <c r="AR37" s="845"/>
      <c r="AS37" s="845"/>
      <c r="AT37" s="845"/>
      <c r="AU37" s="845"/>
      <c r="AV37" s="845"/>
      <c r="AW37" s="845"/>
      <c r="AX37" s="847"/>
      <c r="AY37" s="848"/>
    </row>
    <row r="38" spans="1:51" ht="19.5" hidden="1" customHeight="1" x14ac:dyDescent="0.25">
      <c r="A38" s="852"/>
      <c r="B38" s="854"/>
      <c r="C38" s="854"/>
      <c r="D38" s="588" t="s">
        <v>43</v>
      </c>
      <c r="E38" s="483">
        <f t="shared" ref="E38:K39" si="7">+E34+E36</f>
        <v>0</v>
      </c>
      <c r="F38" s="483">
        <f t="shared" si="7"/>
        <v>0</v>
      </c>
      <c r="G38" s="483">
        <f t="shared" si="7"/>
        <v>0</v>
      </c>
      <c r="H38" s="483">
        <f t="shared" si="7"/>
        <v>0</v>
      </c>
      <c r="I38" s="483">
        <f t="shared" si="7"/>
        <v>0</v>
      </c>
      <c r="J38" s="483">
        <f t="shared" si="7"/>
        <v>0</v>
      </c>
      <c r="K38" s="483">
        <f t="shared" si="7"/>
        <v>0</v>
      </c>
      <c r="L38" s="483">
        <v>0</v>
      </c>
      <c r="M38" s="483"/>
      <c r="N38" s="483"/>
      <c r="O38" s="483"/>
      <c r="P38" s="483"/>
      <c r="Q38" s="483"/>
      <c r="R38" s="483"/>
      <c r="S38" s="483"/>
      <c r="T38" s="483">
        <f t="shared" ref="T38:Y39" si="8">+T34+T36</f>
        <v>0</v>
      </c>
      <c r="U38" s="483">
        <f t="shared" si="8"/>
        <v>0</v>
      </c>
      <c r="V38" s="483">
        <f t="shared" si="8"/>
        <v>0</v>
      </c>
      <c r="W38" s="483">
        <f t="shared" si="8"/>
        <v>0</v>
      </c>
      <c r="X38" s="483">
        <f t="shared" si="8"/>
        <v>0</v>
      </c>
      <c r="Y38" s="483">
        <f t="shared" si="8"/>
        <v>4</v>
      </c>
      <c r="Z38" s="483"/>
      <c r="AA38" s="483"/>
      <c r="AB38" s="483"/>
      <c r="AC38" s="483"/>
      <c r="AD38" s="483"/>
      <c r="AE38" s="483"/>
      <c r="AF38" s="482"/>
      <c r="AG38" s="845"/>
      <c r="AH38" s="845"/>
      <c r="AI38" s="845"/>
      <c r="AJ38" s="845"/>
      <c r="AK38" s="845"/>
      <c r="AL38" s="845"/>
      <c r="AM38" s="845"/>
      <c r="AN38" s="845"/>
      <c r="AO38" s="849"/>
      <c r="AP38" s="849"/>
      <c r="AQ38" s="845"/>
      <c r="AR38" s="845"/>
      <c r="AS38" s="845"/>
      <c r="AT38" s="845"/>
      <c r="AU38" s="845"/>
      <c r="AV38" s="845"/>
      <c r="AW38" s="845"/>
      <c r="AX38" s="847"/>
      <c r="AY38" s="848"/>
    </row>
    <row r="39" spans="1:51" ht="19.5" hidden="1" customHeight="1" x14ac:dyDescent="0.25">
      <c r="A39" s="852"/>
      <c r="B39" s="854"/>
      <c r="C39" s="856"/>
      <c r="D39" s="587" t="s">
        <v>45</v>
      </c>
      <c r="E39" s="480">
        <f t="shared" si="7"/>
        <v>0</v>
      </c>
      <c r="F39" s="480">
        <f t="shared" si="7"/>
        <v>0</v>
      </c>
      <c r="G39" s="480">
        <f t="shared" si="7"/>
        <v>0</v>
      </c>
      <c r="H39" s="480">
        <f t="shared" si="7"/>
        <v>0</v>
      </c>
      <c r="I39" s="480">
        <f t="shared" si="7"/>
        <v>0</v>
      </c>
      <c r="J39" s="480">
        <f t="shared" si="7"/>
        <v>0</v>
      </c>
      <c r="K39" s="480">
        <f t="shared" si="7"/>
        <v>0</v>
      </c>
      <c r="L39" s="480">
        <v>0</v>
      </c>
      <c r="M39" s="480"/>
      <c r="N39" s="480"/>
      <c r="O39" s="480"/>
      <c r="P39" s="480"/>
      <c r="Q39" s="480"/>
      <c r="R39" s="480"/>
      <c r="S39" s="480"/>
      <c r="T39" s="480">
        <f t="shared" si="8"/>
        <v>0</v>
      </c>
      <c r="U39" s="480">
        <f t="shared" si="8"/>
        <v>0</v>
      </c>
      <c r="V39" s="480">
        <f t="shared" si="8"/>
        <v>0</v>
      </c>
      <c r="W39" s="480">
        <f t="shared" si="8"/>
        <v>0</v>
      </c>
      <c r="X39" s="480">
        <f t="shared" si="8"/>
        <v>0</v>
      </c>
      <c r="Y39" s="480">
        <f t="shared" si="8"/>
        <v>5217391.3043478262</v>
      </c>
      <c r="Z39" s="480"/>
      <c r="AA39" s="480"/>
      <c r="AB39" s="480"/>
      <c r="AC39" s="480"/>
      <c r="AD39" s="480"/>
      <c r="AE39" s="480"/>
      <c r="AF39" s="414"/>
      <c r="AG39" s="845"/>
      <c r="AH39" s="845"/>
      <c r="AI39" s="845"/>
      <c r="AJ39" s="845"/>
      <c r="AK39" s="845"/>
      <c r="AL39" s="845"/>
      <c r="AM39" s="845"/>
      <c r="AN39" s="845"/>
      <c r="AO39" s="849"/>
      <c r="AP39" s="849"/>
      <c r="AQ39" s="845"/>
      <c r="AR39" s="845"/>
      <c r="AS39" s="845"/>
      <c r="AT39" s="845"/>
      <c r="AU39" s="845"/>
      <c r="AV39" s="845"/>
      <c r="AW39" s="845"/>
      <c r="AX39" s="847"/>
      <c r="AY39" s="848"/>
    </row>
    <row r="40" spans="1:51" ht="19.5" hidden="1" customHeight="1" x14ac:dyDescent="0.25">
      <c r="A40" s="852"/>
      <c r="B40" s="854"/>
      <c r="C40" s="853" t="s">
        <v>543</v>
      </c>
      <c r="D40" s="588" t="s">
        <v>41</v>
      </c>
      <c r="E40" s="416">
        <v>0</v>
      </c>
      <c r="F40" s="416">
        <v>0</v>
      </c>
      <c r="G40" s="416">
        <v>0</v>
      </c>
      <c r="H40" s="416">
        <v>0</v>
      </c>
      <c r="I40" s="416">
        <v>0</v>
      </c>
      <c r="J40" s="416">
        <v>0</v>
      </c>
      <c r="K40" s="416">
        <v>0</v>
      </c>
      <c r="L40" s="416">
        <v>0</v>
      </c>
      <c r="M40" s="416">
        <v>0</v>
      </c>
      <c r="N40" s="416">
        <v>0</v>
      </c>
      <c r="O40" s="416">
        <v>0</v>
      </c>
      <c r="P40" s="416">
        <v>0</v>
      </c>
      <c r="Q40" s="416">
        <v>0</v>
      </c>
      <c r="R40" s="416">
        <v>0</v>
      </c>
      <c r="S40" s="416"/>
      <c r="T40" s="416">
        <v>0</v>
      </c>
      <c r="U40" s="416">
        <v>0</v>
      </c>
      <c r="V40" s="416">
        <v>0</v>
      </c>
      <c r="W40" s="416">
        <v>0</v>
      </c>
      <c r="X40" s="416">
        <v>0</v>
      </c>
      <c r="Y40" s="416">
        <v>2</v>
      </c>
      <c r="Z40" s="341">
        <f>+[2]INVERSIÓN!AJ19</f>
        <v>88785267</v>
      </c>
      <c r="AA40" s="341">
        <f>+[2]INVERSIÓN!AK19</f>
        <v>122743101</v>
      </c>
      <c r="AB40" s="341">
        <f>+[2]INVERSIÓN!AL19</f>
        <v>119244734</v>
      </c>
      <c r="AC40" s="341">
        <f>+[2]INVERSIÓN!AM19</f>
        <v>0</v>
      </c>
      <c r="AD40" s="341">
        <f>+[2]INVERSIÓN!AN19</f>
        <v>175067700</v>
      </c>
      <c r="AE40" s="341">
        <f>+[2]INVERSIÓN!AO19</f>
        <v>0</v>
      </c>
      <c r="AF40" s="416"/>
      <c r="AG40" s="845" t="s">
        <v>544</v>
      </c>
      <c r="AH40" s="845" t="s">
        <v>454</v>
      </c>
      <c r="AI40" s="845" t="s">
        <v>454</v>
      </c>
      <c r="AJ40" s="845" t="s">
        <v>544</v>
      </c>
      <c r="AK40" s="845" t="s">
        <v>456</v>
      </c>
      <c r="AL40" s="845" t="s">
        <v>454</v>
      </c>
      <c r="AM40" s="845" t="s">
        <v>454</v>
      </c>
      <c r="AN40" s="845" t="s">
        <v>454</v>
      </c>
      <c r="AO40" s="849">
        <v>65263</v>
      </c>
      <c r="AP40" s="850">
        <v>73342</v>
      </c>
      <c r="AQ40" s="845" t="s">
        <v>454</v>
      </c>
      <c r="AR40" s="845" t="s">
        <v>454</v>
      </c>
      <c r="AS40" s="845" t="s">
        <v>454</v>
      </c>
      <c r="AT40" s="845" t="s">
        <v>454</v>
      </c>
      <c r="AU40" s="845" t="s">
        <v>454</v>
      </c>
      <c r="AV40" s="845" t="s">
        <v>454</v>
      </c>
      <c r="AW40" s="845" t="s">
        <v>454</v>
      </c>
      <c r="AX40" s="847">
        <f>+AO40+AP40</f>
        <v>138605</v>
      </c>
      <c r="AY40" s="848"/>
    </row>
    <row r="41" spans="1:51" ht="19.5" hidden="1" customHeight="1" x14ac:dyDescent="0.25">
      <c r="A41" s="852"/>
      <c r="B41" s="854"/>
      <c r="C41" s="854"/>
      <c r="D41" s="587" t="s">
        <v>3</v>
      </c>
      <c r="E41" s="414">
        <v>0</v>
      </c>
      <c r="F41" s="414">
        <v>0</v>
      </c>
      <c r="G41" s="414">
        <v>0</v>
      </c>
      <c r="H41" s="414">
        <v>0</v>
      </c>
      <c r="I41" s="414">
        <v>0</v>
      </c>
      <c r="J41" s="414">
        <v>0</v>
      </c>
      <c r="K41" s="414">
        <v>0</v>
      </c>
      <c r="L41" s="414">
        <v>0</v>
      </c>
      <c r="M41" s="414">
        <v>0</v>
      </c>
      <c r="N41" s="414">
        <v>0</v>
      </c>
      <c r="O41" s="414">
        <v>0</v>
      </c>
      <c r="P41" s="414">
        <v>0</v>
      </c>
      <c r="Q41" s="442">
        <v>0</v>
      </c>
      <c r="R41" s="442">
        <v>0</v>
      </c>
      <c r="S41" s="442"/>
      <c r="T41" s="414">
        <v>0</v>
      </c>
      <c r="U41" s="414">
        <v>0</v>
      </c>
      <c r="V41" s="414">
        <v>0</v>
      </c>
      <c r="W41" s="414">
        <v>0</v>
      </c>
      <c r="X41" s="414">
        <v>0</v>
      </c>
      <c r="Y41" s="414">
        <v>2608695.6521739131</v>
      </c>
      <c r="Z41" s="414"/>
      <c r="AA41" s="414"/>
      <c r="AB41" s="414"/>
      <c r="AC41" s="442"/>
      <c r="AD41" s="442"/>
      <c r="AE41" s="442"/>
      <c r="AF41" s="442"/>
      <c r="AG41" s="845"/>
      <c r="AH41" s="845"/>
      <c r="AI41" s="845"/>
      <c r="AJ41" s="845"/>
      <c r="AK41" s="845"/>
      <c r="AL41" s="845"/>
      <c r="AM41" s="845"/>
      <c r="AN41" s="845"/>
      <c r="AO41" s="849"/>
      <c r="AP41" s="850"/>
      <c r="AQ41" s="845"/>
      <c r="AR41" s="845"/>
      <c r="AS41" s="845"/>
      <c r="AT41" s="845"/>
      <c r="AU41" s="845"/>
      <c r="AV41" s="845"/>
      <c r="AW41" s="845"/>
      <c r="AX41" s="847"/>
      <c r="AY41" s="848"/>
    </row>
    <row r="42" spans="1:51" ht="19.5" hidden="1" customHeight="1" x14ac:dyDescent="0.25">
      <c r="A42" s="852"/>
      <c r="B42" s="854"/>
      <c r="C42" s="854"/>
      <c r="D42" s="588" t="s">
        <v>42</v>
      </c>
      <c r="E42" s="416">
        <v>0</v>
      </c>
      <c r="F42" s="484">
        <v>0</v>
      </c>
      <c r="G42" s="484">
        <v>0</v>
      </c>
      <c r="H42" s="484">
        <v>0</v>
      </c>
      <c r="I42" s="484">
        <v>0</v>
      </c>
      <c r="J42" s="484">
        <v>0</v>
      </c>
      <c r="K42" s="484">
        <v>0</v>
      </c>
      <c r="L42" s="484">
        <v>0</v>
      </c>
      <c r="M42" s="416">
        <v>0</v>
      </c>
      <c r="N42" s="416">
        <v>0</v>
      </c>
      <c r="O42" s="416">
        <v>0</v>
      </c>
      <c r="P42" s="416">
        <v>0</v>
      </c>
      <c r="Q42" s="416">
        <v>0</v>
      </c>
      <c r="R42" s="416">
        <v>0</v>
      </c>
      <c r="S42" s="482"/>
      <c r="T42" s="416">
        <v>0</v>
      </c>
      <c r="U42" s="416">
        <v>0</v>
      </c>
      <c r="V42" s="416">
        <v>0</v>
      </c>
      <c r="W42" s="416">
        <v>0</v>
      </c>
      <c r="X42" s="416">
        <v>0</v>
      </c>
      <c r="Y42" s="416">
        <v>0</v>
      </c>
      <c r="Z42" s="481"/>
      <c r="AA42" s="481"/>
      <c r="AB42" s="481"/>
      <c r="AC42" s="341"/>
      <c r="AD42" s="341"/>
      <c r="AE42" s="341"/>
      <c r="AF42" s="482"/>
      <c r="AG42" s="845"/>
      <c r="AH42" s="845"/>
      <c r="AI42" s="845"/>
      <c r="AJ42" s="845"/>
      <c r="AK42" s="845"/>
      <c r="AL42" s="845"/>
      <c r="AM42" s="845"/>
      <c r="AN42" s="845"/>
      <c r="AO42" s="849"/>
      <c r="AP42" s="850"/>
      <c r="AQ42" s="845"/>
      <c r="AR42" s="845"/>
      <c r="AS42" s="845"/>
      <c r="AT42" s="845"/>
      <c r="AU42" s="845"/>
      <c r="AV42" s="845"/>
      <c r="AW42" s="845"/>
      <c r="AX42" s="847"/>
      <c r="AY42" s="848"/>
    </row>
    <row r="43" spans="1:51" ht="19.5" hidden="1" customHeight="1" x14ac:dyDescent="0.25">
      <c r="A43" s="852"/>
      <c r="B43" s="854"/>
      <c r="C43" s="854"/>
      <c r="D43" s="587" t="s">
        <v>4</v>
      </c>
      <c r="E43" s="414">
        <v>0</v>
      </c>
      <c r="F43" s="442">
        <v>0</v>
      </c>
      <c r="G43" s="442">
        <v>0</v>
      </c>
      <c r="H43" s="442">
        <v>0</v>
      </c>
      <c r="I43" s="442">
        <v>0</v>
      </c>
      <c r="J43" s="442">
        <v>0</v>
      </c>
      <c r="K43" s="442">
        <v>0</v>
      </c>
      <c r="L43" s="442">
        <v>0</v>
      </c>
      <c r="M43" s="414">
        <v>0</v>
      </c>
      <c r="N43" s="414">
        <v>0</v>
      </c>
      <c r="O43" s="414">
        <v>0</v>
      </c>
      <c r="P43" s="414">
        <v>0</v>
      </c>
      <c r="Q43" s="442">
        <v>0</v>
      </c>
      <c r="R43" s="442">
        <v>0</v>
      </c>
      <c r="S43" s="480"/>
      <c r="T43" s="414">
        <v>0</v>
      </c>
      <c r="U43" s="414">
        <v>0</v>
      </c>
      <c r="V43" s="414">
        <v>0</v>
      </c>
      <c r="W43" s="414">
        <v>0</v>
      </c>
      <c r="X43" s="414">
        <v>0</v>
      </c>
      <c r="Y43" s="414">
        <v>0</v>
      </c>
      <c r="Z43" s="414"/>
      <c r="AA43" s="414"/>
      <c r="AB43" s="414"/>
      <c r="AC43" s="442"/>
      <c r="AD43" s="442"/>
      <c r="AE43" s="442"/>
      <c r="AF43" s="480"/>
      <c r="AG43" s="845"/>
      <c r="AH43" s="845"/>
      <c r="AI43" s="845"/>
      <c r="AJ43" s="845"/>
      <c r="AK43" s="845"/>
      <c r="AL43" s="845"/>
      <c r="AM43" s="845"/>
      <c r="AN43" s="845"/>
      <c r="AO43" s="849"/>
      <c r="AP43" s="850"/>
      <c r="AQ43" s="845"/>
      <c r="AR43" s="845"/>
      <c r="AS43" s="845"/>
      <c r="AT43" s="845"/>
      <c r="AU43" s="845"/>
      <c r="AV43" s="845"/>
      <c r="AW43" s="845"/>
      <c r="AX43" s="847"/>
      <c r="AY43" s="848"/>
    </row>
    <row r="44" spans="1:51" ht="19.5" hidden="1" customHeight="1" x14ac:dyDescent="0.25">
      <c r="A44" s="852"/>
      <c r="B44" s="854"/>
      <c r="C44" s="854"/>
      <c r="D44" s="588" t="s">
        <v>43</v>
      </c>
      <c r="E44" s="483">
        <f t="shared" ref="E44:K45" si="9">+E40+E42</f>
        <v>0</v>
      </c>
      <c r="F44" s="483">
        <f t="shared" si="9"/>
        <v>0</v>
      </c>
      <c r="G44" s="483">
        <f t="shared" si="9"/>
        <v>0</v>
      </c>
      <c r="H44" s="483">
        <f t="shared" si="9"/>
        <v>0</v>
      </c>
      <c r="I44" s="483">
        <f t="shared" si="9"/>
        <v>0</v>
      </c>
      <c r="J44" s="483">
        <f t="shared" si="9"/>
        <v>0</v>
      </c>
      <c r="K44" s="483">
        <f t="shared" si="9"/>
        <v>0</v>
      </c>
      <c r="L44" s="483">
        <v>0</v>
      </c>
      <c r="M44" s="483"/>
      <c r="N44" s="483"/>
      <c r="O44" s="483"/>
      <c r="P44" s="483"/>
      <c r="Q44" s="483"/>
      <c r="R44" s="483"/>
      <c r="S44" s="483"/>
      <c r="T44" s="483">
        <f t="shared" ref="T44:Y45" si="10">+T40+T42</f>
        <v>0</v>
      </c>
      <c r="U44" s="483">
        <f t="shared" si="10"/>
        <v>0</v>
      </c>
      <c r="V44" s="483">
        <f t="shared" si="10"/>
        <v>0</v>
      </c>
      <c r="W44" s="483">
        <f t="shared" si="10"/>
        <v>0</v>
      </c>
      <c r="X44" s="483">
        <f t="shared" si="10"/>
        <v>0</v>
      </c>
      <c r="Y44" s="483">
        <f t="shared" si="10"/>
        <v>2</v>
      </c>
      <c r="Z44" s="483"/>
      <c r="AA44" s="483"/>
      <c r="AB44" s="483"/>
      <c r="AC44" s="483"/>
      <c r="AD44" s="483"/>
      <c r="AE44" s="483"/>
      <c r="AF44" s="482"/>
      <c r="AG44" s="845"/>
      <c r="AH44" s="845"/>
      <c r="AI44" s="845"/>
      <c r="AJ44" s="845"/>
      <c r="AK44" s="845"/>
      <c r="AL44" s="845"/>
      <c r="AM44" s="845"/>
      <c r="AN44" s="845"/>
      <c r="AO44" s="849"/>
      <c r="AP44" s="850"/>
      <c r="AQ44" s="845"/>
      <c r="AR44" s="845"/>
      <c r="AS44" s="845"/>
      <c r="AT44" s="845"/>
      <c r="AU44" s="845"/>
      <c r="AV44" s="845"/>
      <c r="AW44" s="845"/>
      <c r="AX44" s="847"/>
      <c r="AY44" s="848"/>
    </row>
    <row r="45" spans="1:51" ht="19.5" hidden="1" customHeight="1" x14ac:dyDescent="0.25">
      <c r="A45" s="852"/>
      <c r="B45" s="854"/>
      <c r="C45" s="856"/>
      <c r="D45" s="587" t="s">
        <v>45</v>
      </c>
      <c r="E45" s="480">
        <f t="shared" si="9"/>
        <v>0</v>
      </c>
      <c r="F45" s="480">
        <f t="shared" si="9"/>
        <v>0</v>
      </c>
      <c r="G45" s="480">
        <f t="shared" si="9"/>
        <v>0</v>
      </c>
      <c r="H45" s="480">
        <f t="shared" si="9"/>
        <v>0</v>
      </c>
      <c r="I45" s="480">
        <f t="shared" si="9"/>
        <v>0</v>
      </c>
      <c r="J45" s="480">
        <f t="shared" si="9"/>
        <v>0</v>
      </c>
      <c r="K45" s="480">
        <f t="shared" si="9"/>
        <v>0</v>
      </c>
      <c r="L45" s="480">
        <v>0</v>
      </c>
      <c r="M45" s="480"/>
      <c r="N45" s="480"/>
      <c r="O45" s="480"/>
      <c r="P45" s="480"/>
      <c r="Q45" s="480"/>
      <c r="R45" s="480"/>
      <c r="S45" s="480"/>
      <c r="T45" s="480">
        <f t="shared" si="10"/>
        <v>0</v>
      </c>
      <c r="U45" s="480">
        <f t="shared" si="10"/>
        <v>0</v>
      </c>
      <c r="V45" s="480">
        <f t="shared" si="10"/>
        <v>0</v>
      </c>
      <c r="W45" s="480">
        <f t="shared" si="10"/>
        <v>0</v>
      </c>
      <c r="X45" s="480">
        <f t="shared" si="10"/>
        <v>0</v>
      </c>
      <c r="Y45" s="480">
        <f t="shared" si="10"/>
        <v>2608695.6521739131</v>
      </c>
      <c r="Z45" s="480"/>
      <c r="AA45" s="480"/>
      <c r="AB45" s="480"/>
      <c r="AC45" s="480"/>
      <c r="AD45" s="480"/>
      <c r="AE45" s="480"/>
      <c r="AF45" s="414"/>
      <c r="AG45" s="845"/>
      <c r="AH45" s="845"/>
      <c r="AI45" s="845"/>
      <c r="AJ45" s="845"/>
      <c r="AK45" s="845"/>
      <c r="AL45" s="845"/>
      <c r="AM45" s="845"/>
      <c r="AN45" s="845"/>
      <c r="AO45" s="849"/>
      <c r="AP45" s="850"/>
      <c r="AQ45" s="845"/>
      <c r="AR45" s="845"/>
      <c r="AS45" s="845"/>
      <c r="AT45" s="845"/>
      <c r="AU45" s="845"/>
      <c r="AV45" s="845"/>
      <c r="AW45" s="845"/>
      <c r="AX45" s="847"/>
      <c r="AY45" s="848"/>
    </row>
    <row r="46" spans="1:51" ht="19.5" hidden="1" customHeight="1" x14ac:dyDescent="0.25">
      <c r="A46" s="852"/>
      <c r="B46" s="854"/>
      <c r="C46" s="853" t="s">
        <v>545</v>
      </c>
      <c r="D46" s="588" t="s">
        <v>41</v>
      </c>
      <c r="E46" s="416">
        <v>0</v>
      </c>
      <c r="F46" s="416">
        <v>0</v>
      </c>
      <c r="G46" s="416">
        <v>0</v>
      </c>
      <c r="H46" s="416">
        <v>0</v>
      </c>
      <c r="I46" s="416">
        <v>0</v>
      </c>
      <c r="J46" s="416">
        <v>0</v>
      </c>
      <c r="K46" s="416">
        <v>0</v>
      </c>
      <c r="L46" s="416">
        <v>0</v>
      </c>
      <c r="M46" s="416">
        <v>0</v>
      </c>
      <c r="N46" s="416">
        <v>0</v>
      </c>
      <c r="O46" s="416">
        <v>0</v>
      </c>
      <c r="P46" s="416">
        <v>0</v>
      </c>
      <c r="Q46" s="416">
        <v>0</v>
      </c>
      <c r="R46" s="416">
        <v>0</v>
      </c>
      <c r="S46" s="416"/>
      <c r="T46" s="416">
        <v>0</v>
      </c>
      <c r="U46" s="416">
        <v>0</v>
      </c>
      <c r="V46" s="416">
        <v>0</v>
      </c>
      <c r="W46" s="416">
        <v>0</v>
      </c>
      <c r="X46" s="416">
        <v>0</v>
      </c>
      <c r="Y46" s="416">
        <v>5</v>
      </c>
      <c r="Z46" s="341">
        <f>+[2]INVERSIÓN!AJ25</f>
        <v>148840000</v>
      </c>
      <c r="AA46" s="341">
        <f>+[2]INVERSIÓN!AK25</f>
        <v>0</v>
      </c>
      <c r="AB46" s="341">
        <f>+[2]INVERSIÓN!AL25</f>
        <v>5000000</v>
      </c>
      <c r="AC46" s="341">
        <f>+[2]INVERSIÓN!AM25</f>
        <v>0</v>
      </c>
      <c r="AD46" s="341">
        <f>+[2]INVERSIÓN!AN25</f>
        <v>244731564</v>
      </c>
      <c r="AE46" s="341">
        <f>+[2]INVERSIÓN!AO25</f>
        <v>0</v>
      </c>
      <c r="AF46" s="416"/>
      <c r="AG46" s="845" t="s">
        <v>546</v>
      </c>
      <c r="AH46" s="845" t="s">
        <v>454</v>
      </c>
      <c r="AI46" s="845" t="s">
        <v>454</v>
      </c>
      <c r="AJ46" s="845" t="s">
        <v>546</v>
      </c>
      <c r="AK46" s="845" t="s">
        <v>456</v>
      </c>
      <c r="AL46" s="845" t="s">
        <v>454</v>
      </c>
      <c r="AM46" s="845" t="s">
        <v>454</v>
      </c>
      <c r="AN46" s="845" t="s">
        <v>454</v>
      </c>
      <c r="AO46" s="849">
        <v>354354</v>
      </c>
      <c r="AP46" s="850">
        <v>381252</v>
      </c>
      <c r="AQ46" s="845" t="s">
        <v>454</v>
      </c>
      <c r="AR46" s="845" t="s">
        <v>454</v>
      </c>
      <c r="AS46" s="845" t="s">
        <v>454</v>
      </c>
      <c r="AT46" s="845" t="s">
        <v>454</v>
      </c>
      <c r="AU46" s="845" t="s">
        <v>454</v>
      </c>
      <c r="AV46" s="845" t="s">
        <v>454</v>
      </c>
      <c r="AW46" s="845" t="s">
        <v>454</v>
      </c>
      <c r="AX46" s="847">
        <f>+AO46+AP46</f>
        <v>735606</v>
      </c>
      <c r="AY46" s="848"/>
    </row>
    <row r="47" spans="1:51" ht="19.5" hidden="1" customHeight="1" x14ac:dyDescent="0.25">
      <c r="A47" s="852"/>
      <c r="B47" s="854"/>
      <c r="C47" s="854"/>
      <c r="D47" s="587" t="s">
        <v>3</v>
      </c>
      <c r="E47" s="414">
        <v>0</v>
      </c>
      <c r="F47" s="414">
        <v>0</v>
      </c>
      <c r="G47" s="414">
        <v>0</v>
      </c>
      <c r="H47" s="414">
        <v>0</v>
      </c>
      <c r="I47" s="414">
        <v>0</v>
      </c>
      <c r="J47" s="414">
        <v>0</v>
      </c>
      <c r="K47" s="414">
        <v>0</v>
      </c>
      <c r="L47" s="414">
        <v>0</v>
      </c>
      <c r="M47" s="414">
        <v>0</v>
      </c>
      <c r="N47" s="414">
        <v>0</v>
      </c>
      <c r="O47" s="414">
        <v>0</v>
      </c>
      <c r="P47" s="414">
        <v>0</v>
      </c>
      <c r="Q47" s="442">
        <v>0</v>
      </c>
      <c r="R47" s="442">
        <v>0</v>
      </c>
      <c r="S47" s="442"/>
      <c r="T47" s="414">
        <v>0</v>
      </c>
      <c r="U47" s="414">
        <v>0</v>
      </c>
      <c r="V47" s="414">
        <v>0</v>
      </c>
      <c r="W47" s="414">
        <v>0</v>
      </c>
      <c r="X47" s="414">
        <v>0</v>
      </c>
      <c r="Y47" s="414">
        <v>6521739.1304347832</v>
      </c>
      <c r="Z47" s="414"/>
      <c r="AA47" s="414"/>
      <c r="AB47" s="414"/>
      <c r="AC47" s="442"/>
      <c r="AD47" s="442"/>
      <c r="AE47" s="442"/>
      <c r="AF47" s="442"/>
      <c r="AG47" s="845"/>
      <c r="AH47" s="845"/>
      <c r="AI47" s="845"/>
      <c r="AJ47" s="845"/>
      <c r="AK47" s="845"/>
      <c r="AL47" s="845"/>
      <c r="AM47" s="845"/>
      <c r="AN47" s="845"/>
      <c r="AO47" s="849"/>
      <c r="AP47" s="850"/>
      <c r="AQ47" s="845"/>
      <c r="AR47" s="845"/>
      <c r="AS47" s="845"/>
      <c r="AT47" s="845"/>
      <c r="AU47" s="845"/>
      <c r="AV47" s="845"/>
      <c r="AW47" s="845"/>
      <c r="AX47" s="847"/>
      <c r="AY47" s="848"/>
    </row>
    <row r="48" spans="1:51" ht="19.5" hidden="1" customHeight="1" x14ac:dyDescent="0.25">
      <c r="A48" s="852"/>
      <c r="B48" s="854"/>
      <c r="C48" s="854"/>
      <c r="D48" s="588" t="s">
        <v>42</v>
      </c>
      <c r="E48" s="416">
        <v>0</v>
      </c>
      <c r="F48" s="484">
        <v>0</v>
      </c>
      <c r="G48" s="484">
        <v>0</v>
      </c>
      <c r="H48" s="484">
        <v>0</v>
      </c>
      <c r="I48" s="484">
        <v>0</v>
      </c>
      <c r="J48" s="484">
        <v>0</v>
      </c>
      <c r="K48" s="484">
        <v>0</v>
      </c>
      <c r="L48" s="484">
        <v>0</v>
      </c>
      <c r="M48" s="416">
        <v>0</v>
      </c>
      <c r="N48" s="416">
        <v>0</v>
      </c>
      <c r="O48" s="416">
        <v>0</v>
      </c>
      <c r="P48" s="416">
        <v>0</v>
      </c>
      <c r="Q48" s="416">
        <v>0</v>
      </c>
      <c r="R48" s="416">
        <v>0</v>
      </c>
      <c r="S48" s="482"/>
      <c r="T48" s="416">
        <v>0</v>
      </c>
      <c r="U48" s="416">
        <v>0</v>
      </c>
      <c r="V48" s="416">
        <v>0</v>
      </c>
      <c r="W48" s="416">
        <v>0</v>
      </c>
      <c r="X48" s="416">
        <v>0</v>
      </c>
      <c r="Y48" s="416">
        <v>0</v>
      </c>
      <c r="Z48" s="481"/>
      <c r="AA48" s="481"/>
      <c r="AB48" s="481"/>
      <c r="AC48" s="341"/>
      <c r="AD48" s="341"/>
      <c r="AE48" s="341"/>
      <c r="AF48" s="482"/>
      <c r="AG48" s="845"/>
      <c r="AH48" s="845"/>
      <c r="AI48" s="845"/>
      <c r="AJ48" s="845"/>
      <c r="AK48" s="845"/>
      <c r="AL48" s="845"/>
      <c r="AM48" s="845"/>
      <c r="AN48" s="845"/>
      <c r="AO48" s="849"/>
      <c r="AP48" s="850"/>
      <c r="AQ48" s="845"/>
      <c r="AR48" s="845"/>
      <c r="AS48" s="845"/>
      <c r="AT48" s="845"/>
      <c r="AU48" s="845"/>
      <c r="AV48" s="845"/>
      <c r="AW48" s="845"/>
      <c r="AX48" s="847"/>
      <c r="AY48" s="848"/>
    </row>
    <row r="49" spans="1:51" ht="19.5" hidden="1" customHeight="1" x14ac:dyDescent="0.25">
      <c r="A49" s="852"/>
      <c r="B49" s="854"/>
      <c r="C49" s="854"/>
      <c r="D49" s="587" t="s">
        <v>4</v>
      </c>
      <c r="E49" s="414">
        <v>0</v>
      </c>
      <c r="F49" s="442">
        <v>0</v>
      </c>
      <c r="G49" s="442">
        <v>0</v>
      </c>
      <c r="H49" s="442">
        <v>0</v>
      </c>
      <c r="I49" s="442">
        <v>0</v>
      </c>
      <c r="J49" s="442">
        <v>0</v>
      </c>
      <c r="K49" s="442">
        <v>0</v>
      </c>
      <c r="L49" s="442">
        <v>0</v>
      </c>
      <c r="M49" s="414">
        <v>0</v>
      </c>
      <c r="N49" s="414">
        <v>0</v>
      </c>
      <c r="O49" s="414">
        <v>0</v>
      </c>
      <c r="P49" s="414">
        <v>0</v>
      </c>
      <c r="Q49" s="442">
        <v>0</v>
      </c>
      <c r="R49" s="442">
        <v>0</v>
      </c>
      <c r="S49" s="480"/>
      <c r="T49" s="414">
        <v>0</v>
      </c>
      <c r="U49" s="414">
        <v>0</v>
      </c>
      <c r="V49" s="414">
        <v>0</v>
      </c>
      <c r="W49" s="414">
        <v>0</v>
      </c>
      <c r="X49" s="414">
        <v>0</v>
      </c>
      <c r="Y49" s="414">
        <v>0</v>
      </c>
      <c r="Z49" s="414"/>
      <c r="AA49" s="414"/>
      <c r="AB49" s="414"/>
      <c r="AC49" s="442"/>
      <c r="AD49" s="442"/>
      <c r="AE49" s="442"/>
      <c r="AF49" s="480"/>
      <c r="AG49" s="845"/>
      <c r="AH49" s="845"/>
      <c r="AI49" s="845"/>
      <c r="AJ49" s="845"/>
      <c r="AK49" s="845"/>
      <c r="AL49" s="845"/>
      <c r="AM49" s="845"/>
      <c r="AN49" s="845"/>
      <c r="AO49" s="849"/>
      <c r="AP49" s="850"/>
      <c r="AQ49" s="845"/>
      <c r="AR49" s="845"/>
      <c r="AS49" s="845"/>
      <c r="AT49" s="845"/>
      <c r="AU49" s="845"/>
      <c r="AV49" s="845"/>
      <c r="AW49" s="845"/>
      <c r="AX49" s="847"/>
      <c r="AY49" s="848"/>
    </row>
    <row r="50" spans="1:51" ht="19.5" hidden="1" customHeight="1" x14ac:dyDescent="0.25">
      <c r="A50" s="852"/>
      <c r="B50" s="854"/>
      <c r="C50" s="854"/>
      <c r="D50" s="588" t="s">
        <v>43</v>
      </c>
      <c r="E50" s="483">
        <f t="shared" ref="E50:K51" si="11">+E46+E48</f>
        <v>0</v>
      </c>
      <c r="F50" s="483">
        <f t="shared" si="11"/>
        <v>0</v>
      </c>
      <c r="G50" s="483">
        <f t="shared" si="11"/>
        <v>0</v>
      </c>
      <c r="H50" s="483">
        <f t="shared" si="11"/>
        <v>0</v>
      </c>
      <c r="I50" s="483">
        <f t="shared" si="11"/>
        <v>0</v>
      </c>
      <c r="J50" s="483">
        <f t="shared" si="11"/>
        <v>0</v>
      </c>
      <c r="K50" s="483">
        <f t="shared" si="11"/>
        <v>0</v>
      </c>
      <c r="L50" s="483">
        <v>0</v>
      </c>
      <c r="M50" s="483"/>
      <c r="N50" s="483"/>
      <c r="O50" s="483"/>
      <c r="P50" s="483"/>
      <c r="Q50" s="483"/>
      <c r="R50" s="483"/>
      <c r="S50" s="483"/>
      <c r="T50" s="483">
        <f t="shared" ref="T50:Y51" si="12">+T46+T48</f>
        <v>0</v>
      </c>
      <c r="U50" s="483">
        <f t="shared" si="12"/>
        <v>0</v>
      </c>
      <c r="V50" s="483">
        <f t="shared" si="12"/>
        <v>0</v>
      </c>
      <c r="W50" s="483">
        <f t="shared" si="12"/>
        <v>0</v>
      </c>
      <c r="X50" s="483">
        <f t="shared" si="12"/>
        <v>0</v>
      </c>
      <c r="Y50" s="483">
        <f t="shared" si="12"/>
        <v>5</v>
      </c>
      <c r="Z50" s="483"/>
      <c r="AA50" s="483"/>
      <c r="AB50" s="483"/>
      <c r="AC50" s="483"/>
      <c r="AD50" s="483"/>
      <c r="AE50" s="483"/>
      <c r="AF50" s="482"/>
      <c r="AG50" s="845"/>
      <c r="AH50" s="845"/>
      <c r="AI50" s="845"/>
      <c r="AJ50" s="845"/>
      <c r="AK50" s="845"/>
      <c r="AL50" s="845"/>
      <c r="AM50" s="845"/>
      <c r="AN50" s="845"/>
      <c r="AO50" s="849"/>
      <c r="AP50" s="850"/>
      <c r="AQ50" s="845"/>
      <c r="AR50" s="845"/>
      <c r="AS50" s="845"/>
      <c r="AT50" s="845"/>
      <c r="AU50" s="845"/>
      <c r="AV50" s="845"/>
      <c r="AW50" s="845"/>
      <c r="AX50" s="847"/>
      <c r="AY50" s="848"/>
    </row>
    <row r="51" spans="1:51" ht="19.5" hidden="1" customHeight="1" x14ac:dyDescent="0.25">
      <c r="A51" s="852"/>
      <c r="B51" s="854"/>
      <c r="C51" s="856"/>
      <c r="D51" s="587" t="s">
        <v>45</v>
      </c>
      <c r="E51" s="480">
        <f t="shared" si="11"/>
        <v>0</v>
      </c>
      <c r="F51" s="480">
        <f t="shared" si="11"/>
        <v>0</v>
      </c>
      <c r="G51" s="480">
        <f t="shared" si="11"/>
        <v>0</v>
      </c>
      <c r="H51" s="480">
        <f t="shared" si="11"/>
        <v>0</v>
      </c>
      <c r="I51" s="480">
        <f t="shared" si="11"/>
        <v>0</v>
      </c>
      <c r="J51" s="480">
        <f t="shared" si="11"/>
        <v>0</v>
      </c>
      <c r="K51" s="480">
        <f t="shared" si="11"/>
        <v>0</v>
      </c>
      <c r="L51" s="480">
        <v>0</v>
      </c>
      <c r="M51" s="480"/>
      <c r="N51" s="480"/>
      <c r="O51" s="480"/>
      <c r="P51" s="480"/>
      <c r="Q51" s="480"/>
      <c r="R51" s="480"/>
      <c r="S51" s="480"/>
      <c r="T51" s="480">
        <f t="shared" si="12"/>
        <v>0</v>
      </c>
      <c r="U51" s="480">
        <f t="shared" si="12"/>
        <v>0</v>
      </c>
      <c r="V51" s="480">
        <f t="shared" si="12"/>
        <v>0</v>
      </c>
      <c r="W51" s="480">
        <f t="shared" si="12"/>
        <v>0</v>
      </c>
      <c r="X51" s="480">
        <f t="shared" si="12"/>
        <v>0</v>
      </c>
      <c r="Y51" s="480">
        <f t="shared" si="12"/>
        <v>6521739.1304347832</v>
      </c>
      <c r="Z51" s="480"/>
      <c r="AA51" s="480"/>
      <c r="AB51" s="480"/>
      <c r="AC51" s="480"/>
      <c r="AD51" s="480"/>
      <c r="AE51" s="480"/>
      <c r="AF51" s="414"/>
      <c r="AG51" s="845"/>
      <c r="AH51" s="845"/>
      <c r="AI51" s="845"/>
      <c r="AJ51" s="845"/>
      <c r="AK51" s="845"/>
      <c r="AL51" s="845"/>
      <c r="AM51" s="845"/>
      <c r="AN51" s="845"/>
      <c r="AO51" s="849"/>
      <c r="AP51" s="850"/>
      <c r="AQ51" s="845"/>
      <c r="AR51" s="845"/>
      <c r="AS51" s="845"/>
      <c r="AT51" s="845"/>
      <c r="AU51" s="845"/>
      <c r="AV51" s="845"/>
      <c r="AW51" s="845"/>
      <c r="AX51" s="847"/>
      <c r="AY51" s="848"/>
    </row>
    <row r="52" spans="1:51" ht="19.5" hidden="1" customHeight="1" x14ac:dyDescent="0.25">
      <c r="A52" s="852"/>
      <c r="B52" s="854"/>
      <c r="C52" s="853" t="s">
        <v>547</v>
      </c>
      <c r="D52" s="588" t="s">
        <v>41</v>
      </c>
      <c r="E52" s="416">
        <v>0</v>
      </c>
      <c r="F52" s="416">
        <v>0</v>
      </c>
      <c r="G52" s="416">
        <v>0</v>
      </c>
      <c r="H52" s="416">
        <v>0</v>
      </c>
      <c r="I52" s="416">
        <v>0</v>
      </c>
      <c r="J52" s="416">
        <v>0</v>
      </c>
      <c r="K52" s="416">
        <v>0</v>
      </c>
      <c r="L52" s="416">
        <v>0</v>
      </c>
      <c r="M52" s="416">
        <v>0</v>
      </c>
      <c r="N52" s="416">
        <v>0</v>
      </c>
      <c r="O52" s="416">
        <v>0</v>
      </c>
      <c r="P52" s="416">
        <v>0</v>
      </c>
      <c r="Q52" s="416">
        <v>0</v>
      </c>
      <c r="R52" s="416">
        <v>0</v>
      </c>
      <c r="S52" s="416"/>
      <c r="T52" s="416">
        <v>0</v>
      </c>
      <c r="U52" s="416">
        <v>0</v>
      </c>
      <c r="V52" s="416">
        <v>0</v>
      </c>
      <c r="W52" s="416">
        <v>0</v>
      </c>
      <c r="X52" s="416">
        <v>0</v>
      </c>
      <c r="Y52" s="416">
        <v>0</v>
      </c>
      <c r="Z52" s="341">
        <f>+[2]INVERSIÓN!AJ31</f>
        <v>116</v>
      </c>
      <c r="AA52" s="341">
        <f>+[2]INVERSIÓN!AK31</f>
        <v>127</v>
      </c>
      <c r="AB52" s="341">
        <f>+[2]INVERSIÓN!AL31</f>
        <v>76</v>
      </c>
      <c r="AC52" s="341">
        <f>+[2]INVERSIÓN!AM31</f>
        <v>94</v>
      </c>
      <c r="AD52" s="341">
        <f>+[2]INVERSIÓN!AN31</f>
        <v>115</v>
      </c>
      <c r="AE52" s="341">
        <f>+[2]INVERSIÓN!AO31</f>
        <v>94</v>
      </c>
      <c r="AF52" s="416"/>
      <c r="AG52" s="845" t="s">
        <v>548</v>
      </c>
      <c r="AH52" s="845" t="s">
        <v>454</v>
      </c>
      <c r="AI52" s="845" t="s">
        <v>454</v>
      </c>
      <c r="AJ52" s="845" t="s">
        <v>548</v>
      </c>
      <c r="AK52" s="845" t="s">
        <v>456</v>
      </c>
      <c r="AL52" s="845" t="s">
        <v>454</v>
      </c>
      <c r="AM52" s="845" t="s">
        <v>454</v>
      </c>
      <c r="AN52" s="845" t="s">
        <v>454</v>
      </c>
      <c r="AO52" s="849">
        <v>9672</v>
      </c>
      <c r="AP52" s="850">
        <v>9246</v>
      </c>
      <c r="AQ52" s="845" t="s">
        <v>454</v>
      </c>
      <c r="AR52" s="845" t="s">
        <v>454</v>
      </c>
      <c r="AS52" s="845" t="s">
        <v>454</v>
      </c>
      <c r="AT52" s="845" t="s">
        <v>454</v>
      </c>
      <c r="AU52" s="845" t="s">
        <v>454</v>
      </c>
      <c r="AV52" s="845" t="s">
        <v>454</v>
      </c>
      <c r="AW52" s="845" t="s">
        <v>454</v>
      </c>
      <c r="AX52" s="847">
        <f>+AO52+AP52</f>
        <v>18918</v>
      </c>
      <c r="AY52" s="848"/>
    </row>
    <row r="53" spans="1:51" s="156" customFormat="1" ht="19.5" hidden="1" customHeight="1" x14ac:dyDescent="0.25">
      <c r="A53" s="852"/>
      <c r="B53" s="854"/>
      <c r="C53" s="854"/>
      <c r="D53" s="587" t="s">
        <v>3</v>
      </c>
      <c r="E53" s="414">
        <v>0</v>
      </c>
      <c r="F53" s="414">
        <v>0</v>
      </c>
      <c r="G53" s="414">
        <v>0</v>
      </c>
      <c r="H53" s="414">
        <v>0</v>
      </c>
      <c r="I53" s="414">
        <v>0</v>
      </c>
      <c r="J53" s="414">
        <v>0</v>
      </c>
      <c r="K53" s="414">
        <v>0</v>
      </c>
      <c r="L53" s="414">
        <v>0</v>
      </c>
      <c r="M53" s="414">
        <v>0</v>
      </c>
      <c r="N53" s="414">
        <v>0</v>
      </c>
      <c r="O53" s="414">
        <v>0</v>
      </c>
      <c r="P53" s="414">
        <v>0</v>
      </c>
      <c r="Q53" s="442">
        <v>0</v>
      </c>
      <c r="R53" s="442">
        <v>0</v>
      </c>
      <c r="S53" s="442"/>
      <c r="T53" s="414">
        <v>0</v>
      </c>
      <c r="U53" s="414">
        <v>0</v>
      </c>
      <c r="V53" s="414">
        <v>0</v>
      </c>
      <c r="W53" s="414">
        <v>0</v>
      </c>
      <c r="X53" s="414">
        <v>0</v>
      </c>
      <c r="Y53" s="414">
        <v>0</v>
      </c>
      <c r="Z53" s="414"/>
      <c r="AA53" s="414"/>
      <c r="AB53" s="414"/>
      <c r="AC53" s="442"/>
      <c r="AD53" s="442"/>
      <c r="AE53" s="442"/>
      <c r="AF53" s="442"/>
      <c r="AG53" s="845"/>
      <c r="AH53" s="845"/>
      <c r="AI53" s="845"/>
      <c r="AJ53" s="845"/>
      <c r="AK53" s="845"/>
      <c r="AL53" s="845"/>
      <c r="AM53" s="845"/>
      <c r="AN53" s="845"/>
      <c r="AO53" s="849"/>
      <c r="AP53" s="850"/>
      <c r="AQ53" s="845"/>
      <c r="AR53" s="845"/>
      <c r="AS53" s="845"/>
      <c r="AT53" s="845"/>
      <c r="AU53" s="845"/>
      <c r="AV53" s="845"/>
      <c r="AW53" s="845"/>
      <c r="AX53" s="847"/>
      <c r="AY53" s="848"/>
    </row>
    <row r="54" spans="1:51" ht="19.5" hidden="1" customHeight="1" x14ac:dyDescent="0.25">
      <c r="A54" s="852"/>
      <c r="B54" s="854"/>
      <c r="C54" s="854"/>
      <c r="D54" s="588" t="s">
        <v>42</v>
      </c>
      <c r="E54" s="416">
        <v>0</v>
      </c>
      <c r="F54" s="484">
        <v>0</v>
      </c>
      <c r="G54" s="484">
        <v>0</v>
      </c>
      <c r="H54" s="484">
        <v>0</v>
      </c>
      <c r="I54" s="484">
        <v>0</v>
      </c>
      <c r="J54" s="484">
        <v>0</v>
      </c>
      <c r="K54" s="484">
        <v>0</v>
      </c>
      <c r="L54" s="484">
        <v>0</v>
      </c>
      <c r="M54" s="416">
        <v>0</v>
      </c>
      <c r="N54" s="416">
        <v>0</v>
      </c>
      <c r="O54" s="416">
        <v>0</v>
      </c>
      <c r="P54" s="416">
        <v>0</v>
      </c>
      <c r="Q54" s="416">
        <v>0</v>
      </c>
      <c r="R54" s="416">
        <v>0</v>
      </c>
      <c r="S54" s="482"/>
      <c r="T54" s="416">
        <v>0</v>
      </c>
      <c r="U54" s="416">
        <v>0</v>
      </c>
      <c r="V54" s="416">
        <v>0</v>
      </c>
      <c r="W54" s="416">
        <v>0</v>
      </c>
      <c r="X54" s="416">
        <v>0</v>
      </c>
      <c r="Y54" s="416">
        <v>0</v>
      </c>
      <c r="Z54" s="481"/>
      <c r="AA54" s="481"/>
      <c r="AB54" s="481"/>
      <c r="AC54" s="341"/>
      <c r="AD54" s="341"/>
      <c r="AE54" s="341"/>
      <c r="AF54" s="482"/>
      <c r="AG54" s="845"/>
      <c r="AH54" s="845"/>
      <c r="AI54" s="845"/>
      <c r="AJ54" s="845"/>
      <c r="AK54" s="845"/>
      <c r="AL54" s="845"/>
      <c r="AM54" s="845"/>
      <c r="AN54" s="845"/>
      <c r="AO54" s="849"/>
      <c r="AP54" s="850"/>
      <c r="AQ54" s="845"/>
      <c r="AR54" s="845"/>
      <c r="AS54" s="845"/>
      <c r="AT54" s="845"/>
      <c r="AU54" s="845"/>
      <c r="AV54" s="845"/>
      <c r="AW54" s="845"/>
      <c r="AX54" s="847"/>
      <c r="AY54" s="848"/>
    </row>
    <row r="55" spans="1:51" s="162" customFormat="1" ht="19.5" hidden="1" customHeight="1" x14ac:dyDescent="0.25">
      <c r="A55" s="852"/>
      <c r="B55" s="854"/>
      <c r="C55" s="854"/>
      <c r="D55" s="587" t="s">
        <v>4</v>
      </c>
      <c r="E55" s="414">
        <v>0</v>
      </c>
      <c r="F55" s="442">
        <v>0</v>
      </c>
      <c r="G55" s="442">
        <v>0</v>
      </c>
      <c r="H55" s="442">
        <v>0</v>
      </c>
      <c r="I55" s="442">
        <v>0</v>
      </c>
      <c r="J55" s="442">
        <v>0</v>
      </c>
      <c r="K55" s="442">
        <v>0</v>
      </c>
      <c r="L55" s="442">
        <v>0</v>
      </c>
      <c r="M55" s="414">
        <v>0</v>
      </c>
      <c r="N55" s="414">
        <v>0</v>
      </c>
      <c r="O55" s="414">
        <v>0</v>
      </c>
      <c r="P55" s="414">
        <v>0</v>
      </c>
      <c r="Q55" s="442">
        <v>0</v>
      </c>
      <c r="R55" s="442">
        <v>0</v>
      </c>
      <c r="S55" s="480"/>
      <c r="T55" s="414">
        <v>0</v>
      </c>
      <c r="U55" s="414">
        <v>0</v>
      </c>
      <c r="V55" s="414">
        <v>0</v>
      </c>
      <c r="W55" s="414">
        <v>0</v>
      </c>
      <c r="X55" s="414">
        <v>0</v>
      </c>
      <c r="Y55" s="414">
        <v>0</v>
      </c>
      <c r="Z55" s="414"/>
      <c r="AA55" s="414"/>
      <c r="AB55" s="414"/>
      <c r="AC55" s="442"/>
      <c r="AD55" s="442"/>
      <c r="AE55" s="442"/>
      <c r="AF55" s="480"/>
      <c r="AG55" s="845"/>
      <c r="AH55" s="845"/>
      <c r="AI55" s="845"/>
      <c r="AJ55" s="845"/>
      <c r="AK55" s="845"/>
      <c r="AL55" s="845"/>
      <c r="AM55" s="845"/>
      <c r="AN55" s="845"/>
      <c r="AO55" s="849"/>
      <c r="AP55" s="850"/>
      <c r="AQ55" s="845"/>
      <c r="AR55" s="845"/>
      <c r="AS55" s="845"/>
      <c r="AT55" s="845"/>
      <c r="AU55" s="845"/>
      <c r="AV55" s="845"/>
      <c r="AW55" s="845"/>
      <c r="AX55" s="847"/>
      <c r="AY55" s="848"/>
    </row>
    <row r="56" spans="1:51" ht="19.5" hidden="1" customHeight="1" x14ac:dyDescent="0.25">
      <c r="A56" s="852"/>
      <c r="B56" s="854"/>
      <c r="C56" s="854"/>
      <c r="D56" s="588" t="s">
        <v>43</v>
      </c>
      <c r="E56" s="483">
        <f t="shared" ref="E56:K57" si="13">+E52+E54</f>
        <v>0</v>
      </c>
      <c r="F56" s="483">
        <f t="shared" si="13"/>
        <v>0</v>
      </c>
      <c r="G56" s="483">
        <f t="shared" si="13"/>
        <v>0</v>
      </c>
      <c r="H56" s="483">
        <f t="shared" si="13"/>
        <v>0</v>
      </c>
      <c r="I56" s="483">
        <f t="shared" si="13"/>
        <v>0</v>
      </c>
      <c r="J56" s="483">
        <f t="shared" si="13"/>
        <v>0</v>
      </c>
      <c r="K56" s="483">
        <f t="shared" si="13"/>
        <v>0</v>
      </c>
      <c r="L56" s="483">
        <v>0</v>
      </c>
      <c r="M56" s="483"/>
      <c r="N56" s="483"/>
      <c r="O56" s="483"/>
      <c r="P56" s="483"/>
      <c r="Q56" s="483"/>
      <c r="R56" s="483"/>
      <c r="S56" s="483"/>
      <c r="T56" s="483">
        <f t="shared" ref="T56:Y57" si="14">+T52+T54</f>
        <v>0</v>
      </c>
      <c r="U56" s="483">
        <f t="shared" si="14"/>
        <v>0</v>
      </c>
      <c r="V56" s="483">
        <f t="shared" si="14"/>
        <v>0</v>
      </c>
      <c r="W56" s="483">
        <f t="shared" si="14"/>
        <v>0</v>
      </c>
      <c r="X56" s="483">
        <f t="shared" si="14"/>
        <v>0</v>
      </c>
      <c r="Y56" s="483">
        <f t="shared" si="14"/>
        <v>0</v>
      </c>
      <c r="Z56" s="483"/>
      <c r="AA56" s="483"/>
      <c r="AB56" s="483"/>
      <c r="AC56" s="483"/>
      <c r="AD56" s="483"/>
      <c r="AE56" s="483"/>
      <c r="AF56" s="482"/>
      <c r="AG56" s="845"/>
      <c r="AH56" s="845"/>
      <c r="AI56" s="845"/>
      <c r="AJ56" s="845"/>
      <c r="AK56" s="845"/>
      <c r="AL56" s="845"/>
      <c r="AM56" s="845"/>
      <c r="AN56" s="845"/>
      <c r="AO56" s="849"/>
      <c r="AP56" s="850"/>
      <c r="AQ56" s="845"/>
      <c r="AR56" s="845"/>
      <c r="AS56" s="845"/>
      <c r="AT56" s="845"/>
      <c r="AU56" s="845"/>
      <c r="AV56" s="845"/>
      <c r="AW56" s="845"/>
      <c r="AX56" s="847"/>
      <c r="AY56" s="848"/>
    </row>
    <row r="57" spans="1:51" s="156" customFormat="1" ht="19.5" hidden="1" customHeight="1" x14ac:dyDescent="0.25">
      <c r="A57" s="852"/>
      <c r="B57" s="854"/>
      <c r="C57" s="856"/>
      <c r="D57" s="587" t="s">
        <v>45</v>
      </c>
      <c r="E57" s="480">
        <f t="shared" si="13"/>
        <v>0</v>
      </c>
      <c r="F57" s="480">
        <f t="shared" si="13"/>
        <v>0</v>
      </c>
      <c r="G57" s="480">
        <f t="shared" si="13"/>
        <v>0</v>
      </c>
      <c r="H57" s="480">
        <f t="shared" si="13"/>
        <v>0</v>
      </c>
      <c r="I57" s="480">
        <f t="shared" si="13"/>
        <v>0</v>
      </c>
      <c r="J57" s="480">
        <f t="shared" si="13"/>
        <v>0</v>
      </c>
      <c r="K57" s="480">
        <f t="shared" si="13"/>
        <v>0</v>
      </c>
      <c r="L57" s="480">
        <v>0</v>
      </c>
      <c r="M57" s="480"/>
      <c r="N57" s="480"/>
      <c r="O57" s="480"/>
      <c r="P57" s="480"/>
      <c r="Q57" s="480"/>
      <c r="R57" s="480"/>
      <c r="S57" s="480"/>
      <c r="T57" s="480">
        <f t="shared" si="14"/>
        <v>0</v>
      </c>
      <c r="U57" s="480">
        <f t="shared" si="14"/>
        <v>0</v>
      </c>
      <c r="V57" s="480">
        <f t="shared" si="14"/>
        <v>0</v>
      </c>
      <c r="W57" s="480">
        <f t="shared" si="14"/>
        <v>0</v>
      </c>
      <c r="X57" s="480">
        <f t="shared" si="14"/>
        <v>0</v>
      </c>
      <c r="Y57" s="480">
        <f t="shared" si="14"/>
        <v>0</v>
      </c>
      <c r="Z57" s="480"/>
      <c r="AA57" s="480"/>
      <c r="AB57" s="480"/>
      <c r="AC57" s="480"/>
      <c r="AD57" s="480"/>
      <c r="AE57" s="480"/>
      <c r="AF57" s="414"/>
      <c r="AG57" s="845"/>
      <c r="AH57" s="845"/>
      <c r="AI57" s="845"/>
      <c r="AJ57" s="845"/>
      <c r="AK57" s="845"/>
      <c r="AL57" s="845"/>
      <c r="AM57" s="845"/>
      <c r="AN57" s="845"/>
      <c r="AO57" s="849"/>
      <c r="AP57" s="850"/>
      <c r="AQ57" s="845"/>
      <c r="AR57" s="845"/>
      <c r="AS57" s="845"/>
      <c r="AT57" s="845"/>
      <c r="AU57" s="845"/>
      <c r="AV57" s="845"/>
      <c r="AW57" s="845"/>
      <c r="AX57" s="847"/>
      <c r="AY57" s="848"/>
    </row>
    <row r="58" spans="1:51" ht="19.5" hidden="1" customHeight="1" x14ac:dyDescent="0.25">
      <c r="A58" s="852"/>
      <c r="B58" s="854"/>
      <c r="C58" s="853" t="s">
        <v>549</v>
      </c>
      <c r="D58" s="588" t="s">
        <v>41</v>
      </c>
      <c r="E58" s="416">
        <v>0</v>
      </c>
      <c r="F58" s="416">
        <v>0</v>
      </c>
      <c r="G58" s="416">
        <v>0</v>
      </c>
      <c r="H58" s="416">
        <v>0</v>
      </c>
      <c r="I58" s="416">
        <v>0</v>
      </c>
      <c r="J58" s="416">
        <v>0</v>
      </c>
      <c r="K58" s="416">
        <v>0</v>
      </c>
      <c r="L58" s="416">
        <v>0</v>
      </c>
      <c r="M58" s="416">
        <v>0</v>
      </c>
      <c r="N58" s="416">
        <v>0</v>
      </c>
      <c r="O58" s="416">
        <v>0</v>
      </c>
      <c r="P58" s="416">
        <v>0</v>
      </c>
      <c r="Q58" s="416">
        <v>0</v>
      </c>
      <c r="R58" s="416">
        <v>0</v>
      </c>
      <c r="S58" s="416"/>
      <c r="T58" s="416">
        <v>0</v>
      </c>
      <c r="U58" s="416">
        <v>0</v>
      </c>
      <c r="V58" s="416">
        <v>0</v>
      </c>
      <c r="W58" s="416">
        <v>0</v>
      </c>
      <c r="X58" s="416">
        <v>0</v>
      </c>
      <c r="Y58" s="416">
        <v>8</v>
      </c>
      <c r="Z58" s="341">
        <f>+[2]INVERSIÓN!AJ37</f>
        <v>0</v>
      </c>
      <c r="AA58" s="341">
        <f>+[2]INVERSIÓN!AK37</f>
        <v>0</v>
      </c>
      <c r="AB58" s="341">
        <f>+[2]INVERSIÓN!AL37</f>
        <v>0</v>
      </c>
      <c r="AC58" s="341">
        <f>+[2]INVERSIÓN!AM37</f>
        <v>0</v>
      </c>
      <c r="AD58" s="341">
        <f>+[2]INVERSIÓN!AN37</f>
        <v>150000000</v>
      </c>
      <c r="AE58" s="341">
        <f>+[2]INVERSIÓN!AO37</f>
        <v>0</v>
      </c>
      <c r="AF58" s="416"/>
      <c r="AG58" s="845" t="s">
        <v>550</v>
      </c>
      <c r="AH58" s="845" t="s">
        <v>454</v>
      </c>
      <c r="AI58" s="845" t="s">
        <v>454</v>
      </c>
      <c r="AJ58" s="845" t="s">
        <v>550</v>
      </c>
      <c r="AK58" s="845" t="s">
        <v>456</v>
      </c>
      <c r="AL58" s="845" t="s">
        <v>454</v>
      </c>
      <c r="AM58" s="845" t="s">
        <v>454</v>
      </c>
      <c r="AN58" s="845" t="s">
        <v>454</v>
      </c>
      <c r="AO58" s="849">
        <v>77479</v>
      </c>
      <c r="AP58" s="850">
        <v>85731</v>
      </c>
      <c r="AQ58" s="845" t="s">
        <v>454</v>
      </c>
      <c r="AR58" s="845" t="s">
        <v>454</v>
      </c>
      <c r="AS58" s="845" t="s">
        <v>454</v>
      </c>
      <c r="AT58" s="845" t="s">
        <v>454</v>
      </c>
      <c r="AU58" s="845" t="s">
        <v>454</v>
      </c>
      <c r="AV58" s="845" t="s">
        <v>454</v>
      </c>
      <c r="AW58" s="845" t="s">
        <v>454</v>
      </c>
      <c r="AX58" s="847">
        <f>+AO58+AP58</f>
        <v>163210</v>
      </c>
      <c r="AY58" s="848"/>
    </row>
    <row r="59" spans="1:51" s="162" customFormat="1" ht="19.5" hidden="1" customHeight="1" x14ac:dyDescent="0.25">
      <c r="A59" s="852"/>
      <c r="B59" s="854"/>
      <c r="C59" s="854"/>
      <c r="D59" s="587" t="s">
        <v>3</v>
      </c>
      <c r="E59" s="414">
        <v>0</v>
      </c>
      <c r="F59" s="414">
        <v>0</v>
      </c>
      <c r="G59" s="414">
        <v>0</v>
      </c>
      <c r="H59" s="414">
        <v>0</v>
      </c>
      <c r="I59" s="414">
        <v>0</v>
      </c>
      <c r="J59" s="414">
        <v>0</v>
      </c>
      <c r="K59" s="414">
        <v>0</v>
      </c>
      <c r="L59" s="414">
        <v>0</v>
      </c>
      <c r="M59" s="414">
        <v>0</v>
      </c>
      <c r="N59" s="414">
        <v>0</v>
      </c>
      <c r="O59" s="414">
        <v>0</v>
      </c>
      <c r="P59" s="414">
        <v>0</v>
      </c>
      <c r="Q59" s="442">
        <v>0</v>
      </c>
      <c r="R59" s="442">
        <v>0</v>
      </c>
      <c r="S59" s="442"/>
      <c r="T59" s="414">
        <v>0</v>
      </c>
      <c r="U59" s="414">
        <v>0</v>
      </c>
      <c r="V59" s="414">
        <v>0</v>
      </c>
      <c r="W59" s="414">
        <v>0</v>
      </c>
      <c r="X59" s="414">
        <v>0</v>
      </c>
      <c r="Y59" s="414">
        <v>10434782.608695652</v>
      </c>
      <c r="Z59" s="414"/>
      <c r="AA59" s="414"/>
      <c r="AB59" s="414"/>
      <c r="AC59" s="442"/>
      <c r="AD59" s="442"/>
      <c r="AE59" s="442"/>
      <c r="AF59" s="442"/>
      <c r="AG59" s="845"/>
      <c r="AH59" s="845"/>
      <c r="AI59" s="845"/>
      <c r="AJ59" s="845"/>
      <c r="AK59" s="845"/>
      <c r="AL59" s="845"/>
      <c r="AM59" s="845"/>
      <c r="AN59" s="845"/>
      <c r="AO59" s="849"/>
      <c r="AP59" s="850"/>
      <c r="AQ59" s="845"/>
      <c r="AR59" s="845"/>
      <c r="AS59" s="845"/>
      <c r="AT59" s="845"/>
      <c r="AU59" s="845"/>
      <c r="AV59" s="845"/>
      <c r="AW59" s="845"/>
      <c r="AX59" s="847"/>
      <c r="AY59" s="848"/>
    </row>
    <row r="60" spans="1:51" ht="19.5" hidden="1" customHeight="1" x14ac:dyDescent="0.25">
      <c r="A60" s="852"/>
      <c r="B60" s="854"/>
      <c r="C60" s="854"/>
      <c r="D60" s="588" t="s">
        <v>42</v>
      </c>
      <c r="E60" s="416">
        <v>0</v>
      </c>
      <c r="F60" s="484">
        <v>0</v>
      </c>
      <c r="G60" s="484">
        <v>0</v>
      </c>
      <c r="H60" s="484">
        <v>0</v>
      </c>
      <c r="I60" s="484">
        <v>0</v>
      </c>
      <c r="J60" s="484">
        <v>0</v>
      </c>
      <c r="K60" s="484">
        <v>0</v>
      </c>
      <c r="L60" s="484">
        <v>0</v>
      </c>
      <c r="M60" s="416">
        <v>0</v>
      </c>
      <c r="N60" s="416">
        <v>0</v>
      </c>
      <c r="O60" s="416">
        <v>0</v>
      </c>
      <c r="P60" s="416">
        <v>0</v>
      </c>
      <c r="Q60" s="416">
        <v>0</v>
      </c>
      <c r="R60" s="416">
        <v>0</v>
      </c>
      <c r="S60" s="482"/>
      <c r="T60" s="416">
        <v>0</v>
      </c>
      <c r="U60" s="416">
        <v>0</v>
      </c>
      <c r="V60" s="416">
        <v>0</v>
      </c>
      <c r="W60" s="416">
        <v>0</v>
      </c>
      <c r="X60" s="416">
        <v>0</v>
      </c>
      <c r="Y60" s="416">
        <v>0</v>
      </c>
      <c r="Z60" s="481"/>
      <c r="AA60" s="481"/>
      <c r="AB60" s="481"/>
      <c r="AC60" s="341"/>
      <c r="AD60" s="341"/>
      <c r="AE60" s="341"/>
      <c r="AF60" s="482"/>
      <c r="AG60" s="845"/>
      <c r="AH60" s="845"/>
      <c r="AI60" s="845"/>
      <c r="AJ60" s="845"/>
      <c r="AK60" s="845"/>
      <c r="AL60" s="845"/>
      <c r="AM60" s="845"/>
      <c r="AN60" s="845"/>
      <c r="AO60" s="849"/>
      <c r="AP60" s="850"/>
      <c r="AQ60" s="845"/>
      <c r="AR60" s="845"/>
      <c r="AS60" s="845"/>
      <c r="AT60" s="845"/>
      <c r="AU60" s="845"/>
      <c r="AV60" s="845"/>
      <c r="AW60" s="845"/>
      <c r="AX60" s="847"/>
      <c r="AY60" s="848"/>
    </row>
    <row r="61" spans="1:51" s="41" customFormat="1" ht="19.5" hidden="1" customHeight="1" x14ac:dyDescent="0.25">
      <c r="A61" s="852"/>
      <c r="B61" s="854"/>
      <c r="C61" s="854"/>
      <c r="D61" s="587" t="s">
        <v>4</v>
      </c>
      <c r="E61" s="414">
        <v>0</v>
      </c>
      <c r="F61" s="442">
        <v>0</v>
      </c>
      <c r="G61" s="442">
        <v>0</v>
      </c>
      <c r="H61" s="442">
        <v>0</v>
      </c>
      <c r="I61" s="442">
        <v>0</v>
      </c>
      <c r="J61" s="442">
        <v>0</v>
      </c>
      <c r="K61" s="442">
        <v>0</v>
      </c>
      <c r="L61" s="442">
        <v>0</v>
      </c>
      <c r="M61" s="414">
        <v>0</v>
      </c>
      <c r="N61" s="414">
        <v>0</v>
      </c>
      <c r="O61" s="414">
        <v>0</v>
      </c>
      <c r="P61" s="414">
        <v>0</v>
      </c>
      <c r="Q61" s="442">
        <v>0</v>
      </c>
      <c r="R61" s="442">
        <v>0</v>
      </c>
      <c r="S61" s="480"/>
      <c r="T61" s="414">
        <v>0</v>
      </c>
      <c r="U61" s="414">
        <v>0</v>
      </c>
      <c r="V61" s="414">
        <v>0</v>
      </c>
      <c r="W61" s="414">
        <v>0</v>
      </c>
      <c r="X61" s="414">
        <v>0</v>
      </c>
      <c r="Y61" s="414">
        <v>0</v>
      </c>
      <c r="Z61" s="414"/>
      <c r="AA61" s="414"/>
      <c r="AB61" s="414"/>
      <c r="AC61" s="442"/>
      <c r="AD61" s="442"/>
      <c r="AE61" s="442"/>
      <c r="AF61" s="480"/>
      <c r="AG61" s="845"/>
      <c r="AH61" s="845"/>
      <c r="AI61" s="845"/>
      <c r="AJ61" s="845"/>
      <c r="AK61" s="845"/>
      <c r="AL61" s="845"/>
      <c r="AM61" s="845"/>
      <c r="AN61" s="845"/>
      <c r="AO61" s="849"/>
      <c r="AP61" s="850"/>
      <c r="AQ61" s="845"/>
      <c r="AR61" s="845"/>
      <c r="AS61" s="845"/>
      <c r="AT61" s="845"/>
      <c r="AU61" s="845"/>
      <c r="AV61" s="845"/>
      <c r="AW61" s="845"/>
      <c r="AX61" s="847"/>
      <c r="AY61" s="848"/>
    </row>
    <row r="62" spans="1:51" ht="19.5" hidden="1" customHeight="1" x14ac:dyDescent="0.25">
      <c r="A62" s="852"/>
      <c r="B62" s="854"/>
      <c r="C62" s="854"/>
      <c r="D62" s="588" t="s">
        <v>43</v>
      </c>
      <c r="E62" s="483">
        <f t="shared" ref="E62:K63" si="15">+E58+E60</f>
        <v>0</v>
      </c>
      <c r="F62" s="483">
        <f t="shared" si="15"/>
        <v>0</v>
      </c>
      <c r="G62" s="483">
        <f t="shared" si="15"/>
        <v>0</v>
      </c>
      <c r="H62" s="483">
        <f t="shared" si="15"/>
        <v>0</v>
      </c>
      <c r="I62" s="483">
        <f t="shared" si="15"/>
        <v>0</v>
      </c>
      <c r="J62" s="483">
        <f t="shared" si="15"/>
        <v>0</v>
      </c>
      <c r="K62" s="483">
        <f t="shared" si="15"/>
        <v>0</v>
      </c>
      <c r="L62" s="483">
        <v>0</v>
      </c>
      <c r="M62" s="483"/>
      <c r="N62" s="483"/>
      <c r="O62" s="483"/>
      <c r="P62" s="483"/>
      <c r="Q62" s="483"/>
      <c r="R62" s="483"/>
      <c r="S62" s="483"/>
      <c r="T62" s="483">
        <f t="shared" ref="T62:Y63" si="16">+T58+T60</f>
        <v>0</v>
      </c>
      <c r="U62" s="483">
        <f t="shared" si="16"/>
        <v>0</v>
      </c>
      <c r="V62" s="483">
        <f t="shared" si="16"/>
        <v>0</v>
      </c>
      <c r="W62" s="483">
        <f t="shared" si="16"/>
        <v>0</v>
      </c>
      <c r="X62" s="483">
        <f t="shared" si="16"/>
        <v>0</v>
      </c>
      <c r="Y62" s="483">
        <f t="shared" si="16"/>
        <v>8</v>
      </c>
      <c r="Z62" s="483"/>
      <c r="AA62" s="483"/>
      <c r="AB62" s="483"/>
      <c r="AC62" s="483"/>
      <c r="AD62" s="483"/>
      <c r="AE62" s="483"/>
      <c r="AF62" s="482"/>
      <c r="AG62" s="845"/>
      <c r="AH62" s="845"/>
      <c r="AI62" s="845"/>
      <c r="AJ62" s="845"/>
      <c r="AK62" s="845"/>
      <c r="AL62" s="845"/>
      <c r="AM62" s="845"/>
      <c r="AN62" s="845"/>
      <c r="AO62" s="849"/>
      <c r="AP62" s="850"/>
      <c r="AQ62" s="845"/>
      <c r="AR62" s="845"/>
      <c r="AS62" s="845"/>
      <c r="AT62" s="845"/>
      <c r="AU62" s="845"/>
      <c r="AV62" s="845"/>
      <c r="AW62" s="845"/>
      <c r="AX62" s="847"/>
      <c r="AY62" s="848"/>
    </row>
    <row r="63" spans="1:51" s="156" customFormat="1" ht="19.5" hidden="1" customHeight="1" x14ac:dyDescent="0.25">
      <c r="A63" s="852"/>
      <c r="B63" s="854"/>
      <c r="C63" s="856"/>
      <c r="D63" s="587" t="s">
        <v>45</v>
      </c>
      <c r="E63" s="480">
        <f t="shared" si="15"/>
        <v>0</v>
      </c>
      <c r="F63" s="480">
        <f t="shared" si="15"/>
        <v>0</v>
      </c>
      <c r="G63" s="480">
        <f t="shared" si="15"/>
        <v>0</v>
      </c>
      <c r="H63" s="480">
        <f t="shared" si="15"/>
        <v>0</v>
      </c>
      <c r="I63" s="480">
        <f t="shared" si="15"/>
        <v>0</v>
      </c>
      <c r="J63" s="480">
        <f t="shared" si="15"/>
        <v>0</v>
      </c>
      <c r="K63" s="480">
        <f t="shared" si="15"/>
        <v>0</v>
      </c>
      <c r="L63" s="480">
        <v>0</v>
      </c>
      <c r="M63" s="480"/>
      <c r="N63" s="480"/>
      <c r="O63" s="480"/>
      <c r="P63" s="480"/>
      <c r="Q63" s="480"/>
      <c r="R63" s="480"/>
      <c r="S63" s="480"/>
      <c r="T63" s="480">
        <f t="shared" si="16"/>
        <v>0</v>
      </c>
      <c r="U63" s="480">
        <f t="shared" si="16"/>
        <v>0</v>
      </c>
      <c r="V63" s="480">
        <f t="shared" si="16"/>
        <v>0</v>
      </c>
      <c r="W63" s="480">
        <f t="shared" si="16"/>
        <v>0</v>
      </c>
      <c r="X63" s="480">
        <f t="shared" si="16"/>
        <v>0</v>
      </c>
      <c r="Y63" s="480">
        <f t="shared" si="16"/>
        <v>10434782.608695652</v>
      </c>
      <c r="Z63" s="480"/>
      <c r="AA63" s="480"/>
      <c r="AB63" s="480"/>
      <c r="AC63" s="480"/>
      <c r="AD63" s="480"/>
      <c r="AE63" s="480"/>
      <c r="AF63" s="414"/>
      <c r="AG63" s="845"/>
      <c r="AH63" s="845"/>
      <c r="AI63" s="845"/>
      <c r="AJ63" s="845"/>
      <c r="AK63" s="845"/>
      <c r="AL63" s="845"/>
      <c r="AM63" s="845"/>
      <c r="AN63" s="845"/>
      <c r="AO63" s="849"/>
      <c r="AP63" s="850"/>
      <c r="AQ63" s="845"/>
      <c r="AR63" s="845"/>
      <c r="AS63" s="845"/>
      <c r="AT63" s="845"/>
      <c r="AU63" s="845"/>
      <c r="AV63" s="845"/>
      <c r="AW63" s="845"/>
      <c r="AX63" s="847"/>
      <c r="AY63" s="848"/>
    </row>
    <row r="64" spans="1:51" ht="19.5" hidden="1" customHeight="1" x14ac:dyDescent="0.25">
      <c r="A64" s="852"/>
      <c r="B64" s="854"/>
      <c r="C64" s="853" t="s">
        <v>551</v>
      </c>
      <c r="D64" s="588" t="s">
        <v>41</v>
      </c>
      <c r="E64" s="416">
        <v>0</v>
      </c>
      <c r="F64" s="416">
        <v>0</v>
      </c>
      <c r="G64" s="416">
        <v>0</v>
      </c>
      <c r="H64" s="416">
        <v>0</v>
      </c>
      <c r="I64" s="416">
        <v>0</v>
      </c>
      <c r="J64" s="416">
        <v>0</v>
      </c>
      <c r="K64" s="416">
        <v>0</v>
      </c>
      <c r="L64" s="416">
        <v>0</v>
      </c>
      <c r="M64" s="416">
        <v>0</v>
      </c>
      <c r="N64" s="416">
        <v>0</v>
      </c>
      <c r="O64" s="416">
        <v>0</v>
      </c>
      <c r="P64" s="416">
        <v>0</v>
      </c>
      <c r="Q64" s="416">
        <v>0</v>
      </c>
      <c r="R64" s="416">
        <v>0</v>
      </c>
      <c r="S64" s="416"/>
      <c r="T64" s="416">
        <v>0</v>
      </c>
      <c r="U64" s="416">
        <v>0</v>
      </c>
      <c r="V64" s="416">
        <v>0</v>
      </c>
      <c r="W64" s="416">
        <v>0</v>
      </c>
      <c r="X64" s="416">
        <v>0</v>
      </c>
      <c r="Y64" s="416">
        <v>3</v>
      </c>
      <c r="Z64" s="341">
        <f>+[2]INVERSIÓN!AJ43</f>
        <v>1</v>
      </c>
      <c r="AA64" s="341">
        <f>+[2]INVERSIÓN!AK43</f>
        <v>1</v>
      </c>
      <c r="AB64" s="341">
        <f>+[2]INVERSIÓN!AL43</f>
        <v>1</v>
      </c>
      <c r="AC64" s="341">
        <f>+[2]INVERSIÓN!AM43</f>
        <v>1</v>
      </c>
      <c r="AD64" s="341">
        <f>+[2]INVERSIÓN!AN43</f>
        <v>1</v>
      </c>
      <c r="AE64" s="341">
        <f>+[2]INVERSIÓN!AO43</f>
        <v>1</v>
      </c>
      <c r="AF64" s="416"/>
      <c r="AG64" s="845" t="s">
        <v>552</v>
      </c>
      <c r="AH64" s="845" t="s">
        <v>454</v>
      </c>
      <c r="AI64" s="845" t="s">
        <v>454</v>
      </c>
      <c r="AJ64" s="845" t="s">
        <v>552</v>
      </c>
      <c r="AK64" s="845" t="s">
        <v>456</v>
      </c>
      <c r="AL64" s="845" t="s">
        <v>454</v>
      </c>
      <c r="AM64" s="845" t="s">
        <v>454</v>
      </c>
      <c r="AN64" s="845" t="s">
        <v>454</v>
      </c>
      <c r="AO64" s="849">
        <v>306776</v>
      </c>
      <c r="AP64" s="850">
        <v>32750</v>
      </c>
      <c r="AQ64" s="845" t="s">
        <v>454</v>
      </c>
      <c r="AR64" s="845" t="s">
        <v>454</v>
      </c>
      <c r="AS64" s="845" t="s">
        <v>454</v>
      </c>
      <c r="AT64" s="845" t="s">
        <v>454</v>
      </c>
      <c r="AU64" s="845" t="s">
        <v>454</v>
      </c>
      <c r="AV64" s="845" t="s">
        <v>454</v>
      </c>
      <c r="AW64" s="845" t="s">
        <v>454</v>
      </c>
      <c r="AX64" s="847">
        <f>+AO64+AP64</f>
        <v>339526</v>
      </c>
      <c r="AY64" s="848"/>
    </row>
    <row r="65" spans="1:51" ht="19.5" hidden="1" customHeight="1" x14ac:dyDescent="0.25">
      <c r="A65" s="852"/>
      <c r="B65" s="854"/>
      <c r="C65" s="854"/>
      <c r="D65" s="587" t="s">
        <v>3</v>
      </c>
      <c r="E65" s="414">
        <v>0</v>
      </c>
      <c r="F65" s="414">
        <v>0</v>
      </c>
      <c r="G65" s="414">
        <v>0</v>
      </c>
      <c r="H65" s="414">
        <v>0</v>
      </c>
      <c r="I65" s="414">
        <v>0</v>
      </c>
      <c r="J65" s="414">
        <v>0</v>
      </c>
      <c r="K65" s="414">
        <v>0</v>
      </c>
      <c r="L65" s="414">
        <v>0</v>
      </c>
      <c r="M65" s="414">
        <v>0</v>
      </c>
      <c r="N65" s="414">
        <v>0</v>
      </c>
      <c r="O65" s="414">
        <v>0</v>
      </c>
      <c r="P65" s="414">
        <v>0</v>
      </c>
      <c r="Q65" s="442">
        <v>0</v>
      </c>
      <c r="R65" s="442">
        <v>0</v>
      </c>
      <c r="S65" s="442"/>
      <c r="T65" s="414">
        <v>0</v>
      </c>
      <c r="U65" s="414">
        <v>0</v>
      </c>
      <c r="V65" s="414">
        <v>0</v>
      </c>
      <c r="W65" s="414">
        <v>0</v>
      </c>
      <c r="X65" s="414">
        <v>0</v>
      </c>
      <c r="Y65" s="414">
        <v>3913043.4782608696</v>
      </c>
      <c r="Z65" s="414"/>
      <c r="AA65" s="414"/>
      <c r="AB65" s="414"/>
      <c r="AC65" s="442"/>
      <c r="AD65" s="442"/>
      <c r="AE65" s="442"/>
      <c r="AF65" s="442"/>
      <c r="AG65" s="845"/>
      <c r="AH65" s="845"/>
      <c r="AI65" s="845"/>
      <c r="AJ65" s="845"/>
      <c r="AK65" s="845"/>
      <c r="AL65" s="845"/>
      <c r="AM65" s="845"/>
      <c r="AN65" s="845"/>
      <c r="AO65" s="849"/>
      <c r="AP65" s="850"/>
      <c r="AQ65" s="845"/>
      <c r="AR65" s="845"/>
      <c r="AS65" s="845"/>
      <c r="AT65" s="845"/>
      <c r="AU65" s="845"/>
      <c r="AV65" s="845"/>
      <c r="AW65" s="845"/>
      <c r="AX65" s="847"/>
      <c r="AY65" s="848"/>
    </row>
    <row r="66" spans="1:51" ht="19.5" hidden="1" customHeight="1" x14ac:dyDescent="0.25">
      <c r="A66" s="852"/>
      <c r="B66" s="854"/>
      <c r="C66" s="854"/>
      <c r="D66" s="588" t="s">
        <v>42</v>
      </c>
      <c r="E66" s="416">
        <v>0</v>
      </c>
      <c r="F66" s="484">
        <v>0</v>
      </c>
      <c r="G66" s="484">
        <v>0</v>
      </c>
      <c r="H66" s="484">
        <v>0</v>
      </c>
      <c r="I66" s="484">
        <v>0</v>
      </c>
      <c r="J66" s="484">
        <v>0</v>
      </c>
      <c r="K66" s="484">
        <v>0</v>
      </c>
      <c r="L66" s="484">
        <v>0</v>
      </c>
      <c r="M66" s="416">
        <v>0</v>
      </c>
      <c r="N66" s="416">
        <v>0</v>
      </c>
      <c r="O66" s="416">
        <v>0</v>
      </c>
      <c r="P66" s="416">
        <v>0</v>
      </c>
      <c r="Q66" s="416">
        <v>0</v>
      </c>
      <c r="R66" s="416">
        <v>0</v>
      </c>
      <c r="S66" s="482"/>
      <c r="T66" s="416">
        <v>0</v>
      </c>
      <c r="U66" s="416">
        <v>0</v>
      </c>
      <c r="V66" s="416">
        <v>0</v>
      </c>
      <c r="W66" s="416">
        <v>0</v>
      </c>
      <c r="X66" s="416">
        <v>0</v>
      </c>
      <c r="Y66" s="416">
        <v>0</v>
      </c>
      <c r="Z66" s="481"/>
      <c r="AA66" s="481"/>
      <c r="AB66" s="481"/>
      <c r="AC66" s="341"/>
      <c r="AD66" s="341"/>
      <c r="AE66" s="341"/>
      <c r="AF66" s="482"/>
      <c r="AG66" s="845"/>
      <c r="AH66" s="845"/>
      <c r="AI66" s="845"/>
      <c r="AJ66" s="845"/>
      <c r="AK66" s="845"/>
      <c r="AL66" s="845"/>
      <c r="AM66" s="845"/>
      <c r="AN66" s="845"/>
      <c r="AO66" s="849"/>
      <c r="AP66" s="850"/>
      <c r="AQ66" s="845"/>
      <c r="AR66" s="845"/>
      <c r="AS66" s="845"/>
      <c r="AT66" s="845"/>
      <c r="AU66" s="845"/>
      <c r="AV66" s="845"/>
      <c r="AW66" s="845"/>
      <c r="AX66" s="847"/>
      <c r="AY66" s="848"/>
    </row>
    <row r="67" spans="1:51" s="156" customFormat="1" ht="19.5" hidden="1" customHeight="1" x14ac:dyDescent="0.25">
      <c r="A67" s="852"/>
      <c r="B67" s="854"/>
      <c r="C67" s="854"/>
      <c r="D67" s="587" t="s">
        <v>4</v>
      </c>
      <c r="E67" s="414">
        <v>0</v>
      </c>
      <c r="F67" s="442">
        <v>0</v>
      </c>
      <c r="G67" s="442">
        <v>0</v>
      </c>
      <c r="H67" s="442">
        <v>0</v>
      </c>
      <c r="I67" s="442">
        <v>0</v>
      </c>
      <c r="J67" s="442">
        <v>0</v>
      </c>
      <c r="K67" s="442">
        <v>0</v>
      </c>
      <c r="L67" s="442">
        <v>0</v>
      </c>
      <c r="M67" s="414">
        <v>0</v>
      </c>
      <c r="N67" s="414">
        <v>0</v>
      </c>
      <c r="O67" s="414">
        <v>0</v>
      </c>
      <c r="P67" s="414">
        <v>0</v>
      </c>
      <c r="Q67" s="442">
        <v>0</v>
      </c>
      <c r="R67" s="442">
        <v>0</v>
      </c>
      <c r="S67" s="480"/>
      <c r="T67" s="414">
        <v>0</v>
      </c>
      <c r="U67" s="414">
        <v>0</v>
      </c>
      <c r="V67" s="414">
        <v>0</v>
      </c>
      <c r="W67" s="414">
        <v>0</v>
      </c>
      <c r="X67" s="414">
        <v>0</v>
      </c>
      <c r="Y67" s="414">
        <v>0</v>
      </c>
      <c r="Z67" s="414"/>
      <c r="AA67" s="414"/>
      <c r="AB67" s="414"/>
      <c r="AC67" s="442"/>
      <c r="AD67" s="442"/>
      <c r="AE67" s="442"/>
      <c r="AF67" s="480"/>
      <c r="AG67" s="845"/>
      <c r="AH67" s="845"/>
      <c r="AI67" s="845"/>
      <c r="AJ67" s="845"/>
      <c r="AK67" s="845"/>
      <c r="AL67" s="845"/>
      <c r="AM67" s="845"/>
      <c r="AN67" s="845"/>
      <c r="AO67" s="849"/>
      <c r="AP67" s="850"/>
      <c r="AQ67" s="845"/>
      <c r="AR67" s="845"/>
      <c r="AS67" s="845"/>
      <c r="AT67" s="845"/>
      <c r="AU67" s="845"/>
      <c r="AV67" s="845"/>
      <c r="AW67" s="845"/>
      <c r="AX67" s="847"/>
      <c r="AY67" s="848"/>
    </row>
    <row r="68" spans="1:51" ht="19.5" hidden="1" customHeight="1" x14ac:dyDescent="0.25">
      <c r="A68" s="852"/>
      <c r="B68" s="854"/>
      <c r="C68" s="854"/>
      <c r="D68" s="588" t="s">
        <v>43</v>
      </c>
      <c r="E68" s="483">
        <f t="shared" ref="E68:K69" si="17">+E64+E66</f>
        <v>0</v>
      </c>
      <c r="F68" s="483">
        <f t="shared" si="17"/>
        <v>0</v>
      </c>
      <c r="G68" s="483">
        <f t="shared" si="17"/>
        <v>0</v>
      </c>
      <c r="H68" s="483">
        <f t="shared" si="17"/>
        <v>0</v>
      </c>
      <c r="I68" s="483">
        <f t="shared" si="17"/>
        <v>0</v>
      </c>
      <c r="J68" s="483">
        <f t="shared" si="17"/>
        <v>0</v>
      </c>
      <c r="K68" s="483">
        <f t="shared" si="17"/>
        <v>0</v>
      </c>
      <c r="L68" s="483">
        <v>0</v>
      </c>
      <c r="M68" s="483"/>
      <c r="N68" s="483"/>
      <c r="O68" s="483"/>
      <c r="P68" s="483"/>
      <c r="Q68" s="483"/>
      <c r="R68" s="483"/>
      <c r="S68" s="483"/>
      <c r="T68" s="483">
        <f t="shared" ref="T68:Y69" si="18">+T64+T66</f>
        <v>0</v>
      </c>
      <c r="U68" s="483">
        <f t="shared" si="18"/>
        <v>0</v>
      </c>
      <c r="V68" s="483">
        <f t="shared" si="18"/>
        <v>0</v>
      </c>
      <c r="W68" s="483">
        <f t="shared" si="18"/>
        <v>0</v>
      </c>
      <c r="X68" s="483">
        <f t="shared" si="18"/>
        <v>0</v>
      </c>
      <c r="Y68" s="483">
        <f t="shared" si="18"/>
        <v>3</v>
      </c>
      <c r="Z68" s="483"/>
      <c r="AA68" s="483"/>
      <c r="AB68" s="483"/>
      <c r="AC68" s="483"/>
      <c r="AD68" s="483"/>
      <c r="AE68" s="483"/>
      <c r="AF68" s="482"/>
      <c r="AG68" s="845"/>
      <c r="AH68" s="845"/>
      <c r="AI68" s="845"/>
      <c r="AJ68" s="845"/>
      <c r="AK68" s="845"/>
      <c r="AL68" s="845"/>
      <c r="AM68" s="845"/>
      <c r="AN68" s="845"/>
      <c r="AO68" s="849"/>
      <c r="AP68" s="850"/>
      <c r="AQ68" s="845"/>
      <c r="AR68" s="845"/>
      <c r="AS68" s="845"/>
      <c r="AT68" s="845"/>
      <c r="AU68" s="845"/>
      <c r="AV68" s="845"/>
      <c r="AW68" s="845"/>
      <c r="AX68" s="847"/>
      <c r="AY68" s="848"/>
    </row>
    <row r="69" spans="1:51" s="156" customFormat="1" ht="19.5" hidden="1" customHeight="1" x14ac:dyDescent="0.25">
      <c r="A69" s="852"/>
      <c r="B69" s="854"/>
      <c r="C69" s="856"/>
      <c r="D69" s="587" t="s">
        <v>45</v>
      </c>
      <c r="E69" s="480">
        <f t="shared" si="17"/>
        <v>0</v>
      </c>
      <c r="F69" s="480">
        <f t="shared" si="17"/>
        <v>0</v>
      </c>
      <c r="G69" s="480">
        <f t="shared" si="17"/>
        <v>0</v>
      </c>
      <c r="H69" s="480">
        <f t="shared" si="17"/>
        <v>0</v>
      </c>
      <c r="I69" s="480">
        <f t="shared" si="17"/>
        <v>0</v>
      </c>
      <c r="J69" s="480">
        <f t="shared" si="17"/>
        <v>0</v>
      </c>
      <c r="K69" s="480">
        <f t="shared" si="17"/>
        <v>0</v>
      </c>
      <c r="L69" s="480">
        <v>0</v>
      </c>
      <c r="M69" s="480"/>
      <c r="N69" s="480"/>
      <c r="O69" s="480"/>
      <c r="P69" s="480"/>
      <c r="Q69" s="480"/>
      <c r="R69" s="480"/>
      <c r="S69" s="480"/>
      <c r="T69" s="480">
        <f t="shared" si="18"/>
        <v>0</v>
      </c>
      <c r="U69" s="480">
        <f t="shared" si="18"/>
        <v>0</v>
      </c>
      <c r="V69" s="480">
        <f t="shared" si="18"/>
        <v>0</v>
      </c>
      <c r="W69" s="480">
        <f t="shared" si="18"/>
        <v>0</v>
      </c>
      <c r="X69" s="480">
        <f t="shared" si="18"/>
        <v>0</v>
      </c>
      <c r="Y69" s="480">
        <f t="shared" si="18"/>
        <v>3913043.4782608696</v>
      </c>
      <c r="Z69" s="480"/>
      <c r="AA69" s="480"/>
      <c r="AB69" s="480"/>
      <c r="AC69" s="480"/>
      <c r="AD69" s="480"/>
      <c r="AE69" s="480"/>
      <c r="AF69" s="414"/>
      <c r="AG69" s="845"/>
      <c r="AH69" s="845"/>
      <c r="AI69" s="845"/>
      <c r="AJ69" s="845"/>
      <c r="AK69" s="845"/>
      <c r="AL69" s="845"/>
      <c r="AM69" s="845"/>
      <c r="AN69" s="845"/>
      <c r="AO69" s="849"/>
      <c r="AP69" s="850"/>
      <c r="AQ69" s="845"/>
      <c r="AR69" s="845"/>
      <c r="AS69" s="845"/>
      <c r="AT69" s="845"/>
      <c r="AU69" s="845"/>
      <c r="AV69" s="845"/>
      <c r="AW69" s="845"/>
      <c r="AX69" s="847"/>
      <c r="AY69" s="848"/>
    </row>
    <row r="70" spans="1:51" ht="19.5" hidden="1" customHeight="1" x14ac:dyDescent="0.25">
      <c r="A70" s="852"/>
      <c r="B70" s="854"/>
      <c r="C70" s="853" t="s">
        <v>553</v>
      </c>
      <c r="D70" s="588" t="s">
        <v>41</v>
      </c>
      <c r="E70" s="416">
        <v>0</v>
      </c>
      <c r="F70" s="416">
        <v>0</v>
      </c>
      <c r="G70" s="416">
        <v>0</v>
      </c>
      <c r="H70" s="416">
        <v>0</v>
      </c>
      <c r="I70" s="416">
        <v>0</v>
      </c>
      <c r="J70" s="416">
        <v>0</v>
      </c>
      <c r="K70" s="416">
        <v>0</v>
      </c>
      <c r="L70" s="416">
        <v>0</v>
      </c>
      <c r="M70" s="416">
        <v>0</v>
      </c>
      <c r="N70" s="416">
        <v>0</v>
      </c>
      <c r="O70" s="416">
        <v>0</v>
      </c>
      <c r="P70" s="416">
        <v>0</v>
      </c>
      <c r="Q70" s="416">
        <v>0</v>
      </c>
      <c r="R70" s="416">
        <v>0</v>
      </c>
      <c r="S70" s="416"/>
      <c r="T70" s="416">
        <v>0</v>
      </c>
      <c r="U70" s="416">
        <v>0</v>
      </c>
      <c r="V70" s="416">
        <v>0</v>
      </c>
      <c r="W70" s="416">
        <v>0</v>
      </c>
      <c r="X70" s="416">
        <v>0</v>
      </c>
      <c r="Y70" s="416">
        <v>9</v>
      </c>
      <c r="Z70" s="341">
        <f>+[2]INVERSIÓN!AJ49</f>
        <v>24710465</v>
      </c>
      <c r="AA70" s="341">
        <f>+[2]INVERSIÓN!AK49</f>
        <v>3094000</v>
      </c>
      <c r="AB70" s="341">
        <f>+[2]INVERSIÓN!AL49</f>
        <v>3094000</v>
      </c>
      <c r="AC70" s="341">
        <f>+[2]INVERSIÓN!AM49</f>
        <v>0</v>
      </c>
      <c r="AD70" s="341">
        <f>+[2]INVERSIÓN!AN49</f>
        <v>14803433</v>
      </c>
      <c r="AE70" s="341">
        <f>+[2]INVERSIÓN!AO49</f>
        <v>0</v>
      </c>
      <c r="AF70" s="416"/>
      <c r="AG70" s="845" t="s">
        <v>554</v>
      </c>
      <c r="AH70" s="845" t="s">
        <v>454</v>
      </c>
      <c r="AI70" s="845" t="s">
        <v>454</v>
      </c>
      <c r="AJ70" s="845" t="s">
        <v>554</v>
      </c>
      <c r="AK70" s="845" t="s">
        <v>456</v>
      </c>
      <c r="AL70" s="845" t="s">
        <v>454</v>
      </c>
      <c r="AM70" s="845" t="s">
        <v>454</v>
      </c>
      <c r="AN70" s="845" t="s">
        <v>454</v>
      </c>
      <c r="AO70" s="849">
        <v>396682</v>
      </c>
      <c r="AP70" s="850">
        <v>444273</v>
      </c>
      <c r="AQ70" s="845" t="s">
        <v>454</v>
      </c>
      <c r="AR70" s="845" t="s">
        <v>454</v>
      </c>
      <c r="AS70" s="845" t="s">
        <v>454</v>
      </c>
      <c r="AT70" s="845" t="s">
        <v>454</v>
      </c>
      <c r="AU70" s="845" t="s">
        <v>454</v>
      </c>
      <c r="AV70" s="845" t="s">
        <v>454</v>
      </c>
      <c r="AW70" s="845" t="s">
        <v>454</v>
      </c>
      <c r="AX70" s="847">
        <f>+AO70+AP70</f>
        <v>840955</v>
      </c>
      <c r="AY70" s="848"/>
    </row>
    <row r="71" spans="1:51" s="156" customFormat="1" ht="19.5" hidden="1" customHeight="1" x14ac:dyDescent="0.25">
      <c r="A71" s="852"/>
      <c r="B71" s="854"/>
      <c r="C71" s="854"/>
      <c r="D71" s="587" t="s">
        <v>3</v>
      </c>
      <c r="E71" s="414">
        <v>0</v>
      </c>
      <c r="F71" s="414">
        <v>0</v>
      </c>
      <c r="G71" s="414">
        <v>0</v>
      </c>
      <c r="H71" s="414">
        <v>0</v>
      </c>
      <c r="I71" s="414">
        <v>0</v>
      </c>
      <c r="J71" s="414">
        <v>0</v>
      </c>
      <c r="K71" s="414">
        <v>0</v>
      </c>
      <c r="L71" s="414">
        <v>0</v>
      </c>
      <c r="M71" s="414">
        <v>0</v>
      </c>
      <c r="N71" s="414">
        <v>0</v>
      </c>
      <c r="O71" s="414">
        <v>0</v>
      </c>
      <c r="P71" s="414">
        <v>0</v>
      </c>
      <c r="Q71" s="442">
        <v>0</v>
      </c>
      <c r="R71" s="442">
        <v>0</v>
      </c>
      <c r="S71" s="442"/>
      <c r="T71" s="414">
        <v>0</v>
      </c>
      <c r="U71" s="414">
        <v>0</v>
      </c>
      <c r="V71" s="414">
        <v>0</v>
      </c>
      <c r="W71" s="414">
        <v>0</v>
      </c>
      <c r="X71" s="414">
        <v>0</v>
      </c>
      <c r="Y71" s="414">
        <v>11739130.434782609</v>
      </c>
      <c r="Z71" s="414"/>
      <c r="AA71" s="414"/>
      <c r="AB71" s="414"/>
      <c r="AC71" s="442"/>
      <c r="AD71" s="442"/>
      <c r="AE71" s="442"/>
      <c r="AF71" s="442"/>
      <c r="AG71" s="845"/>
      <c r="AH71" s="845"/>
      <c r="AI71" s="845"/>
      <c r="AJ71" s="845"/>
      <c r="AK71" s="845"/>
      <c r="AL71" s="845"/>
      <c r="AM71" s="845"/>
      <c r="AN71" s="845"/>
      <c r="AO71" s="849"/>
      <c r="AP71" s="850"/>
      <c r="AQ71" s="845"/>
      <c r="AR71" s="845"/>
      <c r="AS71" s="845"/>
      <c r="AT71" s="845"/>
      <c r="AU71" s="845"/>
      <c r="AV71" s="845"/>
      <c r="AW71" s="845"/>
      <c r="AX71" s="847"/>
      <c r="AY71" s="848"/>
    </row>
    <row r="72" spans="1:51" ht="19.5" hidden="1" customHeight="1" x14ac:dyDescent="0.25">
      <c r="A72" s="852"/>
      <c r="B72" s="854"/>
      <c r="C72" s="854"/>
      <c r="D72" s="588" t="s">
        <v>42</v>
      </c>
      <c r="E72" s="416">
        <v>0</v>
      </c>
      <c r="F72" s="484">
        <v>0</v>
      </c>
      <c r="G72" s="484">
        <v>0</v>
      </c>
      <c r="H72" s="484">
        <v>0</v>
      </c>
      <c r="I72" s="484">
        <v>0</v>
      </c>
      <c r="J72" s="484">
        <v>0</v>
      </c>
      <c r="K72" s="484">
        <v>0</v>
      </c>
      <c r="L72" s="484">
        <v>0</v>
      </c>
      <c r="M72" s="416">
        <v>0</v>
      </c>
      <c r="N72" s="416">
        <v>0</v>
      </c>
      <c r="O72" s="416">
        <v>0</v>
      </c>
      <c r="P72" s="416">
        <v>0</v>
      </c>
      <c r="Q72" s="416">
        <v>0</v>
      </c>
      <c r="R72" s="416">
        <v>0</v>
      </c>
      <c r="S72" s="482"/>
      <c r="T72" s="416">
        <v>0</v>
      </c>
      <c r="U72" s="416">
        <v>0</v>
      </c>
      <c r="V72" s="416">
        <v>0</v>
      </c>
      <c r="W72" s="416">
        <v>0</v>
      </c>
      <c r="X72" s="416">
        <v>0</v>
      </c>
      <c r="Y72" s="416">
        <v>0</v>
      </c>
      <c r="Z72" s="481"/>
      <c r="AA72" s="481"/>
      <c r="AB72" s="481"/>
      <c r="AC72" s="341"/>
      <c r="AD72" s="341"/>
      <c r="AE72" s="341"/>
      <c r="AF72" s="482"/>
      <c r="AG72" s="845"/>
      <c r="AH72" s="845"/>
      <c r="AI72" s="845"/>
      <c r="AJ72" s="845"/>
      <c r="AK72" s="845"/>
      <c r="AL72" s="845"/>
      <c r="AM72" s="845"/>
      <c r="AN72" s="845"/>
      <c r="AO72" s="849"/>
      <c r="AP72" s="850"/>
      <c r="AQ72" s="845"/>
      <c r="AR72" s="845"/>
      <c r="AS72" s="845"/>
      <c r="AT72" s="845"/>
      <c r="AU72" s="845"/>
      <c r="AV72" s="845"/>
      <c r="AW72" s="845"/>
      <c r="AX72" s="847"/>
      <c r="AY72" s="848"/>
    </row>
    <row r="73" spans="1:51" s="156" customFormat="1" ht="19.5" hidden="1" customHeight="1" x14ac:dyDescent="0.25">
      <c r="A73" s="852"/>
      <c r="B73" s="854"/>
      <c r="C73" s="854"/>
      <c r="D73" s="587" t="s">
        <v>4</v>
      </c>
      <c r="E73" s="414">
        <v>0</v>
      </c>
      <c r="F73" s="442">
        <v>0</v>
      </c>
      <c r="G73" s="442">
        <v>0</v>
      </c>
      <c r="H73" s="442">
        <v>0</v>
      </c>
      <c r="I73" s="442">
        <v>0</v>
      </c>
      <c r="J73" s="442">
        <v>0</v>
      </c>
      <c r="K73" s="442">
        <v>0</v>
      </c>
      <c r="L73" s="442">
        <v>0</v>
      </c>
      <c r="M73" s="414">
        <v>0</v>
      </c>
      <c r="N73" s="414">
        <v>0</v>
      </c>
      <c r="O73" s="414">
        <v>0</v>
      </c>
      <c r="P73" s="414">
        <v>0</v>
      </c>
      <c r="Q73" s="442">
        <v>0</v>
      </c>
      <c r="R73" s="442">
        <v>0</v>
      </c>
      <c r="S73" s="480"/>
      <c r="T73" s="414">
        <v>0</v>
      </c>
      <c r="U73" s="414">
        <v>0</v>
      </c>
      <c r="V73" s="414">
        <v>0</v>
      </c>
      <c r="W73" s="414">
        <v>0</v>
      </c>
      <c r="X73" s="414">
        <v>0</v>
      </c>
      <c r="Y73" s="414">
        <v>0</v>
      </c>
      <c r="Z73" s="414"/>
      <c r="AA73" s="414"/>
      <c r="AB73" s="414"/>
      <c r="AC73" s="442"/>
      <c r="AD73" s="442"/>
      <c r="AE73" s="442"/>
      <c r="AF73" s="480"/>
      <c r="AG73" s="845"/>
      <c r="AH73" s="845"/>
      <c r="AI73" s="845"/>
      <c r="AJ73" s="845"/>
      <c r="AK73" s="845"/>
      <c r="AL73" s="845"/>
      <c r="AM73" s="845"/>
      <c r="AN73" s="845"/>
      <c r="AO73" s="849"/>
      <c r="AP73" s="850"/>
      <c r="AQ73" s="845"/>
      <c r="AR73" s="845"/>
      <c r="AS73" s="845"/>
      <c r="AT73" s="845"/>
      <c r="AU73" s="845"/>
      <c r="AV73" s="845"/>
      <c r="AW73" s="845"/>
      <c r="AX73" s="847"/>
      <c r="AY73" s="848"/>
    </row>
    <row r="74" spans="1:51" ht="19.5" hidden="1" customHeight="1" x14ac:dyDescent="0.25">
      <c r="A74" s="852"/>
      <c r="B74" s="854"/>
      <c r="C74" s="854"/>
      <c r="D74" s="588" t="s">
        <v>43</v>
      </c>
      <c r="E74" s="483">
        <f t="shared" ref="E74:K75" si="19">+E70+E72</f>
        <v>0</v>
      </c>
      <c r="F74" s="483">
        <f t="shared" si="19"/>
        <v>0</v>
      </c>
      <c r="G74" s="483">
        <f t="shared" si="19"/>
        <v>0</v>
      </c>
      <c r="H74" s="483">
        <f t="shared" si="19"/>
        <v>0</v>
      </c>
      <c r="I74" s="483">
        <f t="shared" si="19"/>
        <v>0</v>
      </c>
      <c r="J74" s="483">
        <f t="shared" si="19"/>
        <v>0</v>
      </c>
      <c r="K74" s="483">
        <f t="shared" si="19"/>
        <v>0</v>
      </c>
      <c r="L74" s="483">
        <v>0</v>
      </c>
      <c r="M74" s="483"/>
      <c r="N74" s="483"/>
      <c r="O74" s="483"/>
      <c r="P74" s="483"/>
      <c r="Q74" s="483"/>
      <c r="R74" s="483"/>
      <c r="S74" s="483"/>
      <c r="T74" s="483">
        <f t="shared" ref="T74:Y75" si="20">+T70+T72</f>
        <v>0</v>
      </c>
      <c r="U74" s="483">
        <f t="shared" si="20"/>
        <v>0</v>
      </c>
      <c r="V74" s="483">
        <f t="shared" si="20"/>
        <v>0</v>
      </c>
      <c r="W74" s="483">
        <f t="shared" si="20"/>
        <v>0</v>
      </c>
      <c r="X74" s="483">
        <f t="shared" si="20"/>
        <v>0</v>
      </c>
      <c r="Y74" s="483">
        <f t="shared" si="20"/>
        <v>9</v>
      </c>
      <c r="Z74" s="483"/>
      <c r="AA74" s="483"/>
      <c r="AB74" s="483"/>
      <c r="AC74" s="483"/>
      <c r="AD74" s="483"/>
      <c r="AE74" s="483"/>
      <c r="AF74" s="482"/>
      <c r="AG74" s="845"/>
      <c r="AH74" s="845"/>
      <c r="AI74" s="845"/>
      <c r="AJ74" s="845"/>
      <c r="AK74" s="845"/>
      <c r="AL74" s="845"/>
      <c r="AM74" s="845"/>
      <c r="AN74" s="845"/>
      <c r="AO74" s="849"/>
      <c r="AP74" s="850"/>
      <c r="AQ74" s="845"/>
      <c r="AR74" s="845"/>
      <c r="AS74" s="845"/>
      <c r="AT74" s="845"/>
      <c r="AU74" s="845"/>
      <c r="AV74" s="845"/>
      <c r="AW74" s="845"/>
      <c r="AX74" s="847"/>
      <c r="AY74" s="848"/>
    </row>
    <row r="75" spans="1:51" s="156" customFormat="1" ht="19.5" hidden="1" customHeight="1" x14ac:dyDescent="0.25">
      <c r="A75" s="852"/>
      <c r="B75" s="854"/>
      <c r="C75" s="856"/>
      <c r="D75" s="587" t="s">
        <v>45</v>
      </c>
      <c r="E75" s="480">
        <f t="shared" si="19"/>
        <v>0</v>
      </c>
      <c r="F75" s="480">
        <f t="shared" si="19"/>
        <v>0</v>
      </c>
      <c r="G75" s="480">
        <f t="shared" si="19"/>
        <v>0</v>
      </c>
      <c r="H75" s="480">
        <f t="shared" si="19"/>
        <v>0</v>
      </c>
      <c r="I75" s="480">
        <f t="shared" si="19"/>
        <v>0</v>
      </c>
      <c r="J75" s="480">
        <f t="shared" si="19"/>
        <v>0</v>
      </c>
      <c r="K75" s="480">
        <f t="shared" si="19"/>
        <v>0</v>
      </c>
      <c r="L75" s="480">
        <v>0</v>
      </c>
      <c r="M75" s="480"/>
      <c r="N75" s="480"/>
      <c r="O75" s="480"/>
      <c r="P75" s="480"/>
      <c r="Q75" s="480"/>
      <c r="R75" s="480"/>
      <c r="S75" s="480"/>
      <c r="T75" s="480">
        <f t="shared" si="20"/>
        <v>0</v>
      </c>
      <c r="U75" s="480">
        <f t="shared" si="20"/>
        <v>0</v>
      </c>
      <c r="V75" s="480">
        <f t="shared" si="20"/>
        <v>0</v>
      </c>
      <c r="W75" s="480">
        <f t="shared" si="20"/>
        <v>0</v>
      </c>
      <c r="X75" s="480">
        <f t="shared" si="20"/>
        <v>0</v>
      </c>
      <c r="Y75" s="480">
        <f t="shared" si="20"/>
        <v>11739130.434782609</v>
      </c>
      <c r="Z75" s="480"/>
      <c r="AA75" s="480"/>
      <c r="AB75" s="480"/>
      <c r="AC75" s="480"/>
      <c r="AD75" s="480"/>
      <c r="AE75" s="480"/>
      <c r="AF75" s="414"/>
      <c r="AG75" s="845"/>
      <c r="AH75" s="845"/>
      <c r="AI75" s="845"/>
      <c r="AJ75" s="845"/>
      <c r="AK75" s="845"/>
      <c r="AL75" s="845"/>
      <c r="AM75" s="845"/>
      <c r="AN75" s="845"/>
      <c r="AO75" s="849"/>
      <c r="AP75" s="850"/>
      <c r="AQ75" s="845"/>
      <c r="AR75" s="845"/>
      <c r="AS75" s="845"/>
      <c r="AT75" s="845"/>
      <c r="AU75" s="845"/>
      <c r="AV75" s="845"/>
      <c r="AW75" s="845"/>
      <c r="AX75" s="847"/>
      <c r="AY75" s="848"/>
    </row>
    <row r="76" spans="1:51" s="41" customFormat="1" ht="19.5" hidden="1" customHeight="1" x14ac:dyDescent="0.25">
      <c r="A76" s="852"/>
      <c r="B76" s="854"/>
      <c r="C76" s="853" t="s">
        <v>555</v>
      </c>
      <c r="D76" s="588" t="s">
        <v>41</v>
      </c>
      <c r="E76" s="416">
        <v>0</v>
      </c>
      <c r="F76" s="416">
        <v>0</v>
      </c>
      <c r="G76" s="416">
        <v>0</v>
      </c>
      <c r="H76" s="416">
        <v>0</v>
      </c>
      <c r="I76" s="416">
        <v>0</v>
      </c>
      <c r="J76" s="416">
        <v>0</v>
      </c>
      <c r="K76" s="416">
        <v>0</v>
      </c>
      <c r="L76" s="416">
        <v>0</v>
      </c>
      <c r="M76" s="416">
        <v>0</v>
      </c>
      <c r="N76" s="416">
        <v>0</v>
      </c>
      <c r="O76" s="416">
        <v>0</v>
      </c>
      <c r="P76" s="416">
        <v>0</v>
      </c>
      <c r="Q76" s="416">
        <v>0</v>
      </c>
      <c r="R76" s="416">
        <v>0</v>
      </c>
      <c r="S76" s="416"/>
      <c r="T76" s="416">
        <v>0</v>
      </c>
      <c r="U76" s="416">
        <v>0</v>
      </c>
      <c r="V76" s="416">
        <v>0</v>
      </c>
      <c r="W76" s="416">
        <v>0</v>
      </c>
      <c r="X76" s="416">
        <v>0</v>
      </c>
      <c r="Y76" s="416">
        <v>3</v>
      </c>
      <c r="Z76" s="341">
        <f>+[2]INVERSIÓN!AJ55</f>
        <v>0</v>
      </c>
      <c r="AA76" s="341">
        <f>+[2]INVERSIÓN!AK55</f>
        <v>0</v>
      </c>
      <c r="AB76" s="341">
        <f>+[2]INVERSIÓN!AL55</f>
        <v>0</v>
      </c>
      <c r="AC76" s="341">
        <f>+[2]INVERSIÓN!AM55</f>
        <v>0</v>
      </c>
      <c r="AD76" s="341">
        <f>+[2]INVERSIÓN!AN55</f>
        <v>0</v>
      </c>
      <c r="AE76" s="341">
        <f>+[2]INVERSIÓN!AO55</f>
        <v>0</v>
      </c>
      <c r="AF76" s="416"/>
      <c r="AG76" s="845" t="s">
        <v>556</v>
      </c>
      <c r="AH76" s="845" t="s">
        <v>454</v>
      </c>
      <c r="AI76" s="845" t="s">
        <v>454</v>
      </c>
      <c r="AJ76" s="845" t="s">
        <v>556</v>
      </c>
      <c r="AK76" s="845" t="s">
        <v>456</v>
      </c>
      <c r="AL76" s="845" t="s">
        <v>454</v>
      </c>
      <c r="AM76" s="845" t="s">
        <v>454</v>
      </c>
      <c r="AN76" s="845" t="s">
        <v>454</v>
      </c>
      <c r="AO76" s="849">
        <v>183971</v>
      </c>
      <c r="AP76" s="850">
        <v>204184</v>
      </c>
      <c r="AQ76" s="845" t="s">
        <v>454</v>
      </c>
      <c r="AR76" s="845" t="s">
        <v>454</v>
      </c>
      <c r="AS76" s="845" t="s">
        <v>454</v>
      </c>
      <c r="AT76" s="845" t="s">
        <v>454</v>
      </c>
      <c r="AU76" s="845" t="s">
        <v>454</v>
      </c>
      <c r="AV76" s="845" t="s">
        <v>454</v>
      </c>
      <c r="AW76" s="845" t="s">
        <v>454</v>
      </c>
      <c r="AX76" s="847">
        <f>+AO76+AP76</f>
        <v>388155</v>
      </c>
      <c r="AY76" s="848"/>
    </row>
    <row r="77" spans="1:51" ht="19.5" hidden="1" customHeight="1" x14ac:dyDescent="0.25">
      <c r="A77" s="852"/>
      <c r="B77" s="854"/>
      <c r="C77" s="854"/>
      <c r="D77" s="587" t="s">
        <v>3</v>
      </c>
      <c r="E77" s="414">
        <v>0</v>
      </c>
      <c r="F77" s="414">
        <v>0</v>
      </c>
      <c r="G77" s="414">
        <v>0</v>
      </c>
      <c r="H77" s="414">
        <v>0</v>
      </c>
      <c r="I77" s="414">
        <v>0</v>
      </c>
      <c r="J77" s="414">
        <v>0</v>
      </c>
      <c r="K77" s="414">
        <v>0</v>
      </c>
      <c r="L77" s="414">
        <v>0</v>
      </c>
      <c r="M77" s="414">
        <v>0</v>
      </c>
      <c r="N77" s="414">
        <v>0</v>
      </c>
      <c r="O77" s="414">
        <v>0</v>
      </c>
      <c r="P77" s="414">
        <v>0</v>
      </c>
      <c r="Q77" s="442">
        <v>0</v>
      </c>
      <c r="R77" s="442">
        <v>0</v>
      </c>
      <c r="S77" s="442"/>
      <c r="T77" s="414">
        <v>0</v>
      </c>
      <c r="U77" s="414">
        <v>0</v>
      </c>
      <c r="V77" s="414">
        <v>0</v>
      </c>
      <c r="W77" s="414">
        <v>0</v>
      </c>
      <c r="X77" s="414">
        <v>0</v>
      </c>
      <c r="Y77" s="414">
        <v>3913043.4782608696</v>
      </c>
      <c r="Z77" s="414"/>
      <c r="AA77" s="414"/>
      <c r="AB77" s="414"/>
      <c r="AC77" s="442"/>
      <c r="AD77" s="442"/>
      <c r="AE77" s="442"/>
      <c r="AF77" s="442"/>
      <c r="AG77" s="845"/>
      <c r="AH77" s="845"/>
      <c r="AI77" s="845"/>
      <c r="AJ77" s="845"/>
      <c r="AK77" s="845"/>
      <c r="AL77" s="845"/>
      <c r="AM77" s="845"/>
      <c r="AN77" s="845"/>
      <c r="AO77" s="849"/>
      <c r="AP77" s="850"/>
      <c r="AQ77" s="845"/>
      <c r="AR77" s="845"/>
      <c r="AS77" s="845"/>
      <c r="AT77" s="845"/>
      <c r="AU77" s="845"/>
      <c r="AV77" s="845"/>
      <c r="AW77" s="845"/>
      <c r="AX77" s="847"/>
      <c r="AY77" s="848"/>
    </row>
    <row r="78" spans="1:51" s="41" customFormat="1" ht="19.5" hidden="1" customHeight="1" x14ac:dyDescent="0.25">
      <c r="A78" s="852"/>
      <c r="B78" s="854"/>
      <c r="C78" s="854"/>
      <c r="D78" s="588" t="s">
        <v>42</v>
      </c>
      <c r="E78" s="416">
        <v>0</v>
      </c>
      <c r="F78" s="484">
        <v>0</v>
      </c>
      <c r="G78" s="484">
        <v>0</v>
      </c>
      <c r="H78" s="484">
        <v>0</v>
      </c>
      <c r="I78" s="484">
        <v>0</v>
      </c>
      <c r="J78" s="484">
        <v>0</v>
      </c>
      <c r="K78" s="484">
        <v>0</v>
      </c>
      <c r="L78" s="484">
        <v>0</v>
      </c>
      <c r="M78" s="416">
        <v>0</v>
      </c>
      <c r="N78" s="416">
        <v>0</v>
      </c>
      <c r="O78" s="416">
        <v>0</v>
      </c>
      <c r="P78" s="416">
        <v>0</v>
      </c>
      <c r="Q78" s="416">
        <v>0</v>
      </c>
      <c r="R78" s="416">
        <v>0</v>
      </c>
      <c r="S78" s="482"/>
      <c r="T78" s="416">
        <v>0</v>
      </c>
      <c r="U78" s="416">
        <v>0</v>
      </c>
      <c r="V78" s="416">
        <v>0</v>
      </c>
      <c r="W78" s="416">
        <v>0</v>
      </c>
      <c r="X78" s="416">
        <v>0</v>
      </c>
      <c r="Y78" s="416">
        <v>0</v>
      </c>
      <c r="Z78" s="481"/>
      <c r="AA78" s="481"/>
      <c r="AB78" s="481"/>
      <c r="AC78" s="341"/>
      <c r="AD78" s="341"/>
      <c r="AE78" s="341"/>
      <c r="AF78" s="482"/>
      <c r="AG78" s="845"/>
      <c r="AH78" s="845"/>
      <c r="AI78" s="845"/>
      <c r="AJ78" s="845"/>
      <c r="AK78" s="845"/>
      <c r="AL78" s="845"/>
      <c r="AM78" s="845"/>
      <c r="AN78" s="845"/>
      <c r="AO78" s="849"/>
      <c r="AP78" s="850"/>
      <c r="AQ78" s="845"/>
      <c r="AR78" s="845"/>
      <c r="AS78" s="845"/>
      <c r="AT78" s="845"/>
      <c r="AU78" s="845"/>
      <c r="AV78" s="845"/>
      <c r="AW78" s="845"/>
      <c r="AX78" s="847"/>
      <c r="AY78" s="848"/>
    </row>
    <row r="79" spans="1:51" ht="19.5" hidden="1" customHeight="1" x14ac:dyDescent="0.25">
      <c r="A79" s="852"/>
      <c r="B79" s="854"/>
      <c r="C79" s="854"/>
      <c r="D79" s="587" t="s">
        <v>4</v>
      </c>
      <c r="E79" s="414">
        <v>0</v>
      </c>
      <c r="F79" s="442">
        <v>0</v>
      </c>
      <c r="G79" s="442">
        <v>0</v>
      </c>
      <c r="H79" s="442">
        <v>0</v>
      </c>
      <c r="I79" s="442">
        <v>0</v>
      </c>
      <c r="J79" s="442">
        <v>0</v>
      </c>
      <c r="K79" s="442">
        <v>0</v>
      </c>
      <c r="L79" s="442">
        <v>0</v>
      </c>
      <c r="M79" s="414">
        <v>0</v>
      </c>
      <c r="N79" s="414">
        <v>0</v>
      </c>
      <c r="O79" s="414">
        <v>0</v>
      </c>
      <c r="P79" s="414">
        <v>0</v>
      </c>
      <c r="Q79" s="442">
        <v>0</v>
      </c>
      <c r="R79" s="442">
        <v>0</v>
      </c>
      <c r="S79" s="480"/>
      <c r="T79" s="414">
        <v>0</v>
      </c>
      <c r="U79" s="414">
        <v>0</v>
      </c>
      <c r="V79" s="414">
        <v>0</v>
      </c>
      <c r="W79" s="414">
        <v>0</v>
      </c>
      <c r="X79" s="414">
        <v>0</v>
      </c>
      <c r="Y79" s="414">
        <v>0</v>
      </c>
      <c r="Z79" s="414"/>
      <c r="AA79" s="414"/>
      <c r="AB79" s="414"/>
      <c r="AC79" s="442"/>
      <c r="AD79" s="442"/>
      <c r="AE79" s="442"/>
      <c r="AF79" s="480"/>
      <c r="AG79" s="845"/>
      <c r="AH79" s="845"/>
      <c r="AI79" s="845"/>
      <c r="AJ79" s="845"/>
      <c r="AK79" s="845"/>
      <c r="AL79" s="845"/>
      <c r="AM79" s="845"/>
      <c r="AN79" s="845"/>
      <c r="AO79" s="849"/>
      <c r="AP79" s="850"/>
      <c r="AQ79" s="845"/>
      <c r="AR79" s="845"/>
      <c r="AS79" s="845"/>
      <c r="AT79" s="845"/>
      <c r="AU79" s="845"/>
      <c r="AV79" s="845"/>
      <c r="AW79" s="845"/>
      <c r="AX79" s="847"/>
      <c r="AY79" s="848"/>
    </row>
    <row r="80" spans="1:51" ht="19.5" hidden="1" customHeight="1" x14ac:dyDescent="0.25">
      <c r="A80" s="852"/>
      <c r="B80" s="854"/>
      <c r="C80" s="854"/>
      <c r="D80" s="588" t="s">
        <v>43</v>
      </c>
      <c r="E80" s="483">
        <f t="shared" ref="E80:K81" si="21">+E76+E78</f>
        <v>0</v>
      </c>
      <c r="F80" s="483">
        <f t="shared" si="21"/>
        <v>0</v>
      </c>
      <c r="G80" s="483">
        <f t="shared" si="21"/>
        <v>0</v>
      </c>
      <c r="H80" s="483">
        <f t="shared" si="21"/>
        <v>0</v>
      </c>
      <c r="I80" s="483">
        <f t="shared" si="21"/>
        <v>0</v>
      </c>
      <c r="J80" s="483">
        <f t="shared" si="21"/>
        <v>0</v>
      </c>
      <c r="K80" s="483">
        <f t="shared" si="21"/>
        <v>0</v>
      </c>
      <c r="L80" s="483">
        <v>0</v>
      </c>
      <c r="M80" s="483"/>
      <c r="N80" s="483"/>
      <c r="O80" s="483"/>
      <c r="P80" s="483"/>
      <c r="Q80" s="483"/>
      <c r="R80" s="483"/>
      <c r="S80" s="483"/>
      <c r="T80" s="483">
        <f t="shared" ref="T80:Y81" si="22">+T76+T78</f>
        <v>0</v>
      </c>
      <c r="U80" s="483">
        <f t="shared" si="22"/>
        <v>0</v>
      </c>
      <c r="V80" s="483">
        <f t="shared" si="22"/>
        <v>0</v>
      </c>
      <c r="W80" s="483">
        <f t="shared" si="22"/>
        <v>0</v>
      </c>
      <c r="X80" s="483">
        <f t="shared" si="22"/>
        <v>0</v>
      </c>
      <c r="Y80" s="483">
        <f t="shared" si="22"/>
        <v>3</v>
      </c>
      <c r="Z80" s="483"/>
      <c r="AA80" s="483"/>
      <c r="AB80" s="483"/>
      <c r="AC80" s="483"/>
      <c r="AD80" s="483"/>
      <c r="AE80" s="483"/>
      <c r="AF80" s="482"/>
      <c r="AG80" s="845"/>
      <c r="AH80" s="845"/>
      <c r="AI80" s="845"/>
      <c r="AJ80" s="845"/>
      <c r="AK80" s="845"/>
      <c r="AL80" s="845"/>
      <c r="AM80" s="845"/>
      <c r="AN80" s="845"/>
      <c r="AO80" s="849"/>
      <c r="AP80" s="850"/>
      <c r="AQ80" s="845"/>
      <c r="AR80" s="845"/>
      <c r="AS80" s="845"/>
      <c r="AT80" s="845"/>
      <c r="AU80" s="845"/>
      <c r="AV80" s="845"/>
      <c r="AW80" s="845"/>
      <c r="AX80" s="847"/>
      <c r="AY80" s="848"/>
    </row>
    <row r="81" spans="1:51" ht="19.5" hidden="1" customHeight="1" x14ac:dyDescent="0.25">
      <c r="A81" s="852"/>
      <c r="B81" s="854"/>
      <c r="C81" s="856"/>
      <c r="D81" s="587" t="s">
        <v>45</v>
      </c>
      <c r="E81" s="480">
        <f t="shared" si="21"/>
        <v>0</v>
      </c>
      <c r="F81" s="480">
        <f t="shared" si="21"/>
        <v>0</v>
      </c>
      <c r="G81" s="480">
        <f t="shared" si="21"/>
        <v>0</v>
      </c>
      <c r="H81" s="480">
        <f t="shared" si="21"/>
        <v>0</v>
      </c>
      <c r="I81" s="480">
        <f t="shared" si="21"/>
        <v>0</v>
      </c>
      <c r="J81" s="480">
        <f t="shared" si="21"/>
        <v>0</v>
      </c>
      <c r="K81" s="480">
        <f t="shared" si="21"/>
        <v>0</v>
      </c>
      <c r="L81" s="480">
        <v>0</v>
      </c>
      <c r="M81" s="480"/>
      <c r="N81" s="480"/>
      <c r="O81" s="480"/>
      <c r="P81" s="480"/>
      <c r="Q81" s="480"/>
      <c r="R81" s="480"/>
      <c r="S81" s="480"/>
      <c r="T81" s="480">
        <f t="shared" si="22"/>
        <v>0</v>
      </c>
      <c r="U81" s="480">
        <f t="shared" si="22"/>
        <v>0</v>
      </c>
      <c r="V81" s="480">
        <f t="shared" si="22"/>
        <v>0</v>
      </c>
      <c r="W81" s="480">
        <f t="shared" si="22"/>
        <v>0</v>
      </c>
      <c r="X81" s="480">
        <f t="shared" si="22"/>
        <v>0</v>
      </c>
      <c r="Y81" s="480">
        <f t="shared" si="22"/>
        <v>3913043.4782608696</v>
      </c>
      <c r="Z81" s="480"/>
      <c r="AA81" s="480"/>
      <c r="AB81" s="480"/>
      <c r="AC81" s="480"/>
      <c r="AD81" s="480"/>
      <c r="AE81" s="480"/>
      <c r="AF81" s="414"/>
      <c r="AG81" s="845"/>
      <c r="AH81" s="845"/>
      <c r="AI81" s="845"/>
      <c r="AJ81" s="845"/>
      <c r="AK81" s="845"/>
      <c r="AL81" s="845"/>
      <c r="AM81" s="845"/>
      <c r="AN81" s="845"/>
      <c r="AO81" s="849"/>
      <c r="AP81" s="850"/>
      <c r="AQ81" s="845"/>
      <c r="AR81" s="845"/>
      <c r="AS81" s="845"/>
      <c r="AT81" s="845"/>
      <c r="AU81" s="845"/>
      <c r="AV81" s="845"/>
      <c r="AW81" s="845"/>
      <c r="AX81" s="847"/>
      <c r="AY81" s="848"/>
    </row>
    <row r="82" spans="1:51" ht="49.9" customHeight="1" x14ac:dyDescent="0.25">
      <c r="A82" s="844">
        <v>5</v>
      </c>
      <c r="B82" s="845" t="s">
        <v>434</v>
      </c>
      <c r="C82" s="846" t="s">
        <v>557</v>
      </c>
      <c r="D82" s="586" t="s">
        <v>41</v>
      </c>
      <c r="E82" s="340">
        <v>1</v>
      </c>
      <c r="F82" s="340">
        <f>+E82</f>
        <v>1</v>
      </c>
      <c r="G82" s="340">
        <f>+[2]INVERSIÓN!AC38</f>
        <v>1</v>
      </c>
      <c r="H82" s="340">
        <f>+[2]INVERSIÓN!AE38</f>
        <v>1</v>
      </c>
      <c r="I82" s="340">
        <f>+[2]INVERSIÓN!AG38</f>
        <v>1</v>
      </c>
      <c r="J82" s="340">
        <f>+[2]INVERSIÓN!AI38</f>
        <v>1</v>
      </c>
      <c r="K82" s="340">
        <f>+[2]INVERSIÓN!AK38</f>
        <v>1</v>
      </c>
      <c r="L82" s="340">
        <v>1</v>
      </c>
      <c r="M82" s="413"/>
      <c r="N82" s="413"/>
      <c r="O82" s="413"/>
      <c r="P82" s="413"/>
      <c r="Q82" s="340"/>
      <c r="R82" s="340"/>
      <c r="S82" s="413"/>
      <c r="T82" s="340">
        <f>+[2]INVERSIÓN!AD38</f>
        <v>1</v>
      </c>
      <c r="U82" s="340">
        <f>+[2]INVERSIÓN!AF38</f>
        <v>1</v>
      </c>
      <c r="V82" s="340">
        <f>+[2]INVERSIÓN!AH38</f>
        <v>1</v>
      </c>
      <c r="W82" s="340">
        <f>+[2]INVERSIÓN!AJ38</f>
        <v>1</v>
      </c>
      <c r="X82" s="340">
        <f>+[2]INVERSIÓN!AL38</f>
        <v>1</v>
      </c>
      <c r="Y82" s="340">
        <f>+[2]INVERSIÓN!AN38</f>
        <v>1</v>
      </c>
      <c r="Z82" s="413"/>
      <c r="AA82" s="413"/>
      <c r="AB82" s="413"/>
      <c r="AC82" s="340"/>
      <c r="AD82" s="340"/>
      <c r="AE82" s="340"/>
      <c r="AF82" s="413"/>
      <c r="AG82" s="845" t="s">
        <v>453</v>
      </c>
      <c r="AH82" s="845" t="s">
        <v>454</v>
      </c>
      <c r="AI82" s="845" t="s">
        <v>454</v>
      </c>
      <c r="AJ82" s="845" t="s">
        <v>461</v>
      </c>
      <c r="AK82" s="845" t="s">
        <v>456</v>
      </c>
      <c r="AL82" s="845" t="s">
        <v>454</v>
      </c>
      <c r="AM82" s="845" t="s">
        <v>454</v>
      </c>
      <c r="AN82" s="845" t="s">
        <v>454</v>
      </c>
      <c r="AO82" s="849">
        <v>3721767</v>
      </c>
      <c r="AP82" s="850">
        <v>4082893</v>
      </c>
      <c r="AQ82" s="845" t="s">
        <v>454</v>
      </c>
      <c r="AR82" s="845" t="s">
        <v>454</v>
      </c>
      <c r="AS82" s="845" t="s">
        <v>454</v>
      </c>
      <c r="AT82" s="845" t="s">
        <v>454</v>
      </c>
      <c r="AU82" s="845" t="s">
        <v>454</v>
      </c>
      <c r="AV82" s="845" t="s">
        <v>454</v>
      </c>
      <c r="AW82" s="845" t="s">
        <v>454</v>
      </c>
      <c r="AX82" s="847">
        <f>+AO82+AP82</f>
        <v>7804660</v>
      </c>
      <c r="AY82" s="848"/>
    </row>
    <row r="83" spans="1:51" ht="49.9" customHeight="1" x14ac:dyDescent="0.25">
      <c r="A83" s="844"/>
      <c r="B83" s="845"/>
      <c r="C83" s="846"/>
      <c r="D83" s="587" t="s">
        <v>3</v>
      </c>
      <c r="E83" s="442">
        <v>689070000</v>
      </c>
      <c r="F83" s="414">
        <v>483246000</v>
      </c>
      <c r="G83" s="414">
        <f>+[2]INVERSIÓN!AC39</f>
        <v>0</v>
      </c>
      <c r="H83" s="414">
        <f>+[2]INVERSIÓN!AE39</f>
        <v>34584000</v>
      </c>
      <c r="I83" s="414">
        <f>+[2]INVERSIÓN!AG39</f>
        <v>308422000</v>
      </c>
      <c r="J83" s="414">
        <f>+[2]INVERSIÓN!AI39</f>
        <v>1738634</v>
      </c>
      <c r="K83" s="414">
        <f>+[2]INVERSIÓN!AK39</f>
        <v>14241944</v>
      </c>
      <c r="L83" s="414">
        <v>483246000</v>
      </c>
      <c r="M83" s="414"/>
      <c r="N83" s="414"/>
      <c r="O83" s="414"/>
      <c r="P83" s="414"/>
      <c r="Q83" s="442"/>
      <c r="R83" s="442"/>
      <c r="S83" s="414"/>
      <c r="T83" s="414">
        <f>+[2]INVERSIÓN!AD39</f>
        <v>0</v>
      </c>
      <c r="U83" s="414">
        <f>+[2]INVERSIÓN!AF39</f>
        <v>34584000</v>
      </c>
      <c r="V83" s="414">
        <f>+[2]INVERSIÓN!AH39</f>
        <v>308422000</v>
      </c>
      <c r="W83" s="414">
        <f>+[2]INVERSIÓN!AJ39</f>
        <v>1738634</v>
      </c>
      <c r="X83" s="414">
        <f>+[2]INVERSIÓN!AL39</f>
        <v>9241944</v>
      </c>
      <c r="Y83" s="414">
        <f>+[2]INVERSIÓN!AN39</f>
        <v>101779714</v>
      </c>
      <c r="Z83" s="414"/>
      <c r="AA83" s="414"/>
      <c r="AB83" s="414"/>
      <c r="AC83" s="442"/>
      <c r="AD83" s="442"/>
      <c r="AE83" s="442"/>
      <c r="AF83" s="442"/>
      <c r="AG83" s="845"/>
      <c r="AH83" s="845"/>
      <c r="AI83" s="845"/>
      <c r="AJ83" s="845"/>
      <c r="AK83" s="845"/>
      <c r="AL83" s="845"/>
      <c r="AM83" s="845"/>
      <c r="AN83" s="845"/>
      <c r="AO83" s="849"/>
      <c r="AP83" s="850"/>
      <c r="AQ83" s="845"/>
      <c r="AR83" s="845"/>
      <c r="AS83" s="845"/>
      <c r="AT83" s="845"/>
      <c r="AU83" s="845"/>
      <c r="AV83" s="845"/>
      <c r="AW83" s="845"/>
      <c r="AX83" s="847"/>
      <c r="AY83" s="848"/>
    </row>
    <row r="84" spans="1:51" ht="49.9" customHeight="1" x14ac:dyDescent="0.25">
      <c r="A84" s="844"/>
      <c r="B84" s="845"/>
      <c r="C84" s="846"/>
      <c r="D84" s="586" t="s">
        <v>42</v>
      </c>
      <c r="E84" s="340">
        <v>0</v>
      </c>
      <c r="F84" s="413">
        <f>+E84</f>
        <v>0</v>
      </c>
      <c r="G84" s="413">
        <f>+[2]INVERSIÓN!AC41</f>
        <v>0</v>
      </c>
      <c r="H84" s="413">
        <f>+[2]INVERSIÓN!AE41</f>
        <v>0</v>
      </c>
      <c r="I84" s="413">
        <f>+[2]INVERSIÓN!AG41</f>
        <v>0</v>
      </c>
      <c r="J84" s="413">
        <f>+[2]INVERSIÓN!AI41</f>
        <v>0</v>
      </c>
      <c r="K84" s="413">
        <f>+[2]INVERSIÓN!AK41</f>
        <v>0</v>
      </c>
      <c r="L84" s="413">
        <v>0</v>
      </c>
      <c r="M84" s="413"/>
      <c r="N84" s="413"/>
      <c r="O84" s="413"/>
      <c r="P84" s="413"/>
      <c r="Q84" s="340"/>
      <c r="R84" s="340"/>
      <c r="S84" s="413"/>
      <c r="T84" s="413">
        <f>+[2]INVERSIÓN!AD41</f>
        <v>0</v>
      </c>
      <c r="U84" s="413">
        <f>+[2]INVERSIÓN!AF41</f>
        <v>0</v>
      </c>
      <c r="V84" s="413">
        <f>+[2]INVERSIÓN!AH41</f>
        <v>0</v>
      </c>
      <c r="W84" s="413">
        <f>+[2]INVERSIÓN!AJ41</f>
        <v>0</v>
      </c>
      <c r="X84" s="413">
        <f>+[2]INVERSIÓN!AL41</f>
        <v>0</v>
      </c>
      <c r="Y84" s="413">
        <f>+[2]INVERSIÓN!AN41</f>
        <v>0</v>
      </c>
      <c r="Z84" s="413"/>
      <c r="AA84" s="413"/>
      <c r="AB84" s="413"/>
      <c r="AC84" s="340"/>
      <c r="AD84" s="340"/>
      <c r="AE84" s="340"/>
      <c r="AF84" s="340"/>
      <c r="AG84" s="845"/>
      <c r="AH84" s="845"/>
      <c r="AI84" s="845"/>
      <c r="AJ84" s="845"/>
      <c r="AK84" s="845"/>
      <c r="AL84" s="845"/>
      <c r="AM84" s="845"/>
      <c r="AN84" s="845"/>
      <c r="AO84" s="849"/>
      <c r="AP84" s="850"/>
      <c r="AQ84" s="845"/>
      <c r="AR84" s="845"/>
      <c r="AS84" s="845"/>
      <c r="AT84" s="845"/>
      <c r="AU84" s="845"/>
      <c r="AV84" s="845"/>
      <c r="AW84" s="845"/>
      <c r="AX84" s="847"/>
      <c r="AY84" s="848"/>
    </row>
    <row r="85" spans="1:51" ht="49.9" customHeight="1" x14ac:dyDescent="0.25">
      <c r="A85" s="844"/>
      <c r="B85" s="845"/>
      <c r="C85" s="846"/>
      <c r="D85" s="587" t="s">
        <v>4</v>
      </c>
      <c r="E85" s="442">
        <v>84042144</v>
      </c>
      <c r="F85" s="414">
        <v>84042144</v>
      </c>
      <c r="G85" s="414">
        <f>+[2]INVERSIÓN!AC42</f>
        <v>15431000</v>
      </c>
      <c r="H85" s="414">
        <f>+[2]INVERSIÓN!AE42</f>
        <v>26156334</v>
      </c>
      <c r="I85" s="414">
        <f>+[2]INVERSIÓN!AG42</f>
        <v>10660833</v>
      </c>
      <c r="J85" s="414">
        <f>+[2]INVERSIÓN!AI42</f>
        <v>15349934</v>
      </c>
      <c r="K85" s="414">
        <f>+[2]INVERSIÓN!AK42</f>
        <v>1480833</v>
      </c>
      <c r="L85" s="414">
        <v>84042144</v>
      </c>
      <c r="M85" s="414"/>
      <c r="N85" s="414"/>
      <c r="O85" s="414"/>
      <c r="P85" s="414"/>
      <c r="Q85" s="414"/>
      <c r="R85" s="414"/>
      <c r="S85" s="414"/>
      <c r="T85" s="414">
        <f>+[2]INVERSIÓN!AD42</f>
        <v>15431000</v>
      </c>
      <c r="U85" s="414">
        <f>+[2]INVERSIÓN!AF42</f>
        <v>26156334</v>
      </c>
      <c r="V85" s="414">
        <f>+[2]INVERSIÓN!AH42</f>
        <v>10660833</v>
      </c>
      <c r="W85" s="414">
        <f>+[2]INVERSIÓN!AJ42</f>
        <v>15349934</v>
      </c>
      <c r="X85" s="414">
        <f>+[2]INVERSIÓN!AL42</f>
        <v>1480833</v>
      </c>
      <c r="Y85" s="414">
        <f>+[2]INVERSIÓN!AN42</f>
        <v>4986645</v>
      </c>
      <c r="Z85" s="414"/>
      <c r="AA85" s="414"/>
      <c r="AB85" s="414"/>
      <c r="AC85" s="442"/>
      <c r="AD85" s="442"/>
      <c r="AE85" s="442"/>
      <c r="AF85" s="442"/>
      <c r="AG85" s="845"/>
      <c r="AH85" s="845"/>
      <c r="AI85" s="845"/>
      <c r="AJ85" s="845"/>
      <c r="AK85" s="845"/>
      <c r="AL85" s="845"/>
      <c r="AM85" s="845"/>
      <c r="AN85" s="845"/>
      <c r="AO85" s="849"/>
      <c r="AP85" s="850"/>
      <c r="AQ85" s="845"/>
      <c r="AR85" s="845"/>
      <c r="AS85" s="845"/>
      <c r="AT85" s="845"/>
      <c r="AU85" s="845"/>
      <c r="AV85" s="845"/>
      <c r="AW85" s="845"/>
      <c r="AX85" s="847"/>
      <c r="AY85" s="848"/>
    </row>
    <row r="86" spans="1:51" ht="49.9" customHeight="1" x14ac:dyDescent="0.25">
      <c r="A86" s="844"/>
      <c r="B86" s="845"/>
      <c r="C86" s="846"/>
      <c r="D86" s="586" t="s">
        <v>43</v>
      </c>
      <c r="E86" s="479">
        <f t="shared" ref="E86:K87" si="23">+E82+E84</f>
        <v>1</v>
      </c>
      <c r="F86" s="479">
        <f t="shared" si="23"/>
        <v>1</v>
      </c>
      <c r="G86" s="479">
        <f t="shared" si="23"/>
        <v>1</v>
      </c>
      <c r="H86" s="479">
        <f t="shared" si="23"/>
        <v>1</v>
      </c>
      <c r="I86" s="479">
        <f t="shared" si="23"/>
        <v>1</v>
      </c>
      <c r="J86" s="479">
        <f t="shared" si="23"/>
        <v>1</v>
      </c>
      <c r="K86" s="479">
        <f t="shared" si="23"/>
        <v>1</v>
      </c>
      <c r="L86" s="479">
        <v>1</v>
      </c>
      <c r="M86" s="479"/>
      <c r="N86" s="479"/>
      <c r="O86" s="479"/>
      <c r="P86" s="479"/>
      <c r="Q86" s="479"/>
      <c r="R86" s="479"/>
      <c r="S86" s="479"/>
      <c r="T86" s="479">
        <f t="shared" ref="T86:Y87" si="24">+T82+T84</f>
        <v>1</v>
      </c>
      <c r="U86" s="479">
        <f t="shared" si="24"/>
        <v>1</v>
      </c>
      <c r="V86" s="479">
        <f t="shared" si="24"/>
        <v>1</v>
      </c>
      <c r="W86" s="479">
        <f t="shared" si="24"/>
        <v>1</v>
      </c>
      <c r="X86" s="479">
        <f t="shared" si="24"/>
        <v>1</v>
      </c>
      <c r="Y86" s="479">
        <f t="shared" si="24"/>
        <v>1</v>
      </c>
      <c r="Z86" s="479"/>
      <c r="AA86" s="479"/>
      <c r="AB86" s="479"/>
      <c r="AC86" s="479"/>
      <c r="AD86" s="479"/>
      <c r="AE86" s="479"/>
      <c r="AF86" s="479"/>
      <c r="AG86" s="845"/>
      <c r="AH86" s="845"/>
      <c r="AI86" s="845"/>
      <c r="AJ86" s="845"/>
      <c r="AK86" s="845"/>
      <c r="AL86" s="845"/>
      <c r="AM86" s="845"/>
      <c r="AN86" s="845"/>
      <c r="AO86" s="849"/>
      <c r="AP86" s="850"/>
      <c r="AQ86" s="845"/>
      <c r="AR86" s="845"/>
      <c r="AS86" s="845"/>
      <c r="AT86" s="845"/>
      <c r="AU86" s="845"/>
      <c r="AV86" s="845"/>
      <c r="AW86" s="845"/>
      <c r="AX86" s="847"/>
      <c r="AY86" s="848"/>
    </row>
    <row r="87" spans="1:51" ht="49.9" customHeight="1" x14ac:dyDescent="0.25">
      <c r="A87" s="844"/>
      <c r="B87" s="845"/>
      <c r="C87" s="846"/>
      <c r="D87" s="587" t="s">
        <v>45</v>
      </c>
      <c r="E87" s="480">
        <f t="shared" si="23"/>
        <v>773112144</v>
      </c>
      <c r="F87" s="480">
        <f t="shared" si="23"/>
        <v>567288144</v>
      </c>
      <c r="G87" s="480">
        <f t="shared" si="23"/>
        <v>15431000</v>
      </c>
      <c r="H87" s="480">
        <f t="shared" si="23"/>
        <v>60740334</v>
      </c>
      <c r="I87" s="480">
        <f t="shared" si="23"/>
        <v>319082833</v>
      </c>
      <c r="J87" s="480">
        <f t="shared" si="23"/>
        <v>17088568</v>
      </c>
      <c r="K87" s="480">
        <f t="shared" si="23"/>
        <v>15722777</v>
      </c>
      <c r="L87" s="480">
        <f>L83+L85</f>
        <v>567288144</v>
      </c>
      <c r="M87" s="480"/>
      <c r="N87" s="480"/>
      <c r="O87" s="480"/>
      <c r="P87" s="480"/>
      <c r="Q87" s="480"/>
      <c r="R87" s="480"/>
      <c r="S87" s="480"/>
      <c r="T87" s="480">
        <f t="shared" si="24"/>
        <v>15431000</v>
      </c>
      <c r="U87" s="480">
        <f t="shared" si="24"/>
        <v>60740334</v>
      </c>
      <c r="V87" s="480">
        <f t="shared" si="24"/>
        <v>319082833</v>
      </c>
      <c r="W87" s="480">
        <f t="shared" si="24"/>
        <v>17088568</v>
      </c>
      <c r="X87" s="480">
        <f t="shared" si="24"/>
        <v>10722777</v>
      </c>
      <c r="Y87" s="480">
        <f t="shared" si="24"/>
        <v>106766359</v>
      </c>
      <c r="Z87" s="480"/>
      <c r="AA87" s="480"/>
      <c r="AB87" s="480"/>
      <c r="AC87" s="480"/>
      <c r="AD87" s="480"/>
      <c r="AE87" s="480"/>
      <c r="AF87" s="414"/>
      <c r="AG87" s="845"/>
      <c r="AH87" s="845"/>
      <c r="AI87" s="845"/>
      <c r="AJ87" s="845"/>
      <c r="AK87" s="845"/>
      <c r="AL87" s="845"/>
      <c r="AM87" s="845"/>
      <c r="AN87" s="845"/>
      <c r="AO87" s="849"/>
      <c r="AP87" s="850"/>
      <c r="AQ87" s="845"/>
      <c r="AR87" s="845"/>
      <c r="AS87" s="845"/>
      <c r="AT87" s="845"/>
      <c r="AU87" s="845"/>
      <c r="AV87" s="845"/>
      <c r="AW87" s="845"/>
      <c r="AX87" s="847"/>
      <c r="AY87" s="848"/>
    </row>
    <row r="88" spans="1:51" ht="49.9" customHeight="1" x14ac:dyDescent="0.25">
      <c r="A88" s="844">
        <v>6</v>
      </c>
      <c r="B88" s="845" t="s">
        <v>440</v>
      </c>
      <c r="C88" s="846" t="s">
        <v>460</v>
      </c>
      <c r="D88" s="588" t="s">
        <v>41</v>
      </c>
      <c r="E88" s="484">
        <v>4707</v>
      </c>
      <c r="F88" s="484">
        <f>+E88</f>
        <v>4707</v>
      </c>
      <c r="G88" s="416">
        <f>+[2]INVERSIÓN!AC45</f>
        <v>51</v>
      </c>
      <c r="H88" s="416">
        <f>+[2]INVERSIÓN!AE45</f>
        <v>66</v>
      </c>
      <c r="I88" s="416">
        <f>+[2]INVERSIÓN!AG45</f>
        <v>66</v>
      </c>
      <c r="J88" s="416">
        <f>+[2]INVERSIÓN!AI45</f>
        <v>473</v>
      </c>
      <c r="K88" s="416">
        <f>+[2]INVERSIÓN!AK45</f>
        <v>2050</v>
      </c>
      <c r="L88" s="416">
        <v>4707</v>
      </c>
      <c r="M88" s="416"/>
      <c r="N88" s="416"/>
      <c r="O88" s="416"/>
      <c r="P88" s="416"/>
      <c r="Q88" s="416"/>
      <c r="R88" s="416"/>
      <c r="S88" s="416"/>
      <c r="T88" s="341">
        <f>+[2]INVERSIÓN!AD45</f>
        <v>278</v>
      </c>
      <c r="U88" s="341">
        <f>+[2]INVERSIÓN!AF45</f>
        <v>211</v>
      </c>
      <c r="V88" s="341">
        <f>+[2]INVERSIÓN!AH45</f>
        <v>837</v>
      </c>
      <c r="W88" s="341">
        <f>+[2]INVERSIÓN!AJ45</f>
        <v>488</v>
      </c>
      <c r="X88" s="341">
        <f>+[2]INVERSIÓN!AL45</f>
        <v>892</v>
      </c>
      <c r="Y88" s="341">
        <f>+[2]INVERSIÓN!AN45</f>
        <v>798</v>
      </c>
      <c r="Z88" s="481"/>
      <c r="AA88" s="481"/>
      <c r="AB88" s="481"/>
      <c r="AC88" s="341"/>
      <c r="AD88" s="341"/>
      <c r="AE88" s="341"/>
      <c r="AF88" s="416"/>
      <c r="AG88" s="845" t="s">
        <v>558</v>
      </c>
      <c r="AH88" s="845" t="s">
        <v>454</v>
      </c>
      <c r="AI88" s="845" t="s">
        <v>454</v>
      </c>
      <c r="AJ88" s="845" t="s">
        <v>558</v>
      </c>
      <c r="AK88" s="845" t="s">
        <v>456</v>
      </c>
      <c r="AL88" s="845" t="s">
        <v>454</v>
      </c>
      <c r="AM88" s="845" t="s">
        <v>454</v>
      </c>
      <c r="AN88" s="845" t="s">
        <v>454</v>
      </c>
      <c r="AO88" s="849">
        <v>1636823</v>
      </c>
      <c r="AP88" s="850">
        <v>1816010</v>
      </c>
      <c r="AQ88" s="845" t="s">
        <v>454</v>
      </c>
      <c r="AR88" s="845" t="s">
        <v>454</v>
      </c>
      <c r="AS88" s="845" t="s">
        <v>454</v>
      </c>
      <c r="AT88" s="845" t="s">
        <v>454</v>
      </c>
      <c r="AU88" s="845" t="s">
        <v>454</v>
      </c>
      <c r="AV88" s="845" t="s">
        <v>454</v>
      </c>
      <c r="AW88" s="845" t="s">
        <v>454</v>
      </c>
      <c r="AX88" s="847">
        <f>+AO88+AP88</f>
        <v>3452833</v>
      </c>
      <c r="AY88" s="848"/>
    </row>
    <row r="89" spans="1:51" ht="49.9" customHeight="1" x14ac:dyDescent="0.25">
      <c r="A89" s="844"/>
      <c r="B89" s="845"/>
      <c r="C89" s="846"/>
      <c r="D89" s="587" t="s">
        <v>3</v>
      </c>
      <c r="E89" s="442">
        <v>1294148000</v>
      </c>
      <c r="F89" s="414">
        <f>+E89</f>
        <v>1294148000</v>
      </c>
      <c r="G89" s="414">
        <f>+[2]INVERSIÓN!AC46</f>
        <v>0</v>
      </c>
      <c r="H89" s="414">
        <f>+[2]INVERSIÓN!AE46</f>
        <v>385283000</v>
      </c>
      <c r="I89" s="414">
        <f>+[2]INVERSIÓN!AG46</f>
        <v>752696000</v>
      </c>
      <c r="J89" s="414">
        <f>+[2]INVERSIÓN!AI46</f>
        <v>0</v>
      </c>
      <c r="K89" s="414">
        <f>+[2]INVERSIÓN!AK46</f>
        <v>24066000</v>
      </c>
      <c r="L89" s="414">
        <v>1294148000</v>
      </c>
      <c r="M89" s="414"/>
      <c r="N89" s="414"/>
      <c r="O89" s="414"/>
      <c r="P89" s="414"/>
      <c r="Q89" s="442"/>
      <c r="R89" s="442"/>
      <c r="S89" s="414"/>
      <c r="T89" s="414">
        <f>+[2]INVERSIÓN!AD46</f>
        <v>0</v>
      </c>
      <c r="U89" s="414">
        <f>+[2]INVERSIÓN!AF46</f>
        <v>385283000</v>
      </c>
      <c r="V89" s="414">
        <f>+[2]INVERSIÓN!AH46</f>
        <v>752696000</v>
      </c>
      <c r="W89" s="414">
        <f>+[2]INVERSIÓN!AJ46</f>
        <v>0</v>
      </c>
      <c r="X89" s="414">
        <f>+[2]INVERSIÓN!AL46</f>
        <v>24066000</v>
      </c>
      <c r="Y89" s="414">
        <f>+[2]INVERSIÓN!AN46</f>
        <v>0</v>
      </c>
      <c r="Z89" s="414"/>
      <c r="AA89" s="414"/>
      <c r="AB89" s="414"/>
      <c r="AC89" s="442"/>
      <c r="AD89" s="442"/>
      <c r="AE89" s="442"/>
      <c r="AF89" s="442"/>
      <c r="AG89" s="845"/>
      <c r="AH89" s="845"/>
      <c r="AI89" s="845"/>
      <c r="AJ89" s="845"/>
      <c r="AK89" s="845"/>
      <c r="AL89" s="845"/>
      <c r="AM89" s="845"/>
      <c r="AN89" s="845"/>
      <c r="AO89" s="849"/>
      <c r="AP89" s="850"/>
      <c r="AQ89" s="845"/>
      <c r="AR89" s="845"/>
      <c r="AS89" s="845"/>
      <c r="AT89" s="845"/>
      <c r="AU89" s="845"/>
      <c r="AV89" s="845"/>
      <c r="AW89" s="845"/>
      <c r="AX89" s="847"/>
      <c r="AY89" s="848"/>
    </row>
    <row r="90" spans="1:51" ht="49.9" customHeight="1" x14ac:dyDescent="0.25">
      <c r="A90" s="844"/>
      <c r="B90" s="845"/>
      <c r="C90" s="846"/>
      <c r="D90" s="588" t="s">
        <v>42</v>
      </c>
      <c r="E90" s="484">
        <v>0</v>
      </c>
      <c r="F90" s="416">
        <f>+E90</f>
        <v>0</v>
      </c>
      <c r="G90" s="416">
        <f>+[2]INVERSIÓN!AC48</f>
        <v>0</v>
      </c>
      <c r="H90" s="416">
        <f>+[2]INVERSIÓN!AE48</f>
        <v>0</v>
      </c>
      <c r="I90" s="416">
        <f>+[2]INVERSIÓN!AG48</f>
        <v>0</v>
      </c>
      <c r="J90" s="416">
        <f>+[2]INVERSIÓN!AI48</f>
        <v>0</v>
      </c>
      <c r="K90" s="416">
        <f>+[2]INVERSIÓN!AK48</f>
        <v>0</v>
      </c>
      <c r="L90" s="416">
        <v>0</v>
      </c>
      <c r="M90" s="416"/>
      <c r="N90" s="416"/>
      <c r="O90" s="416"/>
      <c r="P90" s="416"/>
      <c r="Q90" s="416"/>
      <c r="R90" s="416"/>
      <c r="S90" s="416"/>
      <c r="T90" s="341">
        <f>+[2]INVERSIÓN!AD48</f>
        <v>0</v>
      </c>
      <c r="U90" s="341">
        <f>+[2]INVERSIÓN!AF48</f>
        <v>0</v>
      </c>
      <c r="V90" s="341">
        <f>+[2]INVERSIÓN!AH48</f>
        <v>0</v>
      </c>
      <c r="W90" s="341">
        <f>+[2]INVERSIÓN!AJ48</f>
        <v>0</v>
      </c>
      <c r="X90" s="341">
        <f>+[2]INVERSIÓN!AL48</f>
        <v>0</v>
      </c>
      <c r="Y90" s="341">
        <f>+[2]INVERSIÓN!AN48</f>
        <v>0</v>
      </c>
      <c r="Z90" s="481"/>
      <c r="AA90" s="481"/>
      <c r="AB90" s="481"/>
      <c r="AC90" s="341"/>
      <c r="AD90" s="341"/>
      <c r="AE90" s="341"/>
      <c r="AF90" s="484"/>
      <c r="AG90" s="845"/>
      <c r="AH90" s="845"/>
      <c r="AI90" s="845"/>
      <c r="AJ90" s="845"/>
      <c r="AK90" s="845"/>
      <c r="AL90" s="845"/>
      <c r="AM90" s="845"/>
      <c r="AN90" s="845"/>
      <c r="AO90" s="849"/>
      <c r="AP90" s="850"/>
      <c r="AQ90" s="845"/>
      <c r="AR90" s="845"/>
      <c r="AS90" s="845"/>
      <c r="AT90" s="845"/>
      <c r="AU90" s="845"/>
      <c r="AV90" s="845"/>
      <c r="AW90" s="845"/>
      <c r="AX90" s="847"/>
      <c r="AY90" s="848"/>
    </row>
    <row r="91" spans="1:51" ht="49.9" customHeight="1" x14ac:dyDescent="0.25">
      <c r="A91" s="844"/>
      <c r="B91" s="845"/>
      <c r="C91" s="846"/>
      <c r="D91" s="587" t="s">
        <v>4</v>
      </c>
      <c r="E91" s="414">
        <v>282323662</v>
      </c>
      <c r="F91" s="414">
        <v>282323662</v>
      </c>
      <c r="G91" s="414">
        <f>+[2]INVERSIÓN!AC49</f>
        <v>62610500</v>
      </c>
      <c r="H91" s="414">
        <f>+[2]INVERSIÓN!AE49</f>
        <v>113705833</v>
      </c>
      <c r="I91" s="414">
        <f>+[2]INVERSIÓN!AG49</f>
        <v>41010499</v>
      </c>
      <c r="J91" s="414">
        <f>+[2]INVERSIÓN!AI49</f>
        <v>24710465</v>
      </c>
      <c r="K91" s="414">
        <f>+[2]INVERSIÓN!AK49</f>
        <v>3094000</v>
      </c>
      <c r="L91" s="414">
        <v>282323662</v>
      </c>
      <c r="M91" s="414"/>
      <c r="N91" s="414"/>
      <c r="O91" s="414"/>
      <c r="P91" s="414"/>
      <c r="Q91" s="442"/>
      <c r="R91" s="442"/>
      <c r="S91" s="414"/>
      <c r="T91" s="414">
        <f>+[2]INVERSIÓN!AD49</f>
        <v>62610500</v>
      </c>
      <c r="U91" s="414">
        <f>+[2]INVERSIÓN!AF49</f>
        <v>113705833</v>
      </c>
      <c r="V91" s="414">
        <f>+[2]INVERSIÓN!AH49</f>
        <v>41010499</v>
      </c>
      <c r="W91" s="414">
        <f>+[2]INVERSIÓN!AJ49</f>
        <v>24710465</v>
      </c>
      <c r="X91" s="414">
        <f>+[2]INVERSIÓN!AL49</f>
        <v>3094000</v>
      </c>
      <c r="Y91" s="414">
        <f>+[2]INVERSIÓN!AN49</f>
        <v>14803433</v>
      </c>
      <c r="Z91" s="414"/>
      <c r="AA91" s="414"/>
      <c r="AB91" s="414"/>
      <c r="AC91" s="442"/>
      <c r="AD91" s="442"/>
      <c r="AE91" s="442"/>
      <c r="AF91" s="442"/>
      <c r="AG91" s="845"/>
      <c r="AH91" s="845"/>
      <c r="AI91" s="845"/>
      <c r="AJ91" s="845"/>
      <c r="AK91" s="845"/>
      <c r="AL91" s="845"/>
      <c r="AM91" s="845"/>
      <c r="AN91" s="845"/>
      <c r="AO91" s="849"/>
      <c r="AP91" s="850"/>
      <c r="AQ91" s="845"/>
      <c r="AR91" s="845"/>
      <c r="AS91" s="845"/>
      <c r="AT91" s="845"/>
      <c r="AU91" s="845"/>
      <c r="AV91" s="845"/>
      <c r="AW91" s="845"/>
      <c r="AX91" s="847"/>
      <c r="AY91" s="848"/>
    </row>
    <row r="92" spans="1:51" ht="49.9" customHeight="1" x14ac:dyDescent="0.25">
      <c r="A92" s="844"/>
      <c r="B92" s="845"/>
      <c r="C92" s="846"/>
      <c r="D92" s="588" t="s">
        <v>43</v>
      </c>
      <c r="E92" s="483">
        <f t="shared" ref="E92:K93" si="25">+E88+E90</f>
        <v>4707</v>
      </c>
      <c r="F92" s="483">
        <f t="shared" si="25"/>
        <v>4707</v>
      </c>
      <c r="G92" s="483">
        <f t="shared" si="25"/>
        <v>51</v>
      </c>
      <c r="H92" s="483">
        <f t="shared" si="25"/>
        <v>66</v>
      </c>
      <c r="I92" s="483">
        <f t="shared" si="25"/>
        <v>66</v>
      </c>
      <c r="J92" s="483">
        <f t="shared" si="25"/>
        <v>473</v>
      </c>
      <c r="K92" s="483">
        <f t="shared" si="25"/>
        <v>2050</v>
      </c>
      <c r="L92" s="483">
        <f>L88+L90</f>
        <v>4707</v>
      </c>
      <c r="M92" s="483"/>
      <c r="N92" s="483"/>
      <c r="O92" s="483"/>
      <c r="P92" s="483"/>
      <c r="Q92" s="483"/>
      <c r="R92" s="483"/>
      <c r="S92" s="483"/>
      <c r="T92" s="483">
        <f t="shared" ref="T92:Y93" si="26">+T88+T90</f>
        <v>278</v>
      </c>
      <c r="U92" s="483">
        <f t="shared" si="26"/>
        <v>211</v>
      </c>
      <c r="V92" s="483">
        <f t="shared" si="26"/>
        <v>837</v>
      </c>
      <c r="W92" s="483">
        <f t="shared" si="26"/>
        <v>488</v>
      </c>
      <c r="X92" s="483">
        <f t="shared" si="26"/>
        <v>892</v>
      </c>
      <c r="Y92" s="483">
        <f t="shared" si="26"/>
        <v>798</v>
      </c>
      <c r="Z92" s="483"/>
      <c r="AA92" s="483"/>
      <c r="AB92" s="483"/>
      <c r="AC92" s="483"/>
      <c r="AD92" s="483"/>
      <c r="AE92" s="483"/>
      <c r="AF92" s="482"/>
      <c r="AG92" s="845"/>
      <c r="AH92" s="845"/>
      <c r="AI92" s="845"/>
      <c r="AJ92" s="845"/>
      <c r="AK92" s="845"/>
      <c r="AL92" s="845"/>
      <c r="AM92" s="845"/>
      <c r="AN92" s="845"/>
      <c r="AO92" s="849"/>
      <c r="AP92" s="850"/>
      <c r="AQ92" s="845"/>
      <c r="AR92" s="845"/>
      <c r="AS92" s="845"/>
      <c r="AT92" s="845"/>
      <c r="AU92" s="845"/>
      <c r="AV92" s="845"/>
      <c r="AW92" s="845"/>
      <c r="AX92" s="847"/>
      <c r="AY92" s="848"/>
    </row>
    <row r="93" spans="1:51" ht="49.9" customHeight="1" x14ac:dyDescent="0.25">
      <c r="A93" s="844"/>
      <c r="B93" s="845"/>
      <c r="C93" s="846"/>
      <c r="D93" s="587" t="s">
        <v>45</v>
      </c>
      <c r="E93" s="480">
        <f t="shared" si="25"/>
        <v>1576471662</v>
      </c>
      <c r="F93" s="480">
        <f t="shared" si="25"/>
        <v>1576471662</v>
      </c>
      <c r="G93" s="480">
        <f t="shared" si="25"/>
        <v>62610500</v>
      </c>
      <c r="H93" s="480">
        <f t="shared" si="25"/>
        <v>498988833</v>
      </c>
      <c r="I93" s="480">
        <f t="shared" si="25"/>
        <v>793706499</v>
      </c>
      <c r="J93" s="480">
        <f t="shared" si="25"/>
        <v>24710465</v>
      </c>
      <c r="K93" s="480">
        <f t="shared" si="25"/>
        <v>27160000</v>
      </c>
      <c r="L93" s="480">
        <f>L89+L91</f>
        <v>1576471662</v>
      </c>
      <c r="M93" s="480"/>
      <c r="N93" s="480"/>
      <c r="O93" s="480"/>
      <c r="P93" s="480"/>
      <c r="Q93" s="480"/>
      <c r="R93" s="480"/>
      <c r="S93" s="480"/>
      <c r="T93" s="480">
        <f t="shared" si="26"/>
        <v>62610500</v>
      </c>
      <c r="U93" s="480">
        <f t="shared" si="26"/>
        <v>498988833</v>
      </c>
      <c r="V93" s="480">
        <f t="shared" si="26"/>
        <v>793706499</v>
      </c>
      <c r="W93" s="480">
        <f t="shared" si="26"/>
        <v>24710465</v>
      </c>
      <c r="X93" s="480">
        <f t="shared" si="26"/>
        <v>27160000</v>
      </c>
      <c r="Y93" s="480">
        <f t="shared" si="26"/>
        <v>14803433</v>
      </c>
      <c r="Z93" s="480"/>
      <c r="AA93" s="480"/>
      <c r="AB93" s="480"/>
      <c r="AC93" s="480"/>
      <c r="AD93" s="480"/>
      <c r="AE93" s="480"/>
      <c r="AF93" s="414"/>
      <c r="AG93" s="845"/>
      <c r="AH93" s="845"/>
      <c r="AI93" s="845"/>
      <c r="AJ93" s="845"/>
      <c r="AK93" s="845"/>
      <c r="AL93" s="845"/>
      <c r="AM93" s="845"/>
      <c r="AN93" s="845"/>
      <c r="AO93" s="849"/>
      <c r="AP93" s="850"/>
      <c r="AQ93" s="845"/>
      <c r="AR93" s="845"/>
      <c r="AS93" s="845"/>
      <c r="AT93" s="845"/>
      <c r="AU93" s="845"/>
      <c r="AV93" s="845"/>
      <c r="AW93" s="845"/>
      <c r="AX93" s="847"/>
      <c r="AY93" s="848"/>
    </row>
    <row r="94" spans="1:51" ht="49.9" customHeight="1" x14ac:dyDescent="0.25">
      <c r="A94" s="844">
        <v>7</v>
      </c>
      <c r="B94" s="845" t="s">
        <v>446</v>
      </c>
      <c r="C94" s="846" t="s">
        <v>462</v>
      </c>
      <c r="D94" s="586" t="s">
        <v>41</v>
      </c>
      <c r="E94" s="340">
        <v>1</v>
      </c>
      <c r="F94" s="340">
        <f>+E94</f>
        <v>1</v>
      </c>
      <c r="G94" s="340">
        <f>+[2]INVERSIÓN!AC52</f>
        <v>1</v>
      </c>
      <c r="H94" s="340">
        <f>+[2]INVERSIÓN!AE52</f>
        <v>1</v>
      </c>
      <c r="I94" s="340">
        <f>+[2]INVERSIÓN!AG52</f>
        <v>1</v>
      </c>
      <c r="J94" s="340">
        <f>+[2]INVERSIÓN!AI52</f>
        <v>1</v>
      </c>
      <c r="K94" s="340">
        <f>+[2]INVERSIÓN!AK52</f>
        <v>1</v>
      </c>
      <c r="L94" s="340">
        <v>1</v>
      </c>
      <c r="M94" s="413"/>
      <c r="N94" s="413"/>
      <c r="O94" s="413"/>
      <c r="P94" s="413"/>
      <c r="Q94" s="340"/>
      <c r="R94" s="340"/>
      <c r="S94" s="413"/>
      <c r="T94" s="340">
        <f>+[2]INVERSIÓN!AD52</f>
        <v>1</v>
      </c>
      <c r="U94" s="340">
        <f>+[2]INVERSIÓN!AF52</f>
        <v>1</v>
      </c>
      <c r="V94" s="340">
        <f>+[2]INVERSIÓN!AH52</f>
        <v>1</v>
      </c>
      <c r="W94" s="340">
        <f>+[2]INVERSIÓN!AJ52</f>
        <v>0.64</v>
      </c>
      <c r="X94" s="340">
        <f>+[2]INVERSIÓN!AL52</f>
        <v>0.877</v>
      </c>
      <c r="Y94" s="340">
        <v>0.91600000000000004</v>
      </c>
      <c r="Z94" s="413"/>
      <c r="AA94" s="413"/>
      <c r="AB94" s="413"/>
      <c r="AC94" s="340"/>
      <c r="AD94" s="340"/>
      <c r="AE94" s="340"/>
      <c r="AF94" s="413"/>
      <c r="AG94" s="845" t="s">
        <v>453</v>
      </c>
      <c r="AH94" s="845" t="s">
        <v>454</v>
      </c>
      <c r="AI94" s="845" t="s">
        <v>454</v>
      </c>
      <c r="AJ94" s="845" t="s">
        <v>456</v>
      </c>
      <c r="AK94" s="845" t="s">
        <v>456</v>
      </c>
      <c r="AL94" s="845" t="s">
        <v>454</v>
      </c>
      <c r="AM94" s="845" t="s">
        <v>454</v>
      </c>
      <c r="AN94" s="845" t="s">
        <v>454</v>
      </c>
      <c r="AO94" s="849">
        <v>3721767</v>
      </c>
      <c r="AP94" s="850">
        <v>4082893</v>
      </c>
      <c r="AQ94" s="845" t="s">
        <v>454</v>
      </c>
      <c r="AR94" s="845" t="s">
        <v>454</v>
      </c>
      <c r="AS94" s="845" t="s">
        <v>454</v>
      </c>
      <c r="AT94" s="845" t="s">
        <v>454</v>
      </c>
      <c r="AU94" s="845" t="s">
        <v>454</v>
      </c>
      <c r="AV94" s="845" t="s">
        <v>454</v>
      </c>
      <c r="AW94" s="845" t="s">
        <v>454</v>
      </c>
      <c r="AX94" s="847">
        <f>+AO94+AP94</f>
        <v>7804660</v>
      </c>
      <c r="AY94" s="848"/>
    </row>
    <row r="95" spans="1:51" ht="49.9" customHeight="1" x14ac:dyDescent="0.25">
      <c r="A95" s="844"/>
      <c r="B95" s="845"/>
      <c r="C95" s="846"/>
      <c r="D95" s="587" t="s">
        <v>3</v>
      </c>
      <c r="E95" s="442">
        <v>691670000</v>
      </c>
      <c r="F95" s="414">
        <v>528678000</v>
      </c>
      <c r="G95" s="414">
        <f>+[2]INVERSIÓN!AC53</f>
        <v>0</v>
      </c>
      <c r="H95" s="414">
        <f>+[2]INVERSIÓN!AE53</f>
        <v>326043000</v>
      </c>
      <c r="I95" s="414">
        <f>+[2]INVERSIÓN!AG53</f>
        <v>89595000</v>
      </c>
      <c r="J95" s="414">
        <f>+[2]INVERSIÓN!AI53</f>
        <v>100480000</v>
      </c>
      <c r="K95" s="414">
        <f>+[2]INVERSIÓN!AK53</f>
        <v>0</v>
      </c>
      <c r="L95" s="414">
        <v>528678000</v>
      </c>
      <c r="M95" s="414"/>
      <c r="N95" s="414"/>
      <c r="O95" s="414"/>
      <c r="P95" s="414"/>
      <c r="Q95" s="442"/>
      <c r="R95" s="442"/>
      <c r="S95" s="442"/>
      <c r="T95" s="414">
        <f>+[2]INVERSIÓN!AD53</f>
        <v>0</v>
      </c>
      <c r="U95" s="414">
        <f>+[2]INVERSIÓN!AF53</f>
        <v>326043000</v>
      </c>
      <c r="V95" s="414">
        <f>+[2]INVERSIÓN!AH53</f>
        <v>89595000</v>
      </c>
      <c r="W95" s="414">
        <f>+[2]INVERSIÓN!AJ53</f>
        <v>100480000</v>
      </c>
      <c r="X95" s="414">
        <f>+[2]INVERSIÓN!AL53</f>
        <v>0</v>
      </c>
      <c r="Y95" s="414">
        <f>+[2]INVERSIÓN!AN53</f>
        <v>0</v>
      </c>
      <c r="Z95" s="414"/>
      <c r="AA95" s="414"/>
      <c r="AB95" s="414"/>
      <c r="AC95" s="442"/>
      <c r="AD95" s="442"/>
      <c r="AE95" s="442"/>
      <c r="AF95" s="442"/>
      <c r="AG95" s="845"/>
      <c r="AH95" s="845"/>
      <c r="AI95" s="845"/>
      <c r="AJ95" s="845"/>
      <c r="AK95" s="845"/>
      <c r="AL95" s="845"/>
      <c r="AM95" s="845"/>
      <c r="AN95" s="845"/>
      <c r="AO95" s="849"/>
      <c r="AP95" s="850"/>
      <c r="AQ95" s="845"/>
      <c r="AR95" s="845"/>
      <c r="AS95" s="845"/>
      <c r="AT95" s="845"/>
      <c r="AU95" s="845"/>
      <c r="AV95" s="845"/>
      <c r="AW95" s="845"/>
      <c r="AX95" s="847"/>
      <c r="AY95" s="848"/>
    </row>
    <row r="96" spans="1:51" ht="49.9" customHeight="1" x14ac:dyDescent="0.25">
      <c r="A96" s="844"/>
      <c r="B96" s="845"/>
      <c r="C96" s="846"/>
      <c r="D96" s="586" t="s">
        <v>42</v>
      </c>
      <c r="E96" s="340">
        <v>0</v>
      </c>
      <c r="F96" s="413">
        <f>+E96</f>
        <v>0</v>
      </c>
      <c r="G96" s="413">
        <f>+[2]INVERSIÓN!AC55</f>
        <v>0</v>
      </c>
      <c r="H96" s="413">
        <f>+[2]INVERSIÓN!AE55</f>
        <v>0</v>
      </c>
      <c r="I96" s="413">
        <f>+[2]INVERSIÓN!AG55</f>
        <v>0</v>
      </c>
      <c r="J96" s="413">
        <f>+[2]INVERSIÓN!AI55</f>
        <v>0</v>
      </c>
      <c r="K96" s="413">
        <f>+[2]INVERSIÓN!AK55</f>
        <v>0</v>
      </c>
      <c r="L96" s="413">
        <v>0</v>
      </c>
      <c r="M96" s="413"/>
      <c r="N96" s="413"/>
      <c r="O96" s="413"/>
      <c r="P96" s="413"/>
      <c r="Q96" s="340"/>
      <c r="R96" s="340"/>
      <c r="S96" s="340"/>
      <c r="T96" s="340">
        <f>+[2]INVERSIÓN!AD55</f>
        <v>0</v>
      </c>
      <c r="U96" s="340">
        <f>+[2]INVERSIÓN!AF55</f>
        <v>0</v>
      </c>
      <c r="V96" s="340">
        <f>+[2]INVERSIÓN!AH55</f>
        <v>0</v>
      </c>
      <c r="W96" s="340">
        <f>+[2]INVERSIÓN!AJ55</f>
        <v>0</v>
      </c>
      <c r="X96" s="340">
        <f>+[2]INVERSIÓN!AL55</f>
        <v>0</v>
      </c>
      <c r="Y96" s="340">
        <f>+[2]INVERSIÓN!AN55</f>
        <v>0</v>
      </c>
      <c r="Z96" s="413"/>
      <c r="AA96" s="413"/>
      <c r="AB96" s="413"/>
      <c r="AC96" s="340"/>
      <c r="AD96" s="340"/>
      <c r="AE96" s="340"/>
      <c r="AF96" s="340"/>
      <c r="AG96" s="845"/>
      <c r="AH96" s="845"/>
      <c r="AI96" s="845"/>
      <c r="AJ96" s="845"/>
      <c r="AK96" s="845"/>
      <c r="AL96" s="845"/>
      <c r="AM96" s="845"/>
      <c r="AN96" s="845"/>
      <c r="AO96" s="849"/>
      <c r="AP96" s="850"/>
      <c r="AQ96" s="845"/>
      <c r="AR96" s="845"/>
      <c r="AS96" s="845"/>
      <c r="AT96" s="845"/>
      <c r="AU96" s="845"/>
      <c r="AV96" s="845"/>
      <c r="AW96" s="845"/>
      <c r="AX96" s="847"/>
      <c r="AY96" s="848"/>
    </row>
    <row r="97" spans="1:51" ht="49.9" customHeight="1" x14ac:dyDescent="0.25">
      <c r="A97" s="844"/>
      <c r="B97" s="845"/>
      <c r="C97" s="846"/>
      <c r="D97" s="587" t="s">
        <v>4</v>
      </c>
      <c r="E97" s="442">
        <v>131174135</v>
      </c>
      <c r="F97" s="414">
        <f>+E97</f>
        <v>131174135</v>
      </c>
      <c r="G97" s="414">
        <f>+[2]INVERSIÓN!AC56</f>
        <v>56494567</v>
      </c>
      <c r="H97" s="414">
        <f>+[2]INVERSIÓN!AE56</f>
        <v>56557034</v>
      </c>
      <c r="I97" s="414">
        <f>+[2]INVERSIÓN!AG56</f>
        <v>7384000</v>
      </c>
      <c r="J97" s="414">
        <f>+[2]INVERSIÓN!AI56</f>
        <v>3121667</v>
      </c>
      <c r="K97" s="414">
        <f>+[2]INVERSIÓN!AK56</f>
        <v>3746000</v>
      </c>
      <c r="L97" s="414">
        <v>131174135</v>
      </c>
      <c r="M97" s="414"/>
      <c r="N97" s="414"/>
      <c r="O97" s="414"/>
      <c r="P97" s="414"/>
      <c r="Q97" s="414"/>
      <c r="R97" s="414"/>
      <c r="S97" s="414"/>
      <c r="T97" s="414">
        <f>+[2]INVERSIÓN!AD56</f>
        <v>56494567</v>
      </c>
      <c r="U97" s="414">
        <f>+[2]INVERSIÓN!AF56</f>
        <v>56557034</v>
      </c>
      <c r="V97" s="414">
        <f>+[2]INVERSIÓN!AH56</f>
        <v>7384000</v>
      </c>
      <c r="W97" s="414">
        <f>+[2]INVERSIÓN!AJ56</f>
        <v>3121667</v>
      </c>
      <c r="X97" s="414">
        <f>+[2]INVERSIÓN!AL56</f>
        <v>3746000</v>
      </c>
      <c r="Y97" s="414">
        <f>+[2]INVERSIÓN!AN56</f>
        <v>3870867</v>
      </c>
      <c r="Z97" s="414"/>
      <c r="AA97" s="414"/>
      <c r="AB97" s="414"/>
      <c r="AC97" s="442"/>
      <c r="AD97" s="442"/>
      <c r="AE97" s="442"/>
      <c r="AF97" s="442"/>
      <c r="AG97" s="845"/>
      <c r="AH97" s="845"/>
      <c r="AI97" s="845"/>
      <c r="AJ97" s="845"/>
      <c r="AK97" s="845"/>
      <c r="AL97" s="845"/>
      <c r="AM97" s="845"/>
      <c r="AN97" s="845"/>
      <c r="AO97" s="849"/>
      <c r="AP97" s="850"/>
      <c r="AQ97" s="845"/>
      <c r="AR97" s="845"/>
      <c r="AS97" s="845"/>
      <c r="AT97" s="845"/>
      <c r="AU97" s="845"/>
      <c r="AV97" s="845"/>
      <c r="AW97" s="845"/>
      <c r="AX97" s="847"/>
      <c r="AY97" s="848"/>
    </row>
    <row r="98" spans="1:51" ht="49.9" customHeight="1" x14ac:dyDescent="0.25">
      <c r="A98" s="844"/>
      <c r="B98" s="845"/>
      <c r="C98" s="846"/>
      <c r="D98" s="589" t="s">
        <v>43</v>
      </c>
      <c r="E98" s="479">
        <f t="shared" ref="E98:K99" si="27">+E94+E96</f>
        <v>1</v>
      </c>
      <c r="F98" s="479">
        <f t="shared" si="27"/>
        <v>1</v>
      </c>
      <c r="G98" s="479">
        <f t="shared" si="27"/>
        <v>1</v>
      </c>
      <c r="H98" s="479">
        <f t="shared" si="27"/>
        <v>1</v>
      </c>
      <c r="I98" s="479">
        <f t="shared" si="27"/>
        <v>1</v>
      </c>
      <c r="J98" s="479">
        <f t="shared" si="27"/>
        <v>1</v>
      </c>
      <c r="K98" s="479">
        <f t="shared" si="27"/>
        <v>1</v>
      </c>
      <c r="L98" s="479">
        <v>1</v>
      </c>
      <c r="M98" s="479"/>
      <c r="N98" s="479"/>
      <c r="O98" s="479"/>
      <c r="P98" s="479"/>
      <c r="Q98" s="479"/>
      <c r="R98" s="479"/>
      <c r="S98" s="479"/>
      <c r="T98" s="479">
        <f t="shared" ref="T98:Y99" si="28">+T94+T96</f>
        <v>1</v>
      </c>
      <c r="U98" s="479">
        <f t="shared" si="28"/>
        <v>1</v>
      </c>
      <c r="V98" s="479">
        <f t="shared" si="28"/>
        <v>1</v>
      </c>
      <c r="W98" s="479">
        <f t="shared" si="28"/>
        <v>0.64</v>
      </c>
      <c r="X98" s="479">
        <f t="shared" si="28"/>
        <v>0.877</v>
      </c>
      <c r="Y98" s="479">
        <f t="shared" si="28"/>
        <v>0.91600000000000004</v>
      </c>
      <c r="Z98" s="479"/>
      <c r="AA98" s="479"/>
      <c r="AB98" s="479"/>
      <c r="AC98" s="479"/>
      <c r="AD98" s="479"/>
      <c r="AE98" s="479"/>
      <c r="AF98" s="479"/>
      <c r="AG98" s="845"/>
      <c r="AH98" s="845"/>
      <c r="AI98" s="845"/>
      <c r="AJ98" s="845"/>
      <c r="AK98" s="845"/>
      <c r="AL98" s="845"/>
      <c r="AM98" s="845"/>
      <c r="AN98" s="845"/>
      <c r="AO98" s="849"/>
      <c r="AP98" s="850"/>
      <c r="AQ98" s="845"/>
      <c r="AR98" s="845"/>
      <c r="AS98" s="845"/>
      <c r="AT98" s="845"/>
      <c r="AU98" s="845"/>
      <c r="AV98" s="845"/>
      <c r="AW98" s="845"/>
      <c r="AX98" s="847"/>
      <c r="AY98" s="848"/>
    </row>
    <row r="99" spans="1:51" ht="38.25" x14ac:dyDescent="0.25">
      <c r="A99" s="844"/>
      <c r="B99" s="845"/>
      <c r="C99" s="846"/>
      <c r="D99" s="590" t="s">
        <v>45</v>
      </c>
      <c r="E99" s="480">
        <f t="shared" si="27"/>
        <v>822844135</v>
      </c>
      <c r="F99" s="480">
        <f t="shared" si="27"/>
        <v>659852135</v>
      </c>
      <c r="G99" s="480">
        <f t="shared" si="27"/>
        <v>56494567</v>
      </c>
      <c r="H99" s="480">
        <f t="shared" si="27"/>
        <v>382600034</v>
      </c>
      <c r="I99" s="480">
        <f t="shared" si="27"/>
        <v>96979000</v>
      </c>
      <c r="J99" s="480">
        <f t="shared" si="27"/>
        <v>103601667</v>
      </c>
      <c r="K99" s="480">
        <f t="shared" si="27"/>
        <v>3746000</v>
      </c>
      <c r="L99" s="480">
        <f>L95+L97</f>
        <v>659852135</v>
      </c>
      <c r="M99" s="480"/>
      <c r="N99" s="480"/>
      <c r="O99" s="480"/>
      <c r="P99" s="480"/>
      <c r="Q99" s="480"/>
      <c r="R99" s="480"/>
      <c r="S99" s="480"/>
      <c r="T99" s="480">
        <f t="shared" si="28"/>
        <v>56494567</v>
      </c>
      <c r="U99" s="480">
        <f t="shared" si="28"/>
        <v>382600034</v>
      </c>
      <c r="V99" s="480">
        <f t="shared" si="28"/>
        <v>96979000</v>
      </c>
      <c r="W99" s="480">
        <f t="shared" si="28"/>
        <v>103601667</v>
      </c>
      <c r="X99" s="480">
        <f t="shared" si="28"/>
        <v>3746000</v>
      </c>
      <c r="Y99" s="480">
        <f t="shared" si="28"/>
        <v>3870867</v>
      </c>
      <c r="Z99" s="480"/>
      <c r="AA99" s="480"/>
      <c r="AB99" s="480"/>
      <c r="AC99" s="480"/>
      <c r="AD99" s="480"/>
      <c r="AE99" s="480"/>
      <c r="AF99" s="447"/>
      <c r="AG99" s="845"/>
      <c r="AH99" s="845"/>
      <c r="AI99" s="845"/>
      <c r="AJ99" s="845"/>
      <c r="AK99" s="845"/>
      <c r="AL99" s="845"/>
      <c r="AM99" s="845"/>
      <c r="AN99" s="845"/>
      <c r="AO99" s="849"/>
      <c r="AP99" s="850"/>
      <c r="AQ99" s="845"/>
      <c r="AR99" s="845"/>
      <c r="AS99" s="845"/>
      <c r="AT99" s="845"/>
      <c r="AU99" s="845"/>
      <c r="AV99" s="845"/>
      <c r="AW99" s="845"/>
      <c r="AX99" s="847"/>
      <c r="AY99" s="848"/>
    </row>
    <row r="100" spans="1:51" ht="24" x14ac:dyDescent="0.25">
      <c r="A100" s="865" t="s">
        <v>22</v>
      </c>
      <c r="B100" s="866"/>
      <c r="C100" s="866"/>
      <c r="D100" s="485" t="s">
        <v>34</v>
      </c>
      <c r="E100" s="486">
        <f t="shared" ref="E100:K100" si="29">E11+E17+E23+E29+E83+E89+E95</f>
        <v>8587399000</v>
      </c>
      <c r="F100" s="486">
        <f t="shared" si="29"/>
        <v>7042444614</v>
      </c>
      <c r="G100" s="486">
        <f t="shared" si="29"/>
        <v>0</v>
      </c>
      <c r="H100" s="486">
        <f t="shared" si="29"/>
        <v>1924982000</v>
      </c>
      <c r="I100" s="486">
        <f t="shared" si="29"/>
        <v>3424426150</v>
      </c>
      <c r="J100" s="486">
        <f t="shared" si="29"/>
        <v>881440491</v>
      </c>
      <c r="K100" s="486">
        <f t="shared" si="29"/>
        <v>38307944</v>
      </c>
      <c r="L100" s="486">
        <f>L11+L17+L23+L29+L83+L89+L95</f>
        <v>8496019614</v>
      </c>
      <c r="M100" s="486">
        <f t="shared" ref="M100:R100" si="30">M11+M17+M23+M29+M83+M89+M95</f>
        <v>0</v>
      </c>
      <c r="N100" s="486">
        <f t="shared" si="30"/>
        <v>0</v>
      </c>
      <c r="O100" s="486">
        <f t="shared" si="30"/>
        <v>0</v>
      </c>
      <c r="P100" s="486">
        <f t="shared" si="30"/>
        <v>0</v>
      </c>
      <c r="Q100" s="486">
        <f t="shared" si="30"/>
        <v>0</v>
      </c>
      <c r="R100" s="486">
        <f t="shared" si="30"/>
        <v>0</v>
      </c>
      <c r="S100" s="869"/>
      <c r="T100" s="486" t="e">
        <f>+T11+T17+T23+#REF!+T83+T89+T95</f>
        <v>#REF!</v>
      </c>
      <c r="U100" s="486" t="e">
        <f>+U11+U17+U23+#REF!+U83+U89+U95</f>
        <v>#REF!</v>
      </c>
      <c r="V100" s="486" t="e">
        <f>+V11+V17+V23+#REF!+V83+V89+V95</f>
        <v>#REF!</v>
      </c>
      <c r="W100" s="486" t="e">
        <f>+W11+W17+W23+#REF!+W83+W89+W95</f>
        <v>#REF!</v>
      </c>
      <c r="X100" s="486" t="e">
        <f>+X11+X17+X23+#REF!+X83+X89+X95</f>
        <v>#REF!</v>
      </c>
      <c r="Y100" s="486">
        <f>Y11+Y17+Y23+Y29+Y83++Y95</f>
        <v>1825462816.6399999</v>
      </c>
      <c r="Z100" s="486" t="e">
        <f>+Z11+Z17+Z23+#REF!+Z83+Z89+Z95</f>
        <v>#REF!</v>
      </c>
      <c r="AA100" s="486" t="e">
        <f>+AA11+AA17+AA23+#REF!+AA83+AA89+AA95</f>
        <v>#REF!</v>
      </c>
      <c r="AB100" s="486" t="e">
        <f>+AB11+AB17+AB23+#REF!+AB83+AB89+AB95</f>
        <v>#REF!</v>
      </c>
      <c r="AC100" s="486" t="e">
        <f>+AC11+AC17+AC23+#REF!+AC83+AC89+AC95</f>
        <v>#REF!</v>
      </c>
      <c r="AD100" s="486" t="e">
        <f>+AD11+AD17+AD23+#REF!+AD83+AD89+AD95</f>
        <v>#REF!</v>
      </c>
      <c r="AE100" s="486" t="e">
        <f>+AE11+AE17+AE23+#REF!+AE83+AE89+AE95</f>
        <v>#REF!</v>
      </c>
      <c r="AF100" s="869"/>
      <c r="AG100" s="872"/>
      <c r="AH100" s="873"/>
      <c r="AI100" s="873"/>
      <c r="AJ100" s="873"/>
      <c r="AK100" s="873"/>
      <c r="AL100" s="873"/>
      <c r="AM100" s="873"/>
      <c r="AN100" s="873"/>
      <c r="AO100" s="873"/>
      <c r="AP100" s="873"/>
      <c r="AQ100" s="873"/>
      <c r="AR100" s="873"/>
      <c r="AS100" s="873"/>
      <c r="AT100" s="873"/>
      <c r="AU100" s="873"/>
      <c r="AV100" s="873"/>
      <c r="AW100" s="873"/>
      <c r="AX100" s="873"/>
      <c r="AY100" s="874"/>
    </row>
    <row r="101" spans="1:51" ht="24" x14ac:dyDescent="0.25">
      <c r="A101" s="865"/>
      <c r="B101" s="866"/>
      <c r="C101" s="866"/>
      <c r="D101" s="485" t="s">
        <v>33</v>
      </c>
      <c r="E101" s="486">
        <f t="shared" ref="E101:K101" si="31">E13+E19+E25+E31+E85+E91+E97</f>
        <v>1660499146</v>
      </c>
      <c r="F101" s="486">
        <f t="shared" si="31"/>
        <v>1660499146</v>
      </c>
      <c r="G101" s="486">
        <f t="shared" si="31"/>
        <v>350530723</v>
      </c>
      <c r="H101" s="486">
        <f t="shared" si="31"/>
        <v>433179992</v>
      </c>
      <c r="I101" s="486">
        <f t="shared" si="31"/>
        <v>218086054</v>
      </c>
      <c r="J101" s="486">
        <f t="shared" si="31"/>
        <v>109178008</v>
      </c>
      <c r="K101" s="486">
        <f t="shared" si="31"/>
        <v>142791967</v>
      </c>
      <c r="L101" s="486">
        <f>L13+L19+L25+L31+L85+L91+L97</f>
        <v>1791725580</v>
      </c>
      <c r="M101" s="486">
        <f t="shared" ref="M101:R101" si="32">M13+M19+M25+M31+M85+M91+M97</f>
        <v>0</v>
      </c>
      <c r="N101" s="486">
        <f t="shared" si="32"/>
        <v>0</v>
      </c>
      <c r="O101" s="486">
        <f t="shared" si="32"/>
        <v>0</v>
      </c>
      <c r="P101" s="486">
        <f t="shared" si="32"/>
        <v>0</v>
      </c>
      <c r="Q101" s="486">
        <f t="shared" si="32"/>
        <v>0</v>
      </c>
      <c r="R101" s="486">
        <f t="shared" si="32"/>
        <v>0</v>
      </c>
      <c r="S101" s="870"/>
      <c r="T101" s="486" t="e">
        <f>+T12+T18+T24+#REF!+T84+T90+T96</f>
        <v>#REF!</v>
      </c>
      <c r="U101" s="486" t="e">
        <f>+U12+U18+U24+#REF!+U84+U90+U96</f>
        <v>#REF!</v>
      </c>
      <c r="V101" s="486" t="e">
        <f>+V13+V19+V25+#REF!+V85+V91+V97</f>
        <v>#REF!</v>
      </c>
      <c r="W101" s="486" t="e">
        <f>+W13+W19+W25+#REF!+W85+W91+W97</f>
        <v>#REF!</v>
      </c>
      <c r="X101" s="486" t="e">
        <f>+X13+X19+X25+#REF!+X85+X91+X97</f>
        <v>#REF!</v>
      </c>
      <c r="Y101" s="486" t="e">
        <f>Y13+Y19+Y25+#REF!+Y85+Y91+Y97</f>
        <v>#REF!</v>
      </c>
      <c r="Z101" s="486" t="e">
        <f>+Z13+Z19+Z25+#REF!+Z85+Z91+Z97</f>
        <v>#REF!</v>
      </c>
      <c r="AA101" s="486" t="e">
        <f>+AA13+AA19+AA25+#REF!+AA85+AA91+AA97</f>
        <v>#REF!</v>
      </c>
      <c r="AB101" s="486" t="e">
        <f>+AB13+AB19+AB25+#REF!+AB85+AB91+AB97</f>
        <v>#REF!</v>
      </c>
      <c r="AC101" s="486" t="e">
        <f>+AC13+AC19+AC25+#REF!+AC85+AC91+AC97</f>
        <v>#REF!</v>
      </c>
      <c r="AD101" s="486" t="e">
        <f>+AD12+AD18+AD24+#REF!+AD84+AD90+AD96</f>
        <v>#REF!</v>
      </c>
      <c r="AE101" s="486" t="e">
        <f>+AE13+AE19+AE25+#REF!+AE85+AE91+AE97</f>
        <v>#REF!</v>
      </c>
      <c r="AF101" s="870"/>
      <c r="AG101" s="875"/>
      <c r="AH101" s="876"/>
      <c r="AI101" s="876"/>
      <c r="AJ101" s="876"/>
      <c r="AK101" s="876"/>
      <c r="AL101" s="876"/>
      <c r="AM101" s="876"/>
      <c r="AN101" s="876"/>
      <c r="AO101" s="876"/>
      <c r="AP101" s="876"/>
      <c r="AQ101" s="876"/>
      <c r="AR101" s="876"/>
      <c r="AS101" s="876"/>
      <c r="AT101" s="876"/>
      <c r="AU101" s="876"/>
      <c r="AV101" s="876"/>
      <c r="AW101" s="876"/>
      <c r="AX101" s="876"/>
      <c r="AY101" s="877"/>
    </row>
    <row r="102" spans="1:51" ht="24.75" thickBot="1" x14ac:dyDescent="0.3">
      <c r="A102" s="867"/>
      <c r="B102" s="868"/>
      <c r="C102" s="868"/>
      <c r="D102" s="487" t="s">
        <v>32</v>
      </c>
      <c r="E102" s="486">
        <f t="shared" ref="E102:K102" si="33">E100+E101</f>
        <v>10247898146</v>
      </c>
      <c r="F102" s="486">
        <f t="shared" si="33"/>
        <v>8702943760</v>
      </c>
      <c r="G102" s="486">
        <f t="shared" si="33"/>
        <v>350530723</v>
      </c>
      <c r="H102" s="486">
        <f t="shared" si="33"/>
        <v>2358161992</v>
      </c>
      <c r="I102" s="486">
        <f t="shared" si="33"/>
        <v>3642512204</v>
      </c>
      <c r="J102" s="486">
        <f t="shared" si="33"/>
        <v>990618499</v>
      </c>
      <c r="K102" s="486">
        <f t="shared" si="33"/>
        <v>181099911</v>
      </c>
      <c r="L102" s="486">
        <f>L100+L101</f>
        <v>10287745194</v>
      </c>
      <c r="M102" s="486">
        <f t="shared" ref="M102:R102" si="34">M100+M101</f>
        <v>0</v>
      </c>
      <c r="N102" s="486">
        <f t="shared" si="34"/>
        <v>0</v>
      </c>
      <c r="O102" s="486">
        <f t="shared" si="34"/>
        <v>0</v>
      </c>
      <c r="P102" s="486">
        <f t="shared" si="34"/>
        <v>0</v>
      </c>
      <c r="Q102" s="486">
        <f t="shared" si="34"/>
        <v>0</v>
      </c>
      <c r="R102" s="486">
        <f t="shared" si="34"/>
        <v>0</v>
      </c>
      <c r="S102" s="871"/>
      <c r="T102" s="486" t="e">
        <f t="shared" ref="T102:AE102" si="35">+T100+T101</f>
        <v>#REF!</v>
      </c>
      <c r="U102" s="486" t="e">
        <f t="shared" si="35"/>
        <v>#REF!</v>
      </c>
      <c r="V102" s="486" t="e">
        <f t="shared" si="35"/>
        <v>#REF!</v>
      </c>
      <c r="W102" s="486" t="e">
        <f t="shared" si="35"/>
        <v>#REF!</v>
      </c>
      <c r="X102" s="486" t="e">
        <f t="shared" si="35"/>
        <v>#REF!</v>
      </c>
      <c r="Y102" s="486" t="e">
        <f t="shared" si="35"/>
        <v>#REF!</v>
      </c>
      <c r="Z102" s="486" t="e">
        <f t="shared" si="35"/>
        <v>#REF!</v>
      </c>
      <c r="AA102" s="486" t="e">
        <f t="shared" si="35"/>
        <v>#REF!</v>
      </c>
      <c r="AB102" s="486" t="e">
        <f t="shared" si="35"/>
        <v>#REF!</v>
      </c>
      <c r="AC102" s="486" t="e">
        <f t="shared" si="35"/>
        <v>#REF!</v>
      </c>
      <c r="AD102" s="486" t="e">
        <f t="shared" si="35"/>
        <v>#REF!</v>
      </c>
      <c r="AE102" s="486" t="e">
        <f t="shared" si="35"/>
        <v>#REF!</v>
      </c>
      <c r="AF102" s="871"/>
      <c r="AG102" s="878"/>
      <c r="AH102" s="879"/>
      <c r="AI102" s="879"/>
      <c r="AJ102" s="879"/>
      <c r="AK102" s="879"/>
      <c r="AL102" s="879"/>
      <c r="AM102" s="879"/>
      <c r="AN102" s="879"/>
      <c r="AO102" s="879"/>
      <c r="AP102" s="879"/>
      <c r="AQ102" s="879"/>
      <c r="AR102" s="879"/>
      <c r="AS102" s="879"/>
      <c r="AT102" s="879"/>
      <c r="AU102" s="879"/>
      <c r="AV102" s="879"/>
      <c r="AW102" s="879"/>
      <c r="AX102" s="879"/>
      <c r="AY102" s="880"/>
    </row>
    <row r="103" spans="1:51" x14ac:dyDescent="0.25">
      <c r="A103" s="27"/>
      <c r="B103" s="27"/>
      <c r="C103" s="27"/>
      <c r="D103" s="27"/>
      <c r="E103" s="28"/>
      <c r="F103" s="159"/>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116"/>
      <c r="AE103" s="27"/>
      <c r="AF103" s="27"/>
      <c r="AG103" s="27"/>
      <c r="AH103" s="27"/>
      <c r="AI103" s="27"/>
      <c r="AJ103" s="27"/>
      <c r="AK103" s="27"/>
      <c r="AL103" s="27"/>
      <c r="AM103" s="27"/>
      <c r="AN103" s="27"/>
      <c r="AO103" s="27"/>
      <c r="AP103" s="51"/>
      <c r="AQ103" s="51"/>
      <c r="AR103" s="27"/>
      <c r="AS103" s="27"/>
      <c r="AT103" s="27"/>
      <c r="AU103" s="27"/>
      <c r="AV103" s="27"/>
      <c r="AW103" s="27"/>
      <c r="AX103" s="51"/>
    </row>
    <row r="104" spans="1:51" ht="18" x14ac:dyDescent="0.25">
      <c r="A104" s="29" t="s">
        <v>35</v>
      </c>
      <c r="B104" s="27"/>
      <c r="C104" s="27"/>
      <c r="D104" s="27"/>
      <c r="E104" s="28"/>
      <c r="F104" s="159"/>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116"/>
      <c r="AE104" s="27"/>
      <c r="AF104" s="27"/>
      <c r="AG104" s="27"/>
      <c r="AH104" s="27"/>
      <c r="AI104" s="27"/>
      <c r="AJ104" s="30"/>
      <c r="AK104" s="30"/>
      <c r="AL104" s="30"/>
      <c r="AM104" s="30"/>
      <c r="AN104" s="30"/>
      <c r="AO104" s="30"/>
      <c r="AP104" s="52"/>
      <c r="AQ104" s="52"/>
      <c r="AR104" s="31"/>
      <c r="AS104" s="31"/>
      <c r="AT104" s="31"/>
      <c r="AU104" s="31"/>
      <c r="AV104" s="31"/>
      <c r="AW104" s="31"/>
      <c r="AX104" s="31"/>
    </row>
    <row r="105" spans="1:51" ht="18" x14ac:dyDescent="0.25">
      <c r="A105" s="32" t="s">
        <v>36</v>
      </c>
      <c r="B105" s="857" t="s">
        <v>37</v>
      </c>
      <c r="C105" s="858"/>
      <c r="D105" s="859"/>
      <c r="E105" s="860" t="s">
        <v>38</v>
      </c>
      <c r="F105" s="860"/>
      <c r="G105" s="860"/>
      <c r="H105" s="860"/>
      <c r="I105" s="860"/>
      <c r="J105" s="860"/>
      <c r="K105" s="860"/>
      <c r="L105" s="860"/>
      <c r="M105" s="860"/>
      <c r="N105" s="860"/>
      <c r="O105" s="860"/>
      <c r="P105" s="860"/>
      <c r="Q105" s="860"/>
      <c r="R105" s="860"/>
      <c r="S105" s="27"/>
      <c r="T105" s="27"/>
      <c r="U105" s="27"/>
      <c r="V105" s="27"/>
      <c r="W105" s="27"/>
      <c r="X105" s="27"/>
      <c r="Y105" s="27"/>
      <c r="Z105" s="27"/>
      <c r="AA105" s="27"/>
      <c r="AB105" s="27"/>
      <c r="AC105" s="27"/>
      <c r="AD105" s="116"/>
      <c r="AE105" s="27"/>
      <c r="AF105" s="27"/>
      <c r="AG105" s="27"/>
      <c r="AH105" s="27"/>
      <c r="AI105" s="27"/>
      <c r="AJ105" s="30"/>
      <c r="AK105" s="30"/>
      <c r="AL105" s="30"/>
      <c r="AM105" s="30"/>
      <c r="AN105" s="30"/>
      <c r="AO105" s="30"/>
      <c r="AP105" s="52"/>
      <c r="AQ105" s="52"/>
      <c r="AR105" s="30"/>
      <c r="AS105" s="30"/>
      <c r="AT105" s="30"/>
      <c r="AU105" s="30"/>
      <c r="AV105" s="30"/>
      <c r="AW105" s="30"/>
      <c r="AX105" s="52"/>
    </row>
    <row r="106" spans="1:51" ht="18" x14ac:dyDescent="0.25">
      <c r="A106" s="591">
        <v>13</v>
      </c>
      <c r="B106" s="861" t="s">
        <v>97</v>
      </c>
      <c r="C106" s="862"/>
      <c r="D106" s="863"/>
      <c r="E106" s="864" t="s">
        <v>88</v>
      </c>
      <c r="F106" s="864"/>
      <c r="G106" s="864"/>
      <c r="H106" s="864"/>
      <c r="I106" s="864"/>
      <c r="J106" s="864"/>
      <c r="K106" s="864"/>
      <c r="L106" s="864"/>
      <c r="M106" s="864"/>
      <c r="N106" s="864"/>
      <c r="O106" s="864"/>
      <c r="P106" s="864"/>
      <c r="Q106" s="864"/>
      <c r="R106" s="864"/>
      <c r="S106" s="27"/>
      <c r="T106" s="27"/>
      <c r="U106" s="27"/>
      <c r="V106" s="27"/>
      <c r="W106" s="27"/>
      <c r="X106" s="27"/>
      <c r="Y106" s="27"/>
      <c r="Z106" s="27"/>
      <c r="AA106" s="27"/>
      <c r="AB106" s="27"/>
      <c r="AC106" s="27"/>
      <c r="AD106" s="116"/>
      <c r="AE106" s="27"/>
      <c r="AF106" s="27"/>
      <c r="AG106" s="27"/>
      <c r="AH106" s="27"/>
      <c r="AI106" s="27"/>
      <c r="AJ106" s="30"/>
      <c r="AK106" s="30"/>
      <c r="AL106" s="30"/>
      <c r="AM106" s="30"/>
      <c r="AN106" s="30"/>
      <c r="AO106" s="30"/>
      <c r="AP106" s="52"/>
      <c r="AQ106" s="52"/>
      <c r="AR106" s="30"/>
      <c r="AS106" s="30"/>
      <c r="AT106" s="30"/>
      <c r="AU106" s="30"/>
      <c r="AV106" s="30"/>
      <c r="AW106" s="30"/>
      <c r="AX106" s="52"/>
    </row>
    <row r="107" spans="1:51" x14ac:dyDescent="0.25">
      <c r="A107" s="591">
        <v>14</v>
      </c>
      <c r="B107" s="861" t="s">
        <v>351</v>
      </c>
      <c r="C107" s="862"/>
      <c r="D107" s="863"/>
      <c r="E107" s="864"/>
      <c r="F107" s="864"/>
      <c r="G107" s="864"/>
      <c r="H107" s="864"/>
      <c r="I107" s="864"/>
      <c r="J107" s="864"/>
      <c r="K107" s="864"/>
      <c r="L107" s="864"/>
      <c r="M107" s="864"/>
      <c r="N107" s="864"/>
      <c r="O107" s="864"/>
      <c r="P107" s="864"/>
      <c r="Q107" s="864"/>
      <c r="R107" s="864"/>
      <c r="S107" s="27"/>
      <c r="T107" s="27"/>
      <c r="U107" s="27"/>
      <c r="V107" s="27"/>
      <c r="W107" s="27"/>
      <c r="X107" s="27"/>
      <c r="Y107" s="27"/>
      <c r="Z107" s="27"/>
      <c r="AA107" s="27"/>
      <c r="AB107" s="27"/>
      <c r="AC107" s="27"/>
      <c r="AD107" s="116"/>
      <c r="AE107" s="27"/>
      <c r="AF107" s="27"/>
      <c r="AG107" s="27"/>
      <c r="AH107" s="27"/>
      <c r="AI107" s="27"/>
      <c r="AJ107" s="27"/>
      <c r="AK107" s="27"/>
      <c r="AL107" s="27"/>
      <c r="AM107" s="27"/>
      <c r="AN107" s="27"/>
      <c r="AO107" s="27"/>
      <c r="AP107" s="51"/>
      <c r="AQ107" s="51"/>
      <c r="AR107" s="27"/>
      <c r="AS107" s="27"/>
      <c r="AT107" s="27"/>
      <c r="AU107" s="27"/>
      <c r="AV107" s="27"/>
      <c r="AW107" s="27"/>
      <c r="AX107" s="51"/>
    </row>
    <row r="108" spans="1:51" ht="15.75" x14ac:dyDescent="0.25">
      <c r="A108" s="33"/>
      <c r="B108" s="33"/>
      <c r="C108" s="33"/>
      <c r="D108" s="33"/>
      <c r="E108" s="35"/>
      <c r="F108" s="35"/>
      <c r="G108" s="35"/>
      <c r="H108" s="35"/>
      <c r="I108" s="35"/>
      <c r="J108" s="35"/>
      <c r="K108" s="35"/>
      <c r="L108" s="35"/>
      <c r="M108" s="35"/>
      <c r="N108" s="35"/>
      <c r="O108" s="35"/>
      <c r="P108" s="35"/>
      <c r="Q108" s="35"/>
      <c r="R108" s="33"/>
      <c r="S108" s="33"/>
      <c r="T108" s="33"/>
      <c r="U108" s="33"/>
      <c r="V108" s="33"/>
      <c r="W108" s="33"/>
      <c r="X108" s="33"/>
      <c r="Y108" s="33"/>
      <c r="Z108" s="33"/>
      <c r="AA108" s="33"/>
      <c r="AB108" s="33"/>
      <c r="AC108" s="33"/>
      <c r="AD108" s="593"/>
      <c r="AE108" s="33"/>
      <c r="AF108" s="33"/>
      <c r="AG108" s="33"/>
      <c r="AH108" s="33"/>
      <c r="AI108" s="33"/>
      <c r="AJ108" s="33"/>
      <c r="AK108" s="33"/>
      <c r="AL108" s="33"/>
      <c r="AM108" s="33"/>
      <c r="AN108" s="33"/>
      <c r="AO108" s="33"/>
      <c r="AP108" s="33"/>
      <c r="AQ108" s="33"/>
      <c r="AR108" s="33"/>
      <c r="AS108" s="33"/>
      <c r="AT108" s="33"/>
      <c r="AU108" s="33"/>
      <c r="AV108" s="33"/>
      <c r="AW108" s="33"/>
      <c r="AX108" s="33"/>
    </row>
    <row r="109" spans="1:51" x14ac:dyDescent="0.25">
      <c r="A109" s="33"/>
      <c r="B109" s="33"/>
      <c r="C109" s="33"/>
      <c r="D109" s="33"/>
      <c r="E109" s="33"/>
      <c r="F109" s="160"/>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594"/>
      <c r="AE109" s="33"/>
      <c r="AF109" s="33"/>
      <c r="AG109" s="33"/>
      <c r="AH109" s="33"/>
      <c r="AI109" s="33"/>
      <c r="AJ109" s="33"/>
      <c r="AK109" s="33"/>
      <c r="AL109" s="33"/>
      <c r="AM109" s="33"/>
      <c r="AN109" s="33"/>
      <c r="AO109" s="33"/>
      <c r="AP109" s="33"/>
      <c r="AQ109" s="33"/>
      <c r="AR109" s="33"/>
      <c r="AS109" s="33"/>
      <c r="AT109" s="33"/>
      <c r="AU109" s="33"/>
      <c r="AV109" s="33"/>
      <c r="AW109" s="33"/>
      <c r="AX109" s="33"/>
    </row>
    <row r="110" spans="1:51" x14ac:dyDescent="0.25">
      <c r="A110" s="33"/>
      <c r="B110" s="33"/>
      <c r="C110" s="33"/>
      <c r="D110" s="33"/>
      <c r="E110" s="34"/>
      <c r="F110" s="161"/>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593"/>
      <c r="AE110" s="33"/>
      <c r="AF110" s="33"/>
      <c r="AG110" s="33"/>
      <c r="AH110" s="33"/>
      <c r="AI110" s="33"/>
      <c r="AJ110" s="33"/>
      <c r="AK110" s="33"/>
      <c r="AL110" s="33"/>
      <c r="AM110" s="33"/>
      <c r="AN110" s="33"/>
      <c r="AO110" s="33"/>
      <c r="AP110" s="33"/>
      <c r="AQ110" s="33"/>
      <c r="AR110" s="33"/>
      <c r="AS110" s="33"/>
      <c r="AT110" s="33"/>
      <c r="AU110" s="33"/>
      <c r="AV110" s="33"/>
      <c r="AW110" s="33"/>
      <c r="AX110" s="33"/>
    </row>
    <row r="111" spans="1:51" x14ac:dyDescent="0.25">
      <c r="A111" s="33"/>
      <c r="B111" s="33"/>
      <c r="C111" s="33"/>
      <c r="D111" s="33"/>
      <c r="E111" s="33"/>
      <c r="F111" s="160"/>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593"/>
      <c r="AE111" s="33"/>
      <c r="AF111" s="33"/>
      <c r="AG111" s="33"/>
      <c r="AH111" s="33"/>
      <c r="AI111" s="33"/>
      <c r="AJ111" s="33"/>
      <c r="AK111" s="33"/>
      <c r="AL111" s="33"/>
      <c r="AM111" s="33"/>
      <c r="AN111" s="33"/>
      <c r="AO111" s="33"/>
      <c r="AP111" s="33"/>
      <c r="AQ111" s="33"/>
      <c r="AR111" s="33"/>
      <c r="AS111" s="33"/>
      <c r="AT111" s="33"/>
      <c r="AU111" s="33"/>
      <c r="AV111" s="33"/>
      <c r="AW111" s="33"/>
      <c r="AX111" s="33"/>
    </row>
    <row r="112" spans="1:51" x14ac:dyDescent="0.25">
      <c r="A112" s="33"/>
      <c r="B112" s="33"/>
      <c r="C112" s="33"/>
      <c r="D112" s="33"/>
      <c r="E112" s="33"/>
      <c r="F112" s="160"/>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593"/>
      <c r="AE112" s="33"/>
      <c r="AF112" s="33"/>
      <c r="AG112" s="33"/>
      <c r="AH112" s="33"/>
      <c r="AI112" s="33"/>
      <c r="AJ112" s="33"/>
      <c r="AK112" s="33"/>
      <c r="AL112" s="33"/>
      <c r="AM112" s="33"/>
      <c r="AN112" s="33"/>
      <c r="AO112" s="33"/>
      <c r="AP112" s="33"/>
      <c r="AQ112" s="33"/>
      <c r="AR112" s="33"/>
      <c r="AS112" s="33"/>
      <c r="AT112" s="33"/>
      <c r="AU112" s="33"/>
      <c r="AV112" s="33"/>
      <c r="AW112" s="33"/>
      <c r="AX112" s="33"/>
    </row>
    <row r="113" spans="1:50" x14ac:dyDescent="0.25">
      <c r="A113" s="33"/>
      <c r="B113" s="33"/>
      <c r="C113" s="33"/>
      <c r="D113" s="33"/>
      <c r="E113" s="33"/>
      <c r="F113" s="160"/>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593"/>
      <c r="AE113" s="33"/>
      <c r="AF113" s="33"/>
      <c r="AG113" s="33"/>
      <c r="AH113" s="33"/>
      <c r="AI113" s="33"/>
      <c r="AJ113" s="33"/>
      <c r="AK113" s="33"/>
      <c r="AL113" s="33"/>
      <c r="AM113" s="33"/>
      <c r="AN113" s="33"/>
      <c r="AO113" s="33"/>
      <c r="AP113" s="33"/>
      <c r="AQ113" s="33"/>
      <c r="AR113" s="33"/>
      <c r="AS113" s="33"/>
      <c r="AT113" s="33"/>
      <c r="AU113" s="33"/>
      <c r="AV113" s="33"/>
      <c r="AW113" s="33"/>
      <c r="AX113" s="33"/>
    </row>
    <row r="114" spans="1:50" x14ac:dyDescent="0.25">
      <c r="A114" s="33"/>
      <c r="B114" s="33"/>
      <c r="C114" s="33"/>
      <c r="D114" s="33"/>
      <c r="E114" s="33"/>
      <c r="F114" s="160"/>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593"/>
      <c r="AE114" s="33"/>
      <c r="AF114" s="33"/>
      <c r="AG114" s="33"/>
      <c r="AH114" s="33"/>
      <c r="AI114" s="33"/>
      <c r="AJ114" s="33"/>
      <c r="AK114" s="33"/>
      <c r="AL114" s="33"/>
      <c r="AM114" s="33"/>
      <c r="AN114" s="33"/>
      <c r="AO114" s="33"/>
      <c r="AP114" s="33"/>
      <c r="AQ114" s="33"/>
      <c r="AR114" s="33"/>
      <c r="AS114" s="33"/>
      <c r="AT114" s="33"/>
      <c r="AU114" s="33"/>
      <c r="AV114" s="33"/>
      <c r="AW114" s="33"/>
      <c r="AX114" s="33"/>
    </row>
    <row r="115" spans="1:50" x14ac:dyDescent="0.25">
      <c r="A115" s="33"/>
      <c r="B115" s="33"/>
      <c r="C115" s="33"/>
      <c r="D115" s="33"/>
      <c r="E115" s="33"/>
      <c r="F115" s="160"/>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593"/>
      <c r="AE115" s="33"/>
      <c r="AF115" s="33"/>
      <c r="AG115" s="33"/>
      <c r="AH115" s="33"/>
      <c r="AI115" s="33"/>
      <c r="AJ115" s="33"/>
      <c r="AK115" s="33"/>
      <c r="AL115" s="33"/>
      <c r="AM115" s="33"/>
      <c r="AN115" s="33"/>
      <c r="AO115" s="33"/>
      <c r="AP115" s="33"/>
      <c r="AQ115" s="33"/>
      <c r="AR115" s="33"/>
      <c r="AS115" s="33"/>
      <c r="AT115" s="33"/>
      <c r="AU115" s="33"/>
      <c r="AV115" s="33"/>
      <c r="AW115" s="33"/>
      <c r="AX115" s="33"/>
    </row>
    <row r="116" spans="1:50" x14ac:dyDescent="0.25">
      <c r="A116" s="33"/>
      <c r="B116" s="33"/>
      <c r="C116" s="33"/>
      <c r="D116" s="33"/>
      <c r="E116" s="33"/>
      <c r="F116" s="160"/>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593"/>
      <c r="AE116" s="33"/>
      <c r="AF116" s="33"/>
      <c r="AG116" s="33"/>
      <c r="AH116" s="33"/>
      <c r="AI116" s="33"/>
      <c r="AJ116" s="33"/>
      <c r="AK116" s="33"/>
      <c r="AL116" s="33"/>
      <c r="AM116" s="33"/>
      <c r="AN116" s="33"/>
      <c r="AO116" s="33"/>
      <c r="AP116" s="33"/>
      <c r="AQ116" s="33"/>
      <c r="AR116" s="33"/>
      <c r="AS116" s="33"/>
      <c r="AT116" s="33"/>
      <c r="AU116" s="33"/>
      <c r="AV116" s="33"/>
      <c r="AW116" s="33"/>
      <c r="AX116" s="33"/>
    </row>
    <row r="117" spans="1:50" x14ac:dyDescent="0.25">
      <c r="A117" s="33"/>
      <c r="B117" s="33"/>
      <c r="C117" s="33"/>
      <c r="D117" s="33"/>
      <c r="E117" s="33"/>
      <c r="F117" s="160"/>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593"/>
      <c r="AE117" s="33"/>
      <c r="AF117" s="33"/>
      <c r="AG117" s="33"/>
      <c r="AH117" s="33"/>
      <c r="AI117" s="33"/>
      <c r="AJ117" s="33"/>
      <c r="AK117" s="33"/>
      <c r="AL117" s="33"/>
      <c r="AM117" s="33"/>
      <c r="AN117" s="33"/>
      <c r="AO117" s="33"/>
      <c r="AP117" s="33"/>
      <c r="AQ117" s="33"/>
      <c r="AR117" s="33"/>
      <c r="AS117" s="33"/>
      <c r="AT117" s="33"/>
      <c r="AU117" s="33"/>
      <c r="AV117" s="33"/>
      <c r="AW117" s="33"/>
      <c r="AX117" s="33"/>
    </row>
    <row r="118" spans="1:50" x14ac:dyDescent="0.25">
      <c r="R118" s="33"/>
      <c r="S118" s="33"/>
      <c r="T118" s="33"/>
      <c r="U118" s="33"/>
      <c r="V118" s="33"/>
      <c r="W118" s="33"/>
      <c r="X118" s="33"/>
      <c r="Y118" s="33"/>
      <c r="Z118" s="33"/>
      <c r="AA118" s="33"/>
      <c r="AB118" s="33"/>
      <c r="AC118" s="33"/>
      <c r="AD118" s="593"/>
    </row>
    <row r="119" spans="1:50" x14ac:dyDescent="0.25">
      <c r="R119" s="33"/>
      <c r="S119" s="33"/>
      <c r="T119" s="33"/>
      <c r="U119" s="33"/>
      <c r="V119" s="33"/>
      <c r="W119" s="33"/>
      <c r="X119" s="33"/>
      <c r="Y119" s="33"/>
      <c r="Z119" s="33"/>
      <c r="AA119" s="33"/>
      <c r="AB119" s="33"/>
      <c r="AC119" s="33"/>
      <c r="AD119" s="593"/>
    </row>
    <row r="120" spans="1:50" x14ac:dyDescent="0.25">
      <c r="R120" s="33"/>
      <c r="S120" s="33"/>
      <c r="T120" s="33"/>
      <c r="U120" s="33"/>
      <c r="V120" s="33"/>
      <c r="W120" s="33"/>
      <c r="X120" s="33"/>
      <c r="Y120" s="33"/>
      <c r="Z120" s="33"/>
      <c r="AA120" s="33"/>
      <c r="AB120" s="33"/>
      <c r="AC120" s="33"/>
      <c r="AD120" s="593"/>
    </row>
    <row r="121" spans="1:50" x14ac:dyDescent="0.25">
      <c r="R121" s="33"/>
      <c r="S121" s="33"/>
      <c r="T121" s="33"/>
      <c r="U121" s="33"/>
      <c r="V121" s="33"/>
      <c r="W121" s="33"/>
      <c r="X121" s="33"/>
      <c r="Y121" s="33"/>
      <c r="Z121" s="33"/>
      <c r="AA121" s="33"/>
      <c r="AB121" s="33"/>
      <c r="AC121" s="33"/>
      <c r="AD121" s="593"/>
    </row>
    <row r="122" spans="1:50" x14ac:dyDescent="0.25">
      <c r="R122" s="33"/>
      <c r="S122" s="33"/>
      <c r="T122" s="33"/>
      <c r="U122" s="33"/>
      <c r="V122" s="33"/>
      <c r="W122" s="33"/>
      <c r="X122" s="33"/>
      <c r="Y122" s="33"/>
      <c r="Z122" s="33"/>
      <c r="AA122" s="33"/>
      <c r="AB122" s="33"/>
      <c r="AC122" s="33"/>
      <c r="AD122" s="593"/>
    </row>
    <row r="123" spans="1:50" x14ac:dyDescent="0.25">
      <c r="R123" s="33"/>
      <c r="S123" s="33"/>
      <c r="T123" s="33"/>
      <c r="U123" s="33"/>
      <c r="V123" s="33"/>
      <c r="W123" s="33"/>
      <c r="X123" s="33"/>
      <c r="Y123" s="33"/>
      <c r="Z123" s="33"/>
      <c r="AA123" s="33"/>
      <c r="AB123" s="33"/>
      <c r="AC123" s="33"/>
      <c r="AD123" s="593"/>
    </row>
    <row r="124" spans="1:50" x14ac:dyDescent="0.25">
      <c r="R124" s="33"/>
      <c r="S124" s="33"/>
      <c r="T124" s="33"/>
      <c r="U124" s="33"/>
      <c r="V124" s="33"/>
      <c r="W124" s="33"/>
      <c r="X124" s="33"/>
      <c r="Y124" s="33"/>
      <c r="Z124" s="33"/>
      <c r="AA124" s="33"/>
      <c r="AB124" s="33"/>
      <c r="AC124" s="33"/>
      <c r="AD124" s="593"/>
    </row>
    <row r="125" spans="1:50" x14ac:dyDescent="0.25">
      <c r="R125" s="33"/>
      <c r="S125" s="33"/>
      <c r="T125" s="33"/>
      <c r="U125" s="33"/>
      <c r="V125" s="33"/>
      <c r="W125" s="33"/>
      <c r="X125" s="33"/>
      <c r="Y125" s="33"/>
      <c r="Z125" s="33"/>
      <c r="AA125" s="33"/>
      <c r="AB125" s="33"/>
      <c r="AC125" s="33"/>
      <c r="AD125" s="593"/>
    </row>
    <row r="126" spans="1:50" x14ac:dyDescent="0.25">
      <c r="R126" s="33"/>
      <c r="S126" s="33"/>
      <c r="T126" s="33"/>
      <c r="U126" s="33"/>
      <c r="V126" s="33"/>
      <c r="W126" s="33"/>
      <c r="X126" s="33"/>
      <c r="Y126" s="33"/>
      <c r="Z126" s="33"/>
      <c r="AA126" s="33"/>
      <c r="AB126" s="33"/>
      <c r="AC126" s="33"/>
      <c r="AD126" s="593"/>
    </row>
    <row r="127" spans="1:50" x14ac:dyDescent="0.25">
      <c r="R127" s="33"/>
      <c r="S127" s="33"/>
      <c r="T127" s="33"/>
      <c r="U127" s="33"/>
      <c r="V127" s="33"/>
      <c r="W127" s="33"/>
      <c r="X127" s="33"/>
      <c r="Y127" s="33"/>
      <c r="Z127" s="33"/>
      <c r="AA127" s="33"/>
      <c r="AB127" s="33"/>
      <c r="AC127" s="33"/>
      <c r="AD127" s="593"/>
    </row>
    <row r="128" spans="1:50" x14ac:dyDescent="0.25">
      <c r="R128" s="33"/>
      <c r="S128" s="33"/>
      <c r="T128" s="33"/>
      <c r="U128" s="33"/>
      <c r="V128" s="33"/>
      <c r="W128" s="33"/>
      <c r="X128" s="33"/>
      <c r="Y128" s="33"/>
      <c r="Z128" s="33"/>
      <c r="AA128" s="33"/>
      <c r="AB128" s="33"/>
      <c r="AC128" s="33"/>
      <c r="AD128" s="593"/>
    </row>
    <row r="129" spans="18:30" x14ac:dyDescent="0.25">
      <c r="R129" s="33"/>
      <c r="S129" s="33"/>
      <c r="T129" s="33"/>
      <c r="U129" s="33"/>
      <c r="V129" s="33"/>
      <c r="W129" s="33"/>
      <c r="X129" s="33"/>
      <c r="Y129" s="33"/>
      <c r="Z129" s="33"/>
      <c r="AA129" s="33"/>
      <c r="AB129" s="33"/>
      <c r="AC129" s="33"/>
      <c r="AD129" s="593"/>
    </row>
    <row r="130" spans="18:30" x14ac:dyDescent="0.25">
      <c r="R130" s="33"/>
      <c r="S130" s="33"/>
      <c r="T130" s="33"/>
      <c r="U130" s="33"/>
      <c r="V130" s="33"/>
      <c r="W130" s="33"/>
      <c r="X130" s="33"/>
      <c r="Y130" s="33"/>
      <c r="Z130" s="33"/>
      <c r="AA130" s="33"/>
      <c r="AB130" s="33"/>
      <c r="AC130" s="33"/>
      <c r="AD130" s="593"/>
    </row>
    <row r="131" spans="18:30" x14ac:dyDescent="0.25">
      <c r="R131" s="33"/>
      <c r="S131" s="33"/>
      <c r="T131" s="33"/>
      <c r="U131" s="33"/>
      <c r="V131" s="33"/>
      <c r="W131" s="33"/>
      <c r="X131" s="33"/>
      <c r="Y131" s="33"/>
      <c r="Z131" s="33"/>
      <c r="AA131" s="33"/>
      <c r="AB131" s="33"/>
      <c r="AC131" s="33"/>
      <c r="AD131" s="593"/>
    </row>
    <row r="132" spans="18:30" x14ac:dyDescent="0.25">
      <c r="R132" s="33"/>
      <c r="S132" s="33"/>
      <c r="T132" s="33"/>
      <c r="U132" s="33"/>
      <c r="V132" s="33"/>
      <c r="W132" s="33"/>
      <c r="X132" s="33"/>
      <c r="Y132" s="33"/>
      <c r="Z132" s="33"/>
      <c r="AA132" s="33"/>
      <c r="AB132" s="33"/>
      <c r="AC132" s="33"/>
      <c r="AD132" s="593"/>
    </row>
    <row r="133" spans="18:30" x14ac:dyDescent="0.25">
      <c r="R133" s="33"/>
      <c r="S133" s="33"/>
      <c r="T133" s="33"/>
      <c r="U133" s="33"/>
      <c r="V133" s="33"/>
      <c r="W133" s="33"/>
      <c r="X133" s="33"/>
      <c r="Y133" s="33"/>
      <c r="Z133" s="33"/>
      <c r="AA133" s="33"/>
      <c r="AB133" s="33"/>
      <c r="AC133" s="33"/>
      <c r="AD133" s="593"/>
    </row>
    <row r="134" spans="18:30" x14ac:dyDescent="0.25">
      <c r="R134" s="33"/>
      <c r="S134" s="33"/>
      <c r="T134" s="33"/>
      <c r="U134" s="33"/>
      <c r="V134" s="33"/>
      <c r="W134" s="33"/>
      <c r="X134" s="33"/>
      <c r="Y134" s="33"/>
      <c r="Z134" s="33"/>
      <c r="AA134" s="33"/>
      <c r="AB134" s="33"/>
      <c r="AC134" s="33"/>
      <c r="AD134" s="593"/>
    </row>
    <row r="135" spans="18:30" x14ac:dyDescent="0.25">
      <c r="R135" s="33"/>
      <c r="S135" s="33"/>
      <c r="T135" s="33"/>
      <c r="U135" s="33"/>
      <c r="V135" s="33"/>
      <c r="W135" s="33"/>
      <c r="X135" s="33"/>
      <c r="Y135" s="33"/>
      <c r="Z135" s="33"/>
      <c r="AA135" s="33"/>
      <c r="AB135" s="33"/>
      <c r="AC135" s="33"/>
      <c r="AD135" s="593"/>
    </row>
    <row r="136" spans="18:30" x14ac:dyDescent="0.25">
      <c r="R136" s="33"/>
      <c r="S136" s="33"/>
      <c r="T136" s="33"/>
      <c r="U136" s="33"/>
      <c r="V136" s="33"/>
      <c r="W136" s="33"/>
      <c r="X136" s="33"/>
      <c r="Y136" s="33"/>
      <c r="Z136" s="33"/>
      <c r="AA136" s="33"/>
      <c r="AB136" s="33"/>
      <c r="AC136" s="33"/>
      <c r="AD136" s="593"/>
    </row>
    <row r="137" spans="18:30" x14ac:dyDescent="0.25">
      <c r="R137" s="33"/>
      <c r="S137" s="33"/>
      <c r="T137" s="33"/>
      <c r="U137" s="33"/>
      <c r="V137" s="33"/>
      <c r="W137" s="33"/>
      <c r="X137" s="33"/>
      <c r="Y137" s="33"/>
      <c r="Z137" s="33"/>
      <c r="AA137" s="33"/>
      <c r="AB137" s="33"/>
      <c r="AC137" s="33"/>
      <c r="AD137" s="593"/>
    </row>
    <row r="138" spans="18:30" x14ac:dyDescent="0.25">
      <c r="R138" s="33"/>
      <c r="S138" s="33"/>
      <c r="T138" s="33"/>
      <c r="U138" s="33"/>
      <c r="V138" s="33"/>
      <c r="W138" s="33"/>
      <c r="X138" s="33"/>
      <c r="Y138" s="33"/>
      <c r="Z138" s="33"/>
      <c r="AA138" s="33"/>
      <c r="AB138" s="33"/>
      <c r="AC138" s="33"/>
      <c r="AD138" s="593"/>
    </row>
    <row r="139" spans="18:30" x14ac:dyDescent="0.25">
      <c r="R139" s="33"/>
      <c r="S139" s="33"/>
      <c r="T139" s="33"/>
      <c r="U139" s="33"/>
      <c r="V139" s="33"/>
      <c r="W139" s="33"/>
      <c r="X139" s="33"/>
      <c r="Y139" s="33"/>
      <c r="Z139" s="33"/>
      <c r="AA139" s="33"/>
      <c r="AB139" s="33"/>
      <c r="AC139" s="33"/>
      <c r="AD139" s="593"/>
    </row>
    <row r="140" spans="18:30" x14ac:dyDescent="0.25">
      <c r="R140" s="33"/>
      <c r="S140" s="33"/>
      <c r="T140" s="33"/>
      <c r="U140" s="33"/>
      <c r="V140" s="33"/>
      <c r="W140" s="33"/>
      <c r="X140" s="33"/>
      <c r="Y140" s="33"/>
      <c r="Z140" s="33"/>
      <c r="AA140" s="33"/>
      <c r="AB140" s="33"/>
      <c r="AC140" s="33"/>
      <c r="AD140" s="593"/>
    </row>
    <row r="141" spans="18:30" x14ac:dyDescent="0.25">
      <c r="R141" s="33"/>
      <c r="S141" s="33"/>
      <c r="T141" s="33"/>
      <c r="U141" s="33"/>
      <c r="V141" s="33"/>
      <c r="W141" s="33"/>
      <c r="X141" s="33"/>
      <c r="Y141" s="33"/>
      <c r="Z141" s="33"/>
      <c r="AA141" s="33"/>
      <c r="AB141" s="33"/>
      <c r="AC141" s="33"/>
      <c r="AD141" s="593"/>
    </row>
    <row r="142" spans="18:30" x14ac:dyDescent="0.25">
      <c r="R142" s="33"/>
      <c r="S142" s="33"/>
      <c r="T142" s="33"/>
      <c r="U142" s="33"/>
      <c r="V142" s="33"/>
      <c r="W142" s="33"/>
      <c r="X142" s="33"/>
      <c r="Y142" s="33"/>
      <c r="Z142" s="33"/>
      <c r="AA142" s="33"/>
      <c r="AB142" s="33"/>
      <c r="AC142" s="33"/>
      <c r="AD142" s="593"/>
    </row>
    <row r="143" spans="18:30" x14ac:dyDescent="0.25">
      <c r="R143" s="33"/>
      <c r="S143" s="33"/>
      <c r="T143" s="33"/>
      <c r="U143" s="33"/>
      <c r="V143" s="33"/>
      <c r="W143" s="33"/>
      <c r="X143" s="33"/>
      <c r="Y143" s="33"/>
      <c r="Z143" s="33"/>
      <c r="AA143" s="33"/>
      <c r="AB143" s="33"/>
      <c r="AC143" s="33"/>
      <c r="AD143" s="593"/>
    </row>
    <row r="144" spans="18:30" x14ac:dyDescent="0.25">
      <c r="R144" s="33"/>
      <c r="S144" s="33"/>
      <c r="T144" s="33"/>
      <c r="U144" s="33"/>
      <c r="V144" s="33"/>
      <c r="W144" s="33"/>
      <c r="X144" s="33"/>
      <c r="Y144" s="33"/>
      <c r="Z144" s="33"/>
      <c r="AA144" s="33"/>
      <c r="AB144" s="33"/>
      <c r="AC144" s="33"/>
      <c r="AD144" s="593"/>
    </row>
    <row r="145" spans="18:30" x14ac:dyDescent="0.25">
      <c r="R145" s="33"/>
      <c r="S145" s="33"/>
      <c r="T145" s="33"/>
      <c r="U145" s="33"/>
      <c r="V145" s="33"/>
      <c r="W145" s="33"/>
      <c r="X145" s="33"/>
      <c r="Y145" s="33"/>
      <c r="Z145" s="33"/>
      <c r="AA145" s="33"/>
      <c r="AB145" s="33"/>
      <c r="AC145" s="33"/>
      <c r="AD145" s="593"/>
    </row>
    <row r="146" spans="18:30" x14ac:dyDescent="0.25">
      <c r="R146" s="33"/>
      <c r="S146" s="33"/>
      <c r="T146" s="33"/>
      <c r="U146" s="33"/>
      <c r="V146" s="33"/>
      <c r="W146" s="33"/>
      <c r="X146" s="33"/>
      <c r="Y146" s="33"/>
      <c r="Z146" s="33"/>
      <c r="AA146" s="33"/>
      <c r="AB146" s="33"/>
      <c r="AC146" s="33"/>
      <c r="AD146" s="593"/>
    </row>
    <row r="147" spans="18:30" x14ac:dyDescent="0.25">
      <c r="R147" s="33"/>
      <c r="S147" s="33"/>
      <c r="T147" s="33"/>
      <c r="U147" s="33"/>
      <c r="V147" s="33"/>
      <c r="W147" s="33"/>
      <c r="X147" s="33"/>
      <c r="Y147" s="33"/>
      <c r="Z147" s="33"/>
      <c r="AA147" s="33"/>
      <c r="AB147" s="33"/>
      <c r="AC147" s="33"/>
      <c r="AD147" s="593"/>
    </row>
    <row r="148" spans="18:30" x14ac:dyDescent="0.25">
      <c r="R148" s="33"/>
      <c r="S148" s="33"/>
      <c r="T148" s="33"/>
      <c r="U148" s="33"/>
      <c r="V148" s="33"/>
      <c r="W148" s="33"/>
      <c r="X148" s="33"/>
      <c r="Y148" s="33"/>
      <c r="Z148" s="33"/>
      <c r="AA148" s="33"/>
      <c r="AB148" s="33"/>
      <c r="AC148" s="33"/>
      <c r="AD148" s="593"/>
    </row>
    <row r="149" spans="18:30" x14ac:dyDescent="0.25">
      <c r="R149" s="33"/>
      <c r="S149" s="33"/>
      <c r="T149" s="33"/>
      <c r="U149" s="33"/>
      <c r="V149" s="33"/>
      <c r="W149" s="33"/>
      <c r="X149" s="33"/>
      <c r="Y149" s="33"/>
      <c r="Z149" s="33"/>
      <c r="AA149" s="33"/>
      <c r="AB149" s="33"/>
      <c r="AC149" s="33"/>
      <c r="AD149" s="593"/>
    </row>
    <row r="150" spans="18:30" x14ac:dyDescent="0.25">
      <c r="R150" s="33"/>
      <c r="S150" s="33"/>
      <c r="T150" s="33"/>
      <c r="U150" s="33"/>
      <c r="V150" s="33"/>
      <c r="W150" s="33"/>
      <c r="X150" s="33"/>
      <c r="Y150" s="33"/>
      <c r="Z150" s="33"/>
      <c r="AA150" s="33"/>
      <c r="AB150" s="33"/>
      <c r="AC150" s="33"/>
      <c r="AD150" s="593"/>
    </row>
    <row r="151" spans="18:30" x14ac:dyDescent="0.25">
      <c r="R151" s="33"/>
      <c r="S151" s="33"/>
      <c r="T151" s="33"/>
      <c r="U151" s="33"/>
      <c r="V151" s="33"/>
      <c r="W151" s="33"/>
      <c r="X151" s="33"/>
      <c r="Y151" s="33"/>
      <c r="Z151" s="33"/>
      <c r="AA151" s="33"/>
      <c r="AB151" s="33"/>
      <c r="AC151" s="33"/>
      <c r="AD151" s="593"/>
    </row>
    <row r="152" spans="18:30" x14ac:dyDescent="0.25">
      <c r="R152" s="33"/>
      <c r="S152" s="33"/>
      <c r="T152" s="33"/>
      <c r="U152" s="33"/>
      <c r="V152" s="33"/>
      <c r="W152" s="33"/>
      <c r="X152" s="33"/>
      <c r="Y152" s="33"/>
      <c r="Z152" s="33"/>
      <c r="AA152" s="33"/>
      <c r="AB152" s="33"/>
      <c r="AC152" s="33"/>
      <c r="AD152" s="593"/>
    </row>
    <row r="153" spans="18:30" x14ac:dyDescent="0.25">
      <c r="R153" s="33"/>
      <c r="S153" s="33"/>
      <c r="T153" s="33"/>
      <c r="U153" s="33"/>
      <c r="V153" s="33"/>
      <c r="W153" s="33"/>
      <c r="X153" s="33"/>
      <c r="Y153" s="33"/>
      <c r="Z153" s="33"/>
      <c r="AA153" s="33"/>
      <c r="AB153" s="33"/>
      <c r="AC153" s="33"/>
      <c r="AD153" s="593"/>
    </row>
    <row r="154" spans="18:30" x14ac:dyDescent="0.25">
      <c r="R154" s="33"/>
      <c r="S154" s="33"/>
      <c r="T154" s="33"/>
      <c r="U154" s="33"/>
      <c r="V154" s="33"/>
      <c r="W154" s="33"/>
      <c r="X154" s="33"/>
      <c r="Y154" s="33"/>
      <c r="Z154" s="33"/>
      <c r="AA154" s="33"/>
      <c r="AB154" s="33"/>
      <c r="AC154" s="33"/>
      <c r="AD154" s="593"/>
    </row>
    <row r="155" spans="18:30" x14ac:dyDescent="0.25">
      <c r="R155" s="33"/>
      <c r="S155" s="33"/>
      <c r="T155" s="33"/>
      <c r="U155" s="33"/>
      <c r="V155" s="33"/>
      <c r="W155" s="33"/>
      <c r="X155" s="33"/>
      <c r="Y155" s="33"/>
      <c r="Z155" s="33"/>
      <c r="AA155" s="33"/>
      <c r="AB155" s="33"/>
      <c r="AC155" s="33"/>
      <c r="AD155" s="593"/>
    </row>
    <row r="156" spans="18:30" x14ac:dyDescent="0.25">
      <c r="R156" s="33"/>
      <c r="S156" s="33"/>
      <c r="T156" s="33"/>
      <c r="U156" s="33"/>
      <c r="V156" s="33"/>
      <c r="W156" s="33"/>
      <c r="X156" s="33"/>
      <c r="Y156" s="33"/>
      <c r="Z156" s="33"/>
      <c r="AA156" s="33"/>
      <c r="AB156" s="33"/>
      <c r="AC156" s="33"/>
      <c r="AD156" s="593"/>
    </row>
    <row r="157" spans="18:30" x14ac:dyDescent="0.25">
      <c r="R157" s="33"/>
      <c r="S157" s="33"/>
      <c r="T157" s="33"/>
      <c r="U157" s="33"/>
      <c r="V157" s="33"/>
      <c r="W157" s="33"/>
      <c r="X157" s="33"/>
      <c r="Y157" s="33"/>
      <c r="Z157" s="33"/>
      <c r="AA157" s="33"/>
      <c r="AB157" s="33"/>
      <c r="AC157" s="33"/>
      <c r="AD157" s="593"/>
    </row>
    <row r="158" spans="18:30" x14ac:dyDescent="0.25">
      <c r="R158" s="33"/>
      <c r="S158" s="33"/>
      <c r="T158" s="33"/>
      <c r="U158" s="33"/>
      <c r="V158" s="33"/>
      <c r="W158" s="33"/>
      <c r="X158" s="33"/>
      <c r="Y158" s="33"/>
      <c r="Z158" s="33"/>
      <c r="AA158" s="33"/>
      <c r="AB158" s="33"/>
      <c r="AC158" s="33"/>
      <c r="AD158" s="593"/>
    </row>
    <row r="159" spans="18:30" x14ac:dyDescent="0.25">
      <c r="R159" s="33"/>
      <c r="S159" s="33"/>
      <c r="T159" s="33"/>
      <c r="U159" s="33"/>
      <c r="V159" s="33"/>
      <c r="W159" s="33"/>
      <c r="X159" s="33"/>
      <c r="Y159" s="33"/>
      <c r="Z159" s="33"/>
      <c r="AA159" s="33"/>
      <c r="AB159" s="33"/>
      <c r="AC159" s="33"/>
      <c r="AD159" s="593"/>
    </row>
    <row r="160" spans="18:30" x14ac:dyDescent="0.25">
      <c r="R160" s="33"/>
      <c r="S160" s="33"/>
      <c r="T160" s="33"/>
      <c r="U160" s="33"/>
      <c r="V160" s="33"/>
      <c r="W160" s="33"/>
      <c r="X160" s="33"/>
      <c r="Y160" s="33"/>
      <c r="Z160" s="33"/>
      <c r="AA160" s="33"/>
      <c r="AB160" s="33"/>
      <c r="AC160" s="33"/>
      <c r="AD160" s="593"/>
    </row>
    <row r="161" spans="18:30" x14ac:dyDescent="0.25">
      <c r="R161" s="33"/>
      <c r="S161" s="33"/>
      <c r="T161" s="33"/>
      <c r="U161" s="33"/>
      <c r="V161" s="33"/>
      <c r="W161" s="33"/>
      <c r="X161" s="33"/>
      <c r="Y161" s="33"/>
      <c r="Z161" s="33"/>
      <c r="AA161" s="33"/>
      <c r="AB161" s="33"/>
      <c r="AC161" s="33"/>
      <c r="AD161" s="593"/>
    </row>
    <row r="162" spans="18:30" x14ac:dyDescent="0.25">
      <c r="R162" s="33"/>
      <c r="S162" s="33"/>
      <c r="T162" s="33"/>
      <c r="U162" s="33"/>
      <c r="V162" s="33"/>
      <c r="W162" s="33"/>
      <c r="X162" s="33"/>
      <c r="Y162" s="33"/>
      <c r="Z162" s="33"/>
      <c r="AA162" s="33"/>
      <c r="AB162" s="33"/>
      <c r="AC162" s="33"/>
      <c r="AD162" s="593"/>
    </row>
    <row r="163" spans="18:30" x14ac:dyDescent="0.25">
      <c r="R163" s="33"/>
      <c r="S163" s="33"/>
      <c r="T163" s="33"/>
      <c r="U163" s="33"/>
      <c r="V163" s="33"/>
      <c r="W163" s="33"/>
      <c r="X163" s="33"/>
      <c r="Y163" s="33"/>
      <c r="Z163" s="33"/>
      <c r="AA163" s="33"/>
      <c r="AB163" s="33"/>
      <c r="AC163" s="33"/>
      <c r="AD163" s="593"/>
    </row>
    <row r="164" spans="18:30" x14ac:dyDescent="0.25">
      <c r="R164" s="33"/>
      <c r="S164" s="33"/>
      <c r="T164" s="33"/>
      <c r="U164" s="33"/>
      <c r="V164" s="33"/>
      <c r="W164" s="33"/>
      <c r="X164" s="33"/>
      <c r="Y164" s="33"/>
      <c r="Z164" s="33"/>
      <c r="AA164" s="33"/>
      <c r="AB164" s="33"/>
      <c r="AC164" s="33"/>
      <c r="AD164" s="593"/>
    </row>
    <row r="165" spans="18:30" x14ac:dyDescent="0.25">
      <c r="R165" s="33"/>
      <c r="S165" s="33"/>
      <c r="T165" s="33"/>
      <c r="U165" s="33"/>
      <c r="V165" s="33"/>
      <c r="W165" s="33"/>
      <c r="X165" s="33"/>
      <c r="Y165" s="33"/>
      <c r="Z165" s="33"/>
      <c r="AA165" s="33"/>
      <c r="AB165" s="33"/>
      <c r="AC165" s="33"/>
      <c r="AD165" s="593"/>
    </row>
    <row r="166" spans="18:30" x14ac:dyDescent="0.25">
      <c r="R166" s="33"/>
      <c r="S166" s="33"/>
      <c r="T166" s="33"/>
      <c r="U166" s="33"/>
      <c r="V166" s="33"/>
      <c r="W166" s="33"/>
      <c r="X166" s="33"/>
      <c r="Y166" s="33"/>
      <c r="Z166" s="33"/>
      <c r="AA166" s="33"/>
      <c r="AB166" s="33"/>
      <c r="AC166" s="33"/>
      <c r="AD166" s="593"/>
    </row>
    <row r="167" spans="18:30" x14ac:dyDescent="0.25">
      <c r="R167" s="33"/>
      <c r="S167" s="33"/>
      <c r="T167" s="33"/>
      <c r="U167" s="33"/>
      <c r="V167" s="33"/>
      <c r="W167" s="33"/>
      <c r="X167" s="33"/>
      <c r="Y167" s="33"/>
      <c r="Z167" s="33"/>
      <c r="AA167" s="33"/>
      <c r="AB167" s="33"/>
      <c r="AC167" s="33"/>
      <c r="AD167" s="593"/>
    </row>
    <row r="168" spans="18:30" x14ac:dyDescent="0.25">
      <c r="R168" s="33"/>
      <c r="S168" s="33"/>
      <c r="T168" s="33"/>
      <c r="U168" s="33"/>
      <c r="V168" s="33"/>
      <c r="W168" s="33"/>
      <c r="X168" s="33"/>
      <c r="Y168" s="33"/>
      <c r="Z168" s="33"/>
      <c r="AA168" s="33"/>
      <c r="AB168" s="33"/>
      <c r="AC168" s="33"/>
      <c r="AD168" s="593"/>
    </row>
    <row r="169" spans="18:30" x14ac:dyDescent="0.25">
      <c r="R169" s="33"/>
      <c r="S169" s="33"/>
      <c r="T169" s="33"/>
      <c r="U169" s="33"/>
      <c r="V169" s="33"/>
      <c r="W169" s="33"/>
      <c r="X169" s="33"/>
      <c r="Y169" s="33"/>
      <c r="Z169" s="33"/>
      <c r="AA169" s="33"/>
      <c r="AB169" s="33"/>
      <c r="AC169" s="33"/>
      <c r="AD169" s="593"/>
    </row>
    <row r="170" spans="18:30" x14ac:dyDescent="0.25">
      <c r="R170" s="33"/>
      <c r="S170" s="33"/>
      <c r="T170" s="33"/>
      <c r="U170" s="33"/>
      <c r="V170" s="33"/>
      <c r="W170" s="33"/>
      <c r="X170" s="33"/>
      <c r="Y170" s="33"/>
      <c r="Z170" s="33"/>
      <c r="AA170" s="33"/>
      <c r="AB170" s="33"/>
      <c r="AC170" s="33"/>
      <c r="AD170" s="593"/>
    </row>
    <row r="171" spans="18:30" x14ac:dyDescent="0.25">
      <c r="R171" s="33"/>
      <c r="S171" s="33"/>
      <c r="T171" s="33"/>
      <c r="U171" s="33"/>
      <c r="V171" s="33"/>
      <c r="W171" s="33"/>
      <c r="X171" s="33"/>
      <c r="Y171" s="33"/>
      <c r="Z171" s="33"/>
      <c r="AA171" s="33"/>
      <c r="AB171" s="33"/>
      <c r="AC171" s="33"/>
      <c r="AD171" s="593"/>
    </row>
    <row r="172" spans="18:30" x14ac:dyDescent="0.25">
      <c r="R172" s="33"/>
      <c r="S172" s="33"/>
      <c r="T172" s="33"/>
      <c r="U172" s="33"/>
      <c r="V172" s="33"/>
      <c r="W172" s="33"/>
      <c r="X172" s="33"/>
      <c r="Y172" s="33"/>
      <c r="Z172" s="33"/>
      <c r="AA172" s="33"/>
      <c r="AB172" s="33"/>
      <c r="AC172" s="33"/>
      <c r="AD172" s="593"/>
    </row>
    <row r="173" spans="18:30" x14ac:dyDescent="0.25">
      <c r="R173" s="33"/>
      <c r="S173" s="33"/>
      <c r="T173" s="33"/>
      <c r="U173" s="33"/>
      <c r="V173" s="33"/>
      <c r="W173" s="33"/>
      <c r="X173" s="33"/>
      <c r="Y173" s="33"/>
      <c r="Z173" s="33"/>
      <c r="AA173" s="33"/>
      <c r="AB173" s="33"/>
      <c r="AC173" s="33"/>
      <c r="AD173" s="593"/>
    </row>
    <row r="174" spans="18:30" x14ac:dyDescent="0.25">
      <c r="R174" s="33"/>
      <c r="S174" s="33"/>
      <c r="T174" s="33"/>
      <c r="U174" s="33"/>
      <c r="V174" s="33"/>
      <c r="W174" s="33"/>
      <c r="X174" s="33"/>
      <c r="Y174" s="33"/>
      <c r="Z174" s="33"/>
      <c r="AA174" s="33"/>
      <c r="AB174" s="33"/>
      <c r="AC174" s="33"/>
      <c r="AD174" s="593"/>
    </row>
    <row r="175" spans="18:30" x14ac:dyDescent="0.25">
      <c r="R175" s="33"/>
      <c r="S175" s="33"/>
      <c r="T175" s="33"/>
      <c r="U175" s="33"/>
      <c r="V175" s="33"/>
      <c r="W175" s="33"/>
      <c r="X175" s="33"/>
      <c r="Y175" s="33"/>
      <c r="Z175" s="33"/>
      <c r="AA175" s="33"/>
      <c r="AB175" s="33"/>
      <c r="AC175" s="33"/>
      <c r="AD175" s="593"/>
    </row>
    <row r="176" spans="18:30" x14ac:dyDescent="0.25">
      <c r="R176" s="33"/>
      <c r="S176" s="33"/>
      <c r="T176" s="33"/>
      <c r="U176" s="33"/>
      <c r="V176" s="33"/>
      <c r="W176" s="33"/>
      <c r="X176" s="33"/>
      <c r="Y176" s="33"/>
      <c r="Z176" s="33"/>
      <c r="AA176" s="33"/>
      <c r="AB176" s="33"/>
      <c r="AC176" s="33"/>
      <c r="AD176" s="593"/>
    </row>
    <row r="177" spans="18:30" x14ac:dyDescent="0.25">
      <c r="R177" s="33"/>
      <c r="S177" s="33"/>
      <c r="T177" s="33"/>
      <c r="U177" s="33"/>
      <c r="V177" s="33"/>
      <c r="W177" s="33"/>
      <c r="X177" s="33"/>
      <c r="Y177" s="33"/>
      <c r="Z177" s="33"/>
      <c r="AA177" s="33"/>
      <c r="AB177" s="33"/>
      <c r="AC177" s="33"/>
      <c r="AD177" s="593"/>
    </row>
    <row r="178" spans="18:30" x14ac:dyDescent="0.25">
      <c r="R178" s="33"/>
      <c r="S178" s="33"/>
      <c r="T178" s="33"/>
      <c r="U178" s="33"/>
      <c r="V178" s="33"/>
      <c r="W178" s="33"/>
      <c r="X178" s="33"/>
      <c r="Y178" s="33"/>
      <c r="Z178" s="33"/>
      <c r="AA178" s="33"/>
      <c r="AB178" s="33"/>
      <c r="AC178" s="33"/>
      <c r="AD178" s="593"/>
    </row>
    <row r="179" spans="18:30" x14ac:dyDescent="0.25">
      <c r="R179" s="33"/>
      <c r="S179" s="33"/>
      <c r="T179" s="33"/>
      <c r="U179" s="33"/>
      <c r="V179" s="33"/>
      <c r="W179" s="33"/>
      <c r="X179" s="33"/>
      <c r="Y179" s="33"/>
      <c r="Z179" s="33"/>
      <c r="AA179" s="33"/>
      <c r="AB179" s="33"/>
      <c r="AC179" s="33"/>
      <c r="AD179" s="593"/>
    </row>
    <row r="180" spans="18:30" x14ac:dyDescent="0.25">
      <c r="R180" s="33"/>
      <c r="S180" s="33"/>
      <c r="T180" s="33"/>
      <c r="U180" s="33"/>
      <c r="V180" s="33"/>
      <c r="W180" s="33"/>
      <c r="X180" s="33"/>
      <c r="Y180" s="33"/>
      <c r="Z180" s="33"/>
      <c r="AA180" s="33"/>
      <c r="AB180" s="33"/>
      <c r="AC180" s="33"/>
      <c r="AD180" s="593"/>
    </row>
    <row r="181" spans="18:30" x14ac:dyDescent="0.25">
      <c r="R181" s="33"/>
      <c r="S181" s="33"/>
      <c r="T181" s="33"/>
      <c r="U181" s="33"/>
      <c r="V181" s="33"/>
      <c r="W181" s="33"/>
      <c r="X181" s="33"/>
      <c r="Y181" s="33"/>
      <c r="Z181" s="33"/>
      <c r="AA181" s="33"/>
      <c r="AB181" s="33"/>
      <c r="AC181" s="33"/>
      <c r="AD181" s="593"/>
    </row>
    <row r="182" spans="18:30" x14ac:dyDescent="0.25">
      <c r="R182" s="33"/>
      <c r="S182" s="33"/>
      <c r="T182" s="33"/>
      <c r="U182" s="33"/>
      <c r="V182" s="33"/>
      <c r="W182" s="33"/>
      <c r="X182" s="33"/>
      <c r="Y182" s="33"/>
      <c r="Z182" s="33"/>
      <c r="AA182" s="33"/>
      <c r="AB182" s="33"/>
      <c r="AC182" s="33"/>
      <c r="AD182" s="593"/>
    </row>
    <row r="183" spans="18:30" x14ac:dyDescent="0.25">
      <c r="R183" s="33"/>
      <c r="S183" s="33"/>
      <c r="T183" s="33"/>
      <c r="U183" s="33"/>
      <c r="V183" s="33"/>
      <c r="W183" s="33"/>
      <c r="X183" s="33"/>
      <c r="Y183" s="33"/>
      <c r="Z183" s="33"/>
      <c r="AA183" s="33"/>
      <c r="AB183" s="33"/>
      <c r="AC183" s="33"/>
      <c r="AD183" s="593"/>
    </row>
    <row r="184" spans="18:30" x14ac:dyDescent="0.25">
      <c r="R184" s="33"/>
      <c r="S184" s="33"/>
      <c r="T184" s="33"/>
      <c r="U184" s="33"/>
      <c r="V184" s="33"/>
      <c r="W184" s="33"/>
      <c r="X184" s="33"/>
      <c r="Y184" s="33"/>
      <c r="Z184" s="33"/>
      <c r="AA184" s="33"/>
      <c r="AB184" s="33"/>
      <c r="AC184" s="33"/>
      <c r="AD184" s="593"/>
    </row>
    <row r="185" spans="18:30" x14ac:dyDescent="0.25">
      <c r="R185" s="33"/>
      <c r="S185" s="33"/>
      <c r="T185" s="33"/>
      <c r="U185" s="33"/>
      <c r="V185" s="33"/>
      <c r="W185" s="33"/>
      <c r="X185" s="33"/>
      <c r="Y185" s="33"/>
      <c r="Z185" s="33"/>
      <c r="AA185" s="33"/>
      <c r="AB185" s="33"/>
      <c r="AC185" s="33"/>
      <c r="AD185" s="593"/>
    </row>
    <row r="186" spans="18:30" x14ac:dyDescent="0.25">
      <c r="R186" s="33"/>
      <c r="S186" s="33"/>
      <c r="T186" s="33"/>
      <c r="U186" s="33"/>
      <c r="V186" s="33"/>
      <c r="W186" s="33"/>
      <c r="X186" s="33"/>
      <c r="Y186" s="33"/>
      <c r="Z186" s="33"/>
      <c r="AA186" s="33"/>
      <c r="AB186" s="33"/>
      <c r="AC186" s="33"/>
      <c r="AD186" s="593"/>
    </row>
    <row r="187" spans="18:30" x14ac:dyDescent="0.25">
      <c r="R187" s="33"/>
      <c r="S187" s="33"/>
      <c r="T187" s="33"/>
      <c r="U187" s="33"/>
      <c r="V187" s="33"/>
      <c r="W187" s="33"/>
      <c r="X187" s="33"/>
      <c r="Y187" s="33"/>
      <c r="Z187" s="33"/>
      <c r="AA187" s="33"/>
      <c r="AB187" s="33"/>
      <c r="AC187" s="33"/>
      <c r="AD187" s="593"/>
    </row>
    <row r="188" spans="18:30" x14ac:dyDescent="0.25">
      <c r="R188" s="33"/>
      <c r="S188" s="33"/>
      <c r="T188" s="33"/>
      <c r="U188" s="33"/>
      <c r="V188" s="33"/>
      <c r="W188" s="33"/>
      <c r="X188" s="33"/>
      <c r="Y188" s="33"/>
      <c r="Z188" s="33"/>
      <c r="AA188" s="33"/>
      <c r="AB188" s="33"/>
      <c r="AC188" s="33"/>
      <c r="AD188" s="593"/>
    </row>
    <row r="189" spans="18:30" x14ac:dyDescent="0.25">
      <c r="R189" s="33"/>
      <c r="S189" s="33"/>
      <c r="T189" s="33"/>
      <c r="U189" s="33"/>
      <c r="V189" s="33"/>
      <c r="W189" s="33"/>
      <c r="X189" s="33"/>
      <c r="Y189" s="33"/>
      <c r="Z189" s="33"/>
      <c r="AA189" s="33"/>
      <c r="AB189" s="33"/>
      <c r="AC189" s="33"/>
      <c r="AD189" s="593"/>
    </row>
    <row r="190" spans="18:30" x14ac:dyDescent="0.25">
      <c r="R190" s="33"/>
      <c r="S190" s="33"/>
      <c r="T190" s="33"/>
      <c r="U190" s="33"/>
      <c r="V190" s="33"/>
      <c r="W190" s="33"/>
      <c r="X190" s="33"/>
      <c r="Y190" s="33"/>
      <c r="Z190" s="33"/>
      <c r="AA190" s="33"/>
      <c r="AB190" s="33"/>
      <c r="AC190" s="33"/>
      <c r="AD190" s="593"/>
    </row>
    <row r="191" spans="18:30" x14ac:dyDescent="0.25">
      <c r="R191" s="33"/>
      <c r="S191" s="33"/>
      <c r="T191" s="33"/>
      <c r="U191" s="33"/>
      <c r="V191" s="33"/>
      <c r="W191" s="33"/>
      <c r="X191" s="33"/>
      <c r="Y191" s="33"/>
      <c r="Z191" s="33"/>
      <c r="AA191" s="33"/>
      <c r="AB191" s="33"/>
      <c r="AC191" s="33"/>
      <c r="AD191" s="593"/>
    </row>
    <row r="192" spans="18:30" x14ac:dyDescent="0.25">
      <c r="R192" s="33"/>
      <c r="S192" s="33"/>
      <c r="T192" s="33"/>
      <c r="U192" s="33"/>
      <c r="V192" s="33"/>
      <c r="W192" s="33"/>
      <c r="X192" s="33"/>
      <c r="Y192" s="33"/>
      <c r="Z192" s="33"/>
      <c r="AA192" s="33"/>
      <c r="AB192" s="33"/>
      <c r="AC192" s="33"/>
      <c r="AD192" s="593"/>
    </row>
    <row r="193" spans="18:30" x14ac:dyDescent="0.25">
      <c r="R193" s="33"/>
      <c r="S193" s="33"/>
      <c r="T193" s="33"/>
      <c r="U193" s="33"/>
      <c r="V193" s="33"/>
      <c r="W193" s="33"/>
      <c r="X193" s="33"/>
      <c r="Y193" s="33"/>
      <c r="Z193" s="33"/>
      <c r="AA193" s="33"/>
      <c r="AB193" s="33"/>
      <c r="AC193" s="33"/>
      <c r="AD193" s="593"/>
    </row>
    <row r="194" spans="18:30" x14ac:dyDescent="0.25">
      <c r="R194" s="33"/>
      <c r="S194" s="33"/>
      <c r="T194" s="33"/>
      <c r="U194" s="33"/>
      <c r="V194" s="33"/>
      <c r="W194" s="33"/>
      <c r="X194" s="33"/>
      <c r="Y194" s="33"/>
      <c r="Z194" s="33"/>
      <c r="AA194" s="33"/>
      <c r="AB194" s="33"/>
      <c r="AC194" s="33"/>
      <c r="AD194" s="593"/>
    </row>
    <row r="195" spans="18:30" x14ac:dyDescent="0.25">
      <c r="R195" s="33"/>
      <c r="S195" s="33"/>
      <c r="T195" s="33"/>
      <c r="U195" s="33"/>
      <c r="V195" s="33"/>
      <c r="W195" s="33"/>
      <c r="X195" s="33"/>
      <c r="Y195" s="33"/>
      <c r="Z195" s="33"/>
      <c r="AA195" s="33"/>
      <c r="AB195" s="33"/>
      <c r="AC195" s="33"/>
      <c r="AD195" s="593"/>
    </row>
    <row r="196" spans="18:30" x14ac:dyDescent="0.25">
      <c r="R196" s="33"/>
      <c r="S196" s="33"/>
      <c r="T196" s="33"/>
      <c r="U196" s="33"/>
      <c r="V196" s="33"/>
      <c r="W196" s="33"/>
      <c r="X196" s="33"/>
      <c r="Y196" s="33"/>
      <c r="Z196" s="33"/>
      <c r="AA196" s="33"/>
      <c r="AB196" s="33"/>
      <c r="AC196" s="33"/>
      <c r="AD196" s="593"/>
    </row>
    <row r="197" spans="18:30" x14ac:dyDescent="0.25">
      <c r="R197" s="33"/>
      <c r="S197" s="33"/>
      <c r="T197" s="33"/>
      <c r="U197" s="33"/>
      <c r="V197" s="33"/>
      <c r="W197" s="33"/>
      <c r="X197" s="33"/>
      <c r="Y197" s="33"/>
      <c r="Z197" s="33"/>
      <c r="AA197" s="33"/>
      <c r="AB197" s="33"/>
      <c r="AC197" s="33"/>
      <c r="AD197" s="593"/>
    </row>
    <row r="198" spans="18:30" x14ac:dyDescent="0.25">
      <c r="R198" s="33"/>
      <c r="S198" s="33"/>
      <c r="T198" s="33"/>
      <c r="U198" s="33"/>
      <c r="V198" s="33"/>
      <c r="W198" s="33"/>
      <c r="X198" s="33"/>
      <c r="Y198" s="33"/>
      <c r="Z198" s="33"/>
      <c r="AA198" s="33"/>
      <c r="AB198" s="33"/>
      <c r="AC198" s="33"/>
      <c r="AD198" s="593"/>
    </row>
    <row r="199" spans="18:30" x14ac:dyDescent="0.25">
      <c r="R199" s="33"/>
      <c r="S199" s="33"/>
      <c r="T199" s="33"/>
      <c r="U199" s="33"/>
      <c r="V199" s="33"/>
      <c r="W199" s="33"/>
      <c r="X199" s="33"/>
      <c r="Y199" s="33"/>
      <c r="Z199" s="33"/>
      <c r="AA199" s="33"/>
      <c r="AB199" s="33"/>
      <c r="AC199" s="33"/>
      <c r="AD199" s="593"/>
    </row>
    <row r="200" spans="18:30" x14ac:dyDescent="0.25">
      <c r="R200" s="33"/>
      <c r="S200" s="33"/>
      <c r="T200" s="33"/>
      <c r="U200" s="33"/>
      <c r="V200" s="33"/>
      <c r="W200" s="33"/>
      <c r="X200" s="33"/>
      <c r="Y200" s="33"/>
      <c r="Z200" s="33"/>
      <c r="AA200" s="33"/>
      <c r="AB200" s="33"/>
      <c r="AC200" s="33"/>
      <c r="AD200" s="593"/>
    </row>
    <row r="201" spans="18:30" x14ac:dyDescent="0.25">
      <c r="R201" s="33"/>
      <c r="S201" s="33"/>
      <c r="T201" s="33"/>
      <c r="U201" s="33"/>
      <c r="V201" s="33"/>
      <c r="W201" s="33"/>
      <c r="X201" s="33"/>
      <c r="Y201" s="33"/>
      <c r="Z201" s="33"/>
      <c r="AA201" s="33"/>
      <c r="AB201" s="33"/>
      <c r="AC201" s="33"/>
      <c r="AD201" s="593"/>
    </row>
    <row r="202" spans="18:30" x14ac:dyDescent="0.25">
      <c r="R202" s="33"/>
      <c r="S202" s="33"/>
      <c r="T202" s="33"/>
      <c r="U202" s="33"/>
      <c r="V202" s="33"/>
      <c r="W202" s="33"/>
      <c r="X202" s="33"/>
      <c r="Y202" s="33"/>
      <c r="Z202" s="33"/>
      <c r="AA202" s="33"/>
      <c r="AB202" s="33"/>
      <c r="AC202" s="33"/>
      <c r="AD202" s="593"/>
    </row>
    <row r="203" spans="18:30" x14ac:dyDescent="0.25">
      <c r="R203" s="33"/>
      <c r="S203" s="33"/>
      <c r="T203" s="33"/>
      <c r="U203" s="33"/>
      <c r="V203" s="33"/>
      <c r="W203" s="33"/>
      <c r="X203" s="33"/>
      <c r="Y203" s="33"/>
      <c r="Z203" s="33"/>
      <c r="AA203" s="33"/>
      <c r="AB203" s="33"/>
      <c r="AC203" s="33"/>
      <c r="AD203" s="593"/>
    </row>
    <row r="204" spans="18:30" x14ac:dyDescent="0.25">
      <c r="R204" s="33"/>
      <c r="S204" s="33"/>
      <c r="T204" s="33"/>
      <c r="U204" s="33"/>
      <c r="V204" s="33"/>
      <c r="W204" s="33"/>
      <c r="X204" s="33"/>
      <c r="Y204" s="33"/>
      <c r="Z204" s="33"/>
      <c r="AA204" s="33"/>
      <c r="AB204" s="33"/>
      <c r="AC204" s="33"/>
      <c r="AD204" s="593"/>
    </row>
    <row r="205" spans="18:30" x14ac:dyDescent="0.25">
      <c r="R205" s="33"/>
      <c r="S205" s="33"/>
      <c r="T205" s="33"/>
      <c r="U205" s="33"/>
      <c r="V205" s="33"/>
      <c r="W205" s="33"/>
      <c r="X205" s="33"/>
      <c r="Y205" s="33"/>
      <c r="Z205" s="33"/>
      <c r="AA205" s="33"/>
      <c r="AB205" s="33"/>
      <c r="AC205" s="33"/>
      <c r="AD205" s="593"/>
    </row>
    <row r="206" spans="18:30" x14ac:dyDescent="0.25">
      <c r="R206" s="33"/>
      <c r="S206" s="33"/>
      <c r="T206" s="33"/>
      <c r="U206" s="33"/>
      <c r="V206" s="33"/>
      <c r="W206" s="33"/>
      <c r="X206" s="33"/>
      <c r="Y206" s="33"/>
      <c r="Z206" s="33"/>
      <c r="AA206" s="33"/>
      <c r="AB206" s="33"/>
      <c r="AC206" s="33"/>
      <c r="AD206" s="593"/>
    </row>
    <row r="207" spans="18:30" x14ac:dyDescent="0.25">
      <c r="R207" s="33"/>
      <c r="S207" s="33"/>
      <c r="T207" s="33"/>
      <c r="U207" s="33"/>
      <c r="V207" s="33"/>
      <c r="W207" s="33"/>
      <c r="X207" s="33"/>
      <c r="Y207" s="33"/>
      <c r="Z207" s="33"/>
      <c r="AA207" s="33"/>
      <c r="AB207" s="33"/>
      <c r="AC207" s="33"/>
      <c r="AD207" s="593"/>
    </row>
    <row r="208" spans="18:30" x14ac:dyDescent="0.25">
      <c r="R208" s="33"/>
      <c r="S208" s="33"/>
      <c r="T208" s="33"/>
      <c r="U208" s="33"/>
      <c r="V208" s="33"/>
      <c r="W208" s="33"/>
      <c r="X208" s="33"/>
      <c r="Y208" s="33"/>
      <c r="Z208" s="33"/>
      <c r="AA208" s="33"/>
      <c r="AB208" s="33"/>
      <c r="AC208" s="33"/>
      <c r="AD208" s="593"/>
    </row>
    <row r="209" spans="18:30" x14ac:dyDescent="0.25">
      <c r="R209" s="33"/>
      <c r="S209" s="33"/>
      <c r="T209" s="33"/>
      <c r="U209" s="33"/>
      <c r="V209" s="33"/>
      <c r="W209" s="33"/>
      <c r="X209" s="33"/>
      <c r="Y209" s="33"/>
      <c r="Z209" s="33"/>
      <c r="AA209" s="33"/>
      <c r="AB209" s="33"/>
      <c r="AC209" s="33"/>
      <c r="AD209" s="593"/>
    </row>
    <row r="210" spans="18:30" x14ac:dyDescent="0.25">
      <c r="R210" s="33"/>
      <c r="S210" s="33"/>
      <c r="T210" s="33"/>
      <c r="U210" s="33"/>
      <c r="V210" s="33"/>
      <c r="W210" s="33"/>
      <c r="X210" s="33"/>
      <c r="Y210" s="33"/>
      <c r="Z210" s="33"/>
      <c r="AA210" s="33"/>
      <c r="AB210" s="33"/>
      <c r="AC210" s="33"/>
      <c r="AD210" s="593"/>
    </row>
    <row r="211" spans="18:30" x14ac:dyDescent="0.25">
      <c r="R211" s="33"/>
      <c r="S211" s="33"/>
      <c r="T211" s="33"/>
      <c r="U211" s="33"/>
      <c r="V211" s="33"/>
      <c r="W211" s="33"/>
      <c r="X211" s="33"/>
      <c r="Y211" s="33"/>
      <c r="Z211" s="33"/>
      <c r="AA211" s="33"/>
      <c r="AB211" s="33"/>
      <c r="AC211" s="33"/>
      <c r="AD211" s="593"/>
    </row>
    <row r="212" spans="18:30" x14ac:dyDescent="0.25">
      <c r="R212" s="33"/>
      <c r="S212" s="33"/>
      <c r="T212" s="33"/>
      <c r="U212" s="33"/>
      <c r="V212" s="33"/>
      <c r="W212" s="33"/>
      <c r="X212" s="33"/>
      <c r="Y212" s="33"/>
      <c r="Z212" s="33"/>
      <c r="AA212" s="33"/>
      <c r="AB212" s="33"/>
      <c r="AC212" s="33"/>
      <c r="AD212" s="593"/>
    </row>
    <row r="213" spans="18:30" x14ac:dyDescent="0.25">
      <c r="R213" s="33"/>
      <c r="S213" s="33"/>
      <c r="T213" s="33"/>
      <c r="U213" s="33"/>
      <c r="V213" s="33"/>
      <c r="W213" s="33"/>
      <c r="X213" s="33"/>
      <c r="Y213" s="33"/>
      <c r="Z213" s="33"/>
      <c r="AA213" s="33"/>
      <c r="AB213" s="33"/>
      <c r="AC213" s="33"/>
      <c r="AD213" s="593"/>
    </row>
    <row r="214" spans="18:30" x14ac:dyDescent="0.25">
      <c r="R214" s="33"/>
      <c r="S214" s="33"/>
      <c r="T214" s="33"/>
      <c r="U214" s="33"/>
      <c r="V214" s="33"/>
      <c r="W214" s="33"/>
      <c r="X214" s="33"/>
      <c r="Y214" s="33"/>
      <c r="Z214" s="33"/>
      <c r="AA214" s="33"/>
      <c r="AB214" s="33"/>
      <c r="AC214" s="33"/>
      <c r="AD214" s="593"/>
    </row>
    <row r="215" spans="18:30" x14ac:dyDescent="0.25">
      <c r="R215" s="33"/>
      <c r="S215" s="33"/>
      <c r="T215" s="33"/>
      <c r="U215" s="33"/>
      <c r="V215" s="33"/>
      <c r="W215" s="33"/>
      <c r="X215" s="33"/>
      <c r="Y215" s="33"/>
      <c r="Z215" s="33"/>
      <c r="AA215" s="33"/>
      <c r="AB215" s="33"/>
      <c r="AC215" s="33"/>
      <c r="AD215" s="593"/>
    </row>
    <row r="216" spans="18:30" x14ac:dyDescent="0.25">
      <c r="R216" s="33"/>
      <c r="S216" s="33"/>
      <c r="T216" s="33"/>
      <c r="U216" s="33"/>
      <c r="V216" s="33"/>
      <c r="W216" s="33"/>
      <c r="X216" s="33"/>
      <c r="Y216" s="33"/>
      <c r="Z216" s="33"/>
      <c r="AA216" s="33"/>
      <c r="AB216" s="33"/>
      <c r="AC216" s="33"/>
      <c r="AD216" s="593"/>
    </row>
    <row r="217" spans="18:30" x14ac:dyDescent="0.25">
      <c r="R217" s="33"/>
      <c r="S217" s="33"/>
      <c r="T217" s="33"/>
      <c r="U217" s="33"/>
      <c r="V217" s="33"/>
      <c r="W217" s="33"/>
      <c r="X217" s="33"/>
      <c r="Y217" s="33"/>
      <c r="Z217" s="33"/>
      <c r="AA217" s="33"/>
      <c r="AB217" s="33"/>
      <c r="AC217" s="33"/>
      <c r="AD217" s="593"/>
    </row>
    <row r="218" spans="18:30" x14ac:dyDescent="0.25">
      <c r="R218" s="33"/>
      <c r="S218" s="33"/>
      <c r="T218" s="33"/>
      <c r="U218" s="33"/>
      <c r="V218" s="33"/>
      <c r="W218" s="33"/>
      <c r="X218" s="33"/>
      <c r="Y218" s="33"/>
      <c r="Z218" s="33"/>
      <c r="AA218" s="33"/>
      <c r="AB218" s="33"/>
      <c r="AC218" s="33"/>
      <c r="AD218" s="593"/>
    </row>
    <row r="219" spans="18:30" x14ac:dyDescent="0.25">
      <c r="R219" s="33"/>
      <c r="S219" s="33"/>
      <c r="T219" s="33"/>
      <c r="U219" s="33"/>
      <c r="V219" s="33"/>
      <c r="W219" s="33"/>
      <c r="X219" s="33"/>
      <c r="Y219" s="33"/>
      <c r="Z219" s="33"/>
      <c r="AA219" s="33"/>
      <c r="AB219" s="33"/>
      <c r="AC219" s="33"/>
      <c r="AD219" s="593"/>
    </row>
    <row r="220" spans="18:30" x14ac:dyDescent="0.25">
      <c r="R220" s="33"/>
      <c r="S220" s="33"/>
      <c r="T220" s="33"/>
      <c r="U220" s="33"/>
      <c r="V220" s="33"/>
      <c r="W220" s="33"/>
      <c r="X220" s="33"/>
      <c r="Y220" s="33"/>
      <c r="Z220" s="33"/>
      <c r="AA220" s="33"/>
      <c r="AB220" s="33"/>
      <c r="AC220" s="33"/>
      <c r="AD220" s="593"/>
    </row>
    <row r="221" spans="18:30" x14ac:dyDescent="0.25">
      <c r="R221" s="33"/>
      <c r="S221" s="33"/>
      <c r="T221" s="33"/>
      <c r="U221" s="33"/>
      <c r="V221" s="33"/>
      <c r="W221" s="33"/>
      <c r="X221" s="33"/>
      <c r="Y221" s="33"/>
      <c r="Z221" s="33"/>
      <c r="AA221" s="33"/>
      <c r="AB221" s="33"/>
      <c r="AC221" s="33"/>
      <c r="AD221" s="593"/>
    </row>
    <row r="222" spans="18:30" x14ac:dyDescent="0.25">
      <c r="R222" s="33"/>
      <c r="S222" s="33"/>
      <c r="T222" s="33"/>
      <c r="U222" s="33"/>
      <c r="V222" s="33"/>
      <c r="W222" s="33"/>
      <c r="X222" s="33"/>
      <c r="Y222" s="33"/>
      <c r="Z222" s="33"/>
      <c r="AA222" s="33"/>
      <c r="AB222" s="33"/>
      <c r="AC222" s="33"/>
      <c r="AD222" s="593"/>
    </row>
    <row r="223" spans="18:30" x14ac:dyDescent="0.25">
      <c r="R223" s="33"/>
      <c r="S223" s="33"/>
      <c r="T223" s="33"/>
      <c r="U223" s="33"/>
      <c r="V223" s="33"/>
      <c r="W223" s="33"/>
      <c r="X223" s="33"/>
      <c r="Y223" s="33"/>
      <c r="Z223" s="33"/>
      <c r="AA223" s="33"/>
      <c r="AB223" s="33"/>
      <c r="AC223" s="33"/>
      <c r="AD223" s="593"/>
    </row>
    <row r="224" spans="18:30" x14ac:dyDescent="0.25">
      <c r="R224" s="33"/>
      <c r="S224" s="33"/>
      <c r="T224" s="33"/>
      <c r="U224" s="33"/>
      <c r="V224" s="33"/>
      <c r="W224" s="33"/>
      <c r="X224" s="33"/>
      <c r="Y224" s="33"/>
      <c r="Z224" s="33"/>
      <c r="AA224" s="33"/>
      <c r="AB224" s="33"/>
      <c r="AC224" s="33"/>
      <c r="AD224" s="593"/>
    </row>
    <row r="225" spans="18:30" x14ac:dyDescent="0.25">
      <c r="R225" s="33"/>
      <c r="S225" s="33"/>
      <c r="T225" s="33"/>
      <c r="U225" s="33"/>
      <c r="V225" s="33"/>
      <c r="W225" s="33"/>
      <c r="X225" s="33"/>
      <c r="Y225" s="33"/>
      <c r="Z225" s="33"/>
      <c r="AA225" s="33"/>
      <c r="AB225" s="33"/>
      <c r="AC225" s="33"/>
      <c r="AD225" s="593"/>
    </row>
    <row r="226" spans="18:30" x14ac:dyDescent="0.25">
      <c r="R226" s="33"/>
      <c r="S226" s="33"/>
      <c r="T226" s="33"/>
      <c r="U226" s="33"/>
      <c r="V226" s="33"/>
      <c r="W226" s="33"/>
      <c r="X226" s="33"/>
      <c r="Y226" s="33"/>
      <c r="Z226" s="33"/>
      <c r="AA226" s="33"/>
      <c r="AB226" s="33"/>
      <c r="AC226" s="33"/>
      <c r="AD226" s="593"/>
    </row>
    <row r="227" spans="18:30" x14ac:dyDescent="0.25">
      <c r="R227" s="33"/>
      <c r="S227" s="33"/>
      <c r="T227" s="33"/>
      <c r="U227" s="33"/>
      <c r="V227" s="33"/>
      <c r="W227" s="33"/>
      <c r="X227" s="33"/>
      <c r="Y227" s="33"/>
      <c r="Z227" s="33"/>
      <c r="AA227" s="33"/>
      <c r="AB227" s="33"/>
      <c r="AC227" s="33"/>
      <c r="AD227" s="593"/>
    </row>
    <row r="228" spans="18:30" x14ac:dyDescent="0.25">
      <c r="R228" s="33"/>
      <c r="S228" s="33"/>
      <c r="T228" s="33"/>
      <c r="U228" s="33"/>
      <c r="V228" s="33"/>
      <c r="W228" s="33"/>
      <c r="X228" s="33"/>
      <c r="Y228" s="33"/>
      <c r="Z228" s="33"/>
      <c r="AA228" s="33"/>
      <c r="AB228" s="33"/>
      <c r="AC228" s="33"/>
      <c r="AD228" s="593"/>
    </row>
    <row r="229" spans="18:30" x14ac:dyDescent="0.25">
      <c r="R229" s="33"/>
      <c r="S229" s="33"/>
      <c r="T229" s="33"/>
      <c r="U229" s="33"/>
      <c r="V229" s="33"/>
      <c r="W229" s="33"/>
      <c r="X229" s="33"/>
      <c r="Y229" s="33"/>
      <c r="Z229" s="33"/>
      <c r="AA229" s="33"/>
      <c r="AB229" s="33"/>
      <c r="AC229" s="33"/>
      <c r="AD229" s="593"/>
    </row>
    <row r="230" spans="18:30" x14ac:dyDescent="0.25">
      <c r="R230" s="33"/>
      <c r="S230" s="33"/>
      <c r="T230" s="33"/>
      <c r="U230" s="33"/>
      <c r="V230" s="33"/>
      <c r="W230" s="33"/>
      <c r="X230" s="33"/>
      <c r="Y230" s="33"/>
      <c r="Z230" s="33"/>
      <c r="AA230" s="33"/>
      <c r="AB230" s="33"/>
      <c r="AC230" s="33"/>
      <c r="AD230" s="593"/>
    </row>
    <row r="231" spans="18:30" x14ac:dyDescent="0.25">
      <c r="R231" s="33"/>
      <c r="S231" s="33"/>
      <c r="T231" s="33"/>
      <c r="U231" s="33"/>
      <c r="V231" s="33"/>
      <c r="W231" s="33"/>
      <c r="X231" s="33"/>
      <c r="Y231" s="33"/>
      <c r="Z231" s="33"/>
      <c r="AA231" s="33"/>
      <c r="AB231" s="33"/>
      <c r="AC231" s="33"/>
      <c r="AD231" s="593"/>
    </row>
    <row r="232" spans="18:30" x14ac:dyDescent="0.25">
      <c r="R232" s="33"/>
      <c r="S232" s="33"/>
      <c r="T232" s="33"/>
      <c r="U232" s="33"/>
      <c r="V232" s="33"/>
      <c r="W232" s="33"/>
      <c r="X232" s="33"/>
      <c r="Y232" s="33"/>
      <c r="Z232" s="33"/>
      <c r="AA232" s="33"/>
      <c r="AB232" s="33"/>
      <c r="AC232" s="33"/>
      <c r="AD232" s="593"/>
    </row>
    <row r="233" spans="18:30" x14ac:dyDescent="0.25">
      <c r="R233" s="33"/>
      <c r="S233" s="33"/>
      <c r="T233" s="33"/>
      <c r="U233" s="33"/>
      <c r="V233" s="33"/>
      <c r="W233" s="33"/>
      <c r="X233" s="33"/>
      <c r="Y233" s="33"/>
      <c r="Z233" s="33"/>
      <c r="AA233" s="33"/>
      <c r="AB233" s="33"/>
      <c r="AC233" s="33"/>
      <c r="AD233" s="593"/>
    </row>
    <row r="234" spans="18:30" x14ac:dyDescent="0.25">
      <c r="R234" s="33"/>
      <c r="S234" s="33"/>
      <c r="T234" s="33"/>
      <c r="U234" s="33"/>
      <c r="V234" s="33"/>
      <c r="W234" s="33"/>
      <c r="X234" s="33"/>
      <c r="Y234" s="33"/>
      <c r="Z234" s="33"/>
      <c r="AA234" s="33"/>
      <c r="AB234" s="33"/>
      <c r="AC234" s="33"/>
      <c r="AD234" s="593"/>
    </row>
    <row r="235" spans="18:30" x14ac:dyDescent="0.25">
      <c r="R235" s="33"/>
      <c r="S235" s="33"/>
      <c r="T235" s="33"/>
      <c r="U235" s="33"/>
      <c r="V235" s="33"/>
      <c r="W235" s="33"/>
      <c r="X235" s="33"/>
      <c r="Y235" s="33"/>
      <c r="Z235" s="33"/>
      <c r="AA235" s="33"/>
      <c r="AB235" s="33"/>
      <c r="AC235" s="33"/>
      <c r="AD235" s="593"/>
    </row>
    <row r="236" spans="18:30" x14ac:dyDescent="0.25">
      <c r="R236" s="33"/>
      <c r="S236" s="33"/>
      <c r="T236" s="33"/>
      <c r="U236" s="33"/>
      <c r="V236" s="33"/>
      <c r="W236" s="33"/>
      <c r="X236" s="33"/>
      <c r="Y236" s="33"/>
      <c r="Z236" s="33"/>
      <c r="AA236" s="33"/>
      <c r="AB236" s="33"/>
      <c r="AC236" s="33"/>
      <c r="AD236" s="593"/>
    </row>
    <row r="237" spans="18:30" x14ac:dyDescent="0.25">
      <c r="R237" s="33"/>
      <c r="S237" s="33"/>
      <c r="T237" s="33"/>
      <c r="U237" s="33"/>
      <c r="V237" s="33"/>
      <c r="W237" s="33"/>
      <c r="X237" s="33"/>
      <c r="Y237" s="33"/>
      <c r="Z237" s="33"/>
      <c r="AA237" s="33"/>
      <c r="AB237" s="33"/>
      <c r="AC237" s="33"/>
      <c r="AD237" s="593"/>
    </row>
    <row r="238" spans="18:30" x14ac:dyDescent="0.25">
      <c r="R238" s="33"/>
      <c r="S238" s="33"/>
      <c r="T238" s="33"/>
      <c r="U238" s="33"/>
      <c r="V238" s="33"/>
      <c r="W238" s="33"/>
      <c r="X238" s="33"/>
      <c r="Y238" s="33"/>
      <c r="Z238" s="33"/>
      <c r="AA238" s="33"/>
      <c r="AB238" s="33"/>
      <c r="AC238" s="33"/>
      <c r="AD238" s="593"/>
    </row>
    <row r="239" spans="18:30" x14ac:dyDescent="0.25">
      <c r="R239" s="33"/>
      <c r="S239" s="33"/>
      <c r="T239" s="33"/>
      <c r="U239" s="33"/>
      <c r="V239" s="33"/>
      <c r="W239" s="33"/>
      <c r="X239" s="33"/>
      <c r="Y239" s="33"/>
      <c r="Z239" s="33"/>
      <c r="AA239" s="33"/>
      <c r="AB239" s="33"/>
      <c r="AC239" s="33"/>
      <c r="AD239" s="593"/>
    </row>
    <row r="240" spans="18:30" x14ac:dyDescent="0.25">
      <c r="R240" s="33"/>
      <c r="S240" s="33"/>
      <c r="T240" s="33"/>
      <c r="U240" s="33"/>
      <c r="V240" s="33"/>
      <c r="W240" s="33"/>
      <c r="X240" s="33"/>
      <c r="Y240" s="33"/>
      <c r="Z240" s="33"/>
      <c r="AA240" s="33"/>
      <c r="AB240" s="33"/>
      <c r="AC240" s="33"/>
      <c r="AD240" s="593"/>
    </row>
    <row r="241" spans="18:30" x14ac:dyDescent="0.25">
      <c r="R241" s="33"/>
      <c r="S241" s="33"/>
      <c r="T241" s="33"/>
      <c r="U241" s="33"/>
      <c r="V241" s="33"/>
      <c r="W241" s="33"/>
      <c r="X241" s="33"/>
      <c r="Y241" s="33"/>
      <c r="Z241" s="33"/>
      <c r="AA241" s="33"/>
      <c r="AB241" s="33"/>
      <c r="AC241" s="33"/>
      <c r="AD241" s="593"/>
    </row>
    <row r="242" spans="18:30" x14ac:dyDescent="0.25">
      <c r="R242" s="33"/>
      <c r="S242" s="33"/>
      <c r="T242" s="33"/>
      <c r="U242" s="33"/>
      <c r="V242" s="33"/>
      <c r="W242" s="33"/>
      <c r="X242" s="33"/>
      <c r="Y242" s="33"/>
      <c r="Z242" s="33"/>
      <c r="AA242" s="33"/>
      <c r="AB242" s="33"/>
      <c r="AC242" s="33"/>
      <c r="AD242" s="593"/>
    </row>
    <row r="243" spans="18:30" x14ac:dyDescent="0.25">
      <c r="R243" s="33"/>
      <c r="S243" s="33"/>
      <c r="T243" s="33"/>
      <c r="U243" s="33"/>
      <c r="V243" s="33"/>
      <c r="W243" s="33"/>
      <c r="X243" s="33"/>
      <c r="Y243" s="33"/>
      <c r="Z243" s="33"/>
      <c r="AA243" s="33"/>
      <c r="AB243" s="33"/>
      <c r="AC243" s="33"/>
      <c r="AD243" s="593"/>
    </row>
    <row r="244" spans="18:30" x14ac:dyDescent="0.25">
      <c r="R244" s="33"/>
      <c r="S244" s="33"/>
      <c r="T244" s="33"/>
      <c r="U244" s="33"/>
      <c r="V244" s="33"/>
      <c r="W244" s="33"/>
      <c r="X244" s="33"/>
      <c r="Y244" s="33"/>
      <c r="Z244" s="33"/>
      <c r="AA244" s="33"/>
      <c r="AB244" s="33"/>
      <c r="AC244" s="33"/>
      <c r="AD244" s="593"/>
    </row>
    <row r="245" spans="18:30" x14ac:dyDescent="0.25">
      <c r="R245" s="33"/>
      <c r="S245" s="33"/>
      <c r="T245" s="33"/>
      <c r="U245" s="33"/>
      <c r="V245" s="33"/>
      <c r="W245" s="33"/>
      <c r="X245" s="33"/>
      <c r="Y245" s="33"/>
      <c r="Z245" s="33"/>
      <c r="AA245" s="33"/>
      <c r="AB245" s="33"/>
      <c r="AC245" s="33"/>
      <c r="AD245" s="593"/>
    </row>
    <row r="246" spans="18:30" x14ac:dyDescent="0.25">
      <c r="R246" s="33"/>
      <c r="S246" s="33"/>
      <c r="T246" s="33"/>
      <c r="U246" s="33"/>
      <c r="V246" s="33"/>
      <c r="W246" s="33"/>
      <c r="X246" s="33"/>
      <c r="Y246" s="33"/>
      <c r="Z246" s="33"/>
      <c r="AA246" s="33"/>
      <c r="AB246" s="33"/>
      <c r="AC246" s="33"/>
      <c r="AD246" s="593"/>
    </row>
    <row r="247" spans="18:30" x14ac:dyDescent="0.25">
      <c r="R247" s="33"/>
      <c r="S247" s="33"/>
      <c r="T247" s="33"/>
      <c r="U247" s="33"/>
      <c r="V247" s="33"/>
      <c r="W247" s="33"/>
      <c r="X247" s="33"/>
      <c r="Y247" s="33"/>
      <c r="Z247" s="33"/>
      <c r="AA247" s="33"/>
      <c r="AB247" s="33"/>
      <c r="AC247" s="33"/>
      <c r="AD247" s="593"/>
    </row>
    <row r="248" spans="18:30" x14ac:dyDescent="0.25">
      <c r="R248" s="33"/>
      <c r="S248" s="33"/>
      <c r="T248" s="33"/>
      <c r="U248" s="33"/>
      <c r="V248" s="33"/>
      <c r="W248" s="33"/>
      <c r="X248" s="33"/>
      <c r="Y248" s="33"/>
      <c r="Z248" s="33"/>
      <c r="AA248" s="33"/>
      <c r="AB248" s="33"/>
      <c r="AC248" s="33"/>
      <c r="AD248" s="593"/>
    </row>
    <row r="249" spans="18:30" x14ac:dyDescent="0.25">
      <c r="R249" s="33"/>
      <c r="S249" s="33"/>
      <c r="T249" s="33"/>
      <c r="U249" s="33"/>
      <c r="V249" s="33"/>
      <c r="W249" s="33"/>
      <c r="X249" s="33"/>
      <c r="Y249" s="33"/>
      <c r="Z249" s="33"/>
      <c r="AA249" s="33"/>
      <c r="AB249" s="33"/>
      <c r="AC249" s="33"/>
      <c r="AD249" s="593"/>
    </row>
    <row r="250" spans="18:30" x14ac:dyDescent="0.25">
      <c r="R250" s="33"/>
      <c r="S250" s="33"/>
      <c r="T250" s="33"/>
      <c r="U250" s="33"/>
      <c r="V250" s="33"/>
      <c r="W250" s="33"/>
      <c r="X250" s="33"/>
      <c r="Y250" s="33"/>
      <c r="Z250" s="33"/>
      <c r="AA250" s="33"/>
      <c r="AB250" s="33"/>
      <c r="AC250" s="33"/>
      <c r="AD250" s="593"/>
    </row>
    <row r="251" spans="18:30" x14ac:dyDescent="0.25">
      <c r="R251" s="33"/>
      <c r="S251" s="33"/>
      <c r="T251" s="33"/>
      <c r="U251" s="33"/>
      <c r="V251" s="33"/>
      <c r="W251" s="33"/>
      <c r="X251" s="33"/>
      <c r="Y251" s="33"/>
      <c r="Z251" s="33"/>
      <c r="AA251" s="33"/>
      <c r="AB251" s="33"/>
      <c r="AC251" s="33"/>
      <c r="AD251" s="593"/>
    </row>
    <row r="252" spans="18:30" x14ac:dyDescent="0.25">
      <c r="R252" s="33"/>
      <c r="S252" s="33"/>
      <c r="T252" s="33"/>
      <c r="U252" s="33"/>
      <c r="V252" s="33"/>
      <c r="W252" s="33"/>
      <c r="X252" s="33"/>
      <c r="Y252" s="33"/>
      <c r="Z252" s="33"/>
      <c r="AA252" s="33"/>
      <c r="AB252" s="33"/>
      <c r="AC252" s="33"/>
      <c r="AD252" s="593"/>
    </row>
    <row r="253" spans="18:30" x14ac:dyDescent="0.25">
      <c r="R253" s="33"/>
      <c r="S253" s="33"/>
      <c r="T253" s="33"/>
      <c r="U253" s="33"/>
      <c r="V253" s="33"/>
      <c r="W253" s="33"/>
      <c r="X253" s="33"/>
      <c r="Y253" s="33"/>
      <c r="Z253" s="33"/>
      <c r="AA253" s="33"/>
      <c r="AB253" s="33"/>
      <c r="AC253" s="33"/>
      <c r="AD253" s="593"/>
    </row>
    <row r="254" spans="18:30" x14ac:dyDescent="0.25">
      <c r="R254" s="33"/>
      <c r="S254" s="33"/>
      <c r="T254" s="33"/>
      <c r="U254" s="33"/>
      <c r="V254" s="33"/>
      <c r="W254" s="33"/>
      <c r="X254" s="33"/>
      <c r="Y254" s="33"/>
      <c r="Z254" s="33"/>
      <c r="AA254" s="33"/>
      <c r="AB254" s="33"/>
      <c r="AC254" s="33"/>
      <c r="AD254" s="593"/>
    </row>
    <row r="255" spans="18:30" x14ac:dyDescent="0.25">
      <c r="R255" s="33"/>
      <c r="S255" s="33"/>
      <c r="T255" s="33"/>
      <c r="U255" s="33"/>
      <c r="V255" s="33"/>
      <c r="W255" s="33"/>
      <c r="X255" s="33"/>
      <c r="Y255" s="33"/>
      <c r="Z255" s="33"/>
      <c r="AA255" s="33"/>
      <c r="AB255" s="33"/>
      <c r="AC255" s="33"/>
      <c r="AD255" s="593"/>
    </row>
    <row r="256" spans="18:30" x14ac:dyDescent="0.25">
      <c r="R256" s="33"/>
      <c r="S256" s="33"/>
      <c r="T256" s="33"/>
      <c r="U256" s="33"/>
      <c r="V256" s="33"/>
      <c r="W256" s="33"/>
      <c r="X256" s="33"/>
      <c r="Y256" s="33"/>
      <c r="Z256" s="33"/>
      <c r="AA256" s="33"/>
      <c r="AB256" s="33"/>
      <c r="AC256" s="33"/>
      <c r="AD256" s="593"/>
    </row>
    <row r="257" spans="18:30" x14ac:dyDescent="0.25">
      <c r="R257" s="33"/>
      <c r="S257" s="33"/>
      <c r="T257" s="33"/>
      <c r="U257" s="33"/>
      <c r="V257" s="33"/>
      <c r="W257" s="33"/>
      <c r="X257" s="33"/>
      <c r="Y257" s="33"/>
      <c r="Z257" s="33"/>
      <c r="AA257" s="33"/>
      <c r="AB257" s="33"/>
      <c r="AC257" s="33"/>
      <c r="AD257" s="593"/>
    </row>
    <row r="258" spans="18:30" x14ac:dyDescent="0.25">
      <c r="R258" s="33"/>
      <c r="S258" s="33"/>
      <c r="T258" s="33"/>
      <c r="U258" s="33"/>
      <c r="V258" s="33"/>
      <c r="W258" s="33"/>
      <c r="X258" s="33"/>
      <c r="Y258" s="33"/>
      <c r="Z258" s="33"/>
      <c r="AA258" s="33"/>
      <c r="AB258" s="33"/>
      <c r="AC258" s="33"/>
      <c r="AD258" s="593"/>
    </row>
    <row r="259" spans="18:30" x14ac:dyDescent="0.25">
      <c r="R259" s="33"/>
      <c r="S259" s="33"/>
      <c r="T259" s="33"/>
      <c r="U259" s="33"/>
      <c r="V259" s="33"/>
      <c r="W259" s="33"/>
      <c r="X259" s="33"/>
      <c r="Y259" s="33"/>
      <c r="Z259" s="33"/>
      <c r="AA259" s="33"/>
      <c r="AB259" s="33"/>
      <c r="AC259" s="33"/>
      <c r="AD259" s="593"/>
    </row>
    <row r="260" spans="18:30" x14ac:dyDescent="0.25">
      <c r="R260" s="33"/>
      <c r="S260" s="33"/>
      <c r="T260" s="33"/>
      <c r="U260" s="33"/>
      <c r="V260" s="33"/>
      <c r="W260" s="33"/>
      <c r="X260" s="33"/>
      <c r="Y260" s="33"/>
      <c r="Z260" s="33"/>
      <c r="AA260" s="33"/>
      <c r="AB260" s="33"/>
      <c r="AC260" s="33"/>
      <c r="AD260" s="593"/>
    </row>
    <row r="261" spans="18:30" x14ac:dyDescent="0.25">
      <c r="R261" s="33"/>
      <c r="S261" s="33"/>
      <c r="T261" s="33"/>
      <c r="U261" s="33"/>
      <c r="V261" s="33"/>
      <c r="W261" s="33"/>
      <c r="X261" s="33"/>
      <c r="Y261" s="33"/>
      <c r="Z261" s="33"/>
      <c r="AA261" s="33"/>
      <c r="AB261" s="33"/>
      <c r="AC261" s="33"/>
      <c r="AD261" s="593"/>
    </row>
    <row r="262" spans="18:30" x14ac:dyDescent="0.25">
      <c r="R262" s="33"/>
      <c r="S262" s="33"/>
      <c r="T262" s="33"/>
      <c r="U262" s="33"/>
      <c r="V262" s="33"/>
      <c r="W262" s="33"/>
      <c r="X262" s="33"/>
      <c r="Y262" s="33"/>
      <c r="Z262" s="33"/>
      <c r="AA262" s="33"/>
      <c r="AB262" s="33"/>
      <c r="AC262" s="33"/>
      <c r="AD262" s="593"/>
    </row>
    <row r="263" spans="18:30" x14ac:dyDescent="0.25">
      <c r="R263" s="33"/>
      <c r="S263" s="33"/>
      <c r="T263" s="33"/>
      <c r="U263" s="33"/>
      <c r="V263" s="33"/>
      <c r="W263" s="33"/>
      <c r="X263" s="33"/>
      <c r="Y263" s="33"/>
      <c r="Z263" s="33"/>
      <c r="AA263" s="33"/>
      <c r="AB263" s="33"/>
      <c r="AC263" s="33"/>
      <c r="AD263" s="593"/>
    </row>
    <row r="264" spans="18:30" x14ac:dyDescent="0.25">
      <c r="R264" s="33"/>
      <c r="S264" s="33"/>
      <c r="T264" s="33"/>
      <c r="U264" s="33"/>
      <c r="V264" s="33"/>
      <c r="W264" s="33"/>
      <c r="X264" s="33"/>
      <c r="Y264" s="33"/>
      <c r="Z264" s="33"/>
      <c r="AA264" s="33"/>
      <c r="AB264" s="33"/>
      <c r="AC264" s="33"/>
      <c r="AD264" s="593"/>
    </row>
    <row r="265" spans="18:30" x14ac:dyDescent="0.25">
      <c r="R265" s="33"/>
      <c r="S265" s="33"/>
      <c r="T265" s="33"/>
      <c r="U265" s="33"/>
      <c r="V265" s="33"/>
      <c r="W265" s="33"/>
      <c r="X265" s="33"/>
      <c r="Y265" s="33"/>
      <c r="Z265" s="33"/>
      <c r="AA265" s="33"/>
      <c r="AB265" s="33"/>
      <c r="AC265" s="33"/>
      <c r="AD265" s="593"/>
    </row>
    <row r="266" spans="18:30" x14ac:dyDescent="0.25">
      <c r="R266" s="33"/>
      <c r="S266" s="33"/>
      <c r="T266" s="33"/>
      <c r="U266" s="33"/>
      <c r="V266" s="33"/>
      <c r="W266" s="33"/>
      <c r="X266" s="33"/>
      <c r="Y266" s="33"/>
      <c r="Z266" s="33"/>
      <c r="AA266" s="33"/>
      <c r="AB266" s="33"/>
      <c r="AC266" s="33"/>
      <c r="AD266" s="593"/>
    </row>
    <row r="267" spans="18:30" x14ac:dyDescent="0.25">
      <c r="R267" s="33"/>
      <c r="S267" s="33"/>
      <c r="T267" s="33"/>
      <c r="U267" s="33"/>
      <c r="V267" s="33"/>
      <c r="W267" s="33"/>
      <c r="X267" s="33"/>
      <c r="Y267" s="33"/>
      <c r="Z267" s="33"/>
      <c r="AA267" s="33"/>
      <c r="AB267" s="33"/>
      <c r="AC267" s="33"/>
      <c r="AD267" s="593"/>
    </row>
    <row r="268" spans="18:30" x14ac:dyDescent="0.25">
      <c r="R268" s="33"/>
      <c r="S268" s="33"/>
      <c r="T268" s="33"/>
      <c r="U268" s="33"/>
      <c r="V268" s="33"/>
      <c r="W268" s="33"/>
      <c r="X268" s="33"/>
      <c r="Y268" s="33"/>
      <c r="Z268" s="33"/>
      <c r="AA268" s="33"/>
      <c r="AB268" s="33"/>
      <c r="AC268" s="33"/>
      <c r="AD268" s="593"/>
    </row>
    <row r="269" spans="18:30" x14ac:dyDescent="0.25">
      <c r="R269" s="33"/>
      <c r="S269" s="33"/>
      <c r="T269" s="33"/>
      <c r="U269" s="33"/>
      <c r="V269" s="33"/>
      <c r="W269" s="33"/>
      <c r="X269" s="33"/>
      <c r="Y269" s="33"/>
      <c r="Z269" s="33"/>
      <c r="AA269" s="33"/>
      <c r="AB269" s="33"/>
      <c r="AC269" s="33"/>
      <c r="AD269" s="593"/>
    </row>
    <row r="270" spans="18:30" x14ac:dyDescent="0.25">
      <c r="R270" s="33"/>
      <c r="S270" s="33"/>
      <c r="T270" s="33"/>
      <c r="U270" s="33"/>
      <c r="V270" s="33"/>
      <c r="W270" s="33"/>
      <c r="X270" s="33"/>
      <c r="Y270" s="33"/>
      <c r="Z270" s="33"/>
      <c r="AA270" s="33"/>
      <c r="AB270" s="33"/>
      <c r="AC270" s="33"/>
      <c r="AD270" s="593"/>
    </row>
    <row r="271" spans="18:30" x14ac:dyDescent="0.25">
      <c r="R271" s="33"/>
      <c r="S271" s="33"/>
      <c r="T271" s="33"/>
      <c r="U271" s="33"/>
      <c r="V271" s="33"/>
      <c r="W271" s="33"/>
      <c r="X271" s="33"/>
      <c r="Y271" s="33"/>
      <c r="Z271" s="33"/>
      <c r="AA271" s="33"/>
      <c r="AB271" s="33"/>
      <c r="AC271" s="33"/>
      <c r="AD271" s="593"/>
    </row>
    <row r="272" spans="18:30" x14ac:dyDescent="0.25">
      <c r="R272" s="33"/>
      <c r="S272" s="33"/>
      <c r="T272" s="33"/>
      <c r="U272" s="33"/>
      <c r="V272" s="33"/>
      <c r="W272" s="33"/>
      <c r="X272" s="33"/>
      <c r="Y272" s="33"/>
      <c r="Z272" s="33"/>
      <c r="AA272" s="33"/>
      <c r="AB272" s="33"/>
      <c r="AC272" s="33"/>
      <c r="AD272" s="593"/>
    </row>
    <row r="273" spans="18:30" x14ac:dyDescent="0.25">
      <c r="R273" s="33"/>
      <c r="S273" s="33"/>
      <c r="T273" s="33"/>
      <c r="U273" s="33"/>
      <c r="V273" s="33"/>
      <c r="W273" s="33"/>
      <c r="X273" s="33"/>
      <c r="Y273" s="33"/>
      <c r="Z273" s="33"/>
      <c r="AA273" s="33"/>
      <c r="AB273" s="33"/>
      <c r="AC273" s="33"/>
      <c r="AD273" s="593"/>
    </row>
    <row r="274" spans="18:30" x14ac:dyDescent="0.25">
      <c r="R274" s="33"/>
      <c r="S274" s="33"/>
      <c r="T274" s="33"/>
      <c r="U274" s="33"/>
      <c r="V274" s="33"/>
      <c r="W274" s="33"/>
      <c r="X274" s="33"/>
      <c r="Y274" s="33"/>
      <c r="Z274" s="33"/>
      <c r="AA274" s="33"/>
      <c r="AB274" s="33"/>
      <c r="AC274" s="33"/>
      <c r="AD274" s="593"/>
    </row>
    <row r="275" spans="18:30" x14ac:dyDescent="0.25">
      <c r="R275" s="33"/>
      <c r="S275" s="33"/>
      <c r="T275" s="33"/>
      <c r="U275" s="33"/>
      <c r="V275" s="33"/>
      <c r="W275" s="33"/>
      <c r="X275" s="33"/>
      <c r="Y275" s="33"/>
      <c r="Z275" s="33"/>
      <c r="AA275" s="33"/>
      <c r="AB275" s="33"/>
      <c r="AC275" s="33"/>
      <c r="AD275" s="593"/>
    </row>
    <row r="276" spans="18:30" x14ac:dyDescent="0.25">
      <c r="R276" s="33"/>
      <c r="S276" s="33"/>
      <c r="T276" s="33"/>
      <c r="U276" s="33"/>
      <c r="V276" s="33"/>
      <c r="W276" s="33"/>
      <c r="X276" s="33"/>
      <c r="Y276" s="33"/>
      <c r="Z276" s="33"/>
      <c r="AA276" s="33"/>
      <c r="AB276" s="33"/>
      <c r="AC276" s="33"/>
      <c r="AD276" s="593"/>
    </row>
    <row r="277" spans="18:30" x14ac:dyDescent="0.25">
      <c r="R277" s="33"/>
      <c r="S277" s="33"/>
      <c r="T277" s="33"/>
      <c r="U277" s="33"/>
      <c r="V277" s="33"/>
      <c r="W277" s="33"/>
      <c r="X277" s="33"/>
      <c r="Y277" s="33"/>
      <c r="Z277" s="33"/>
      <c r="AA277" s="33"/>
      <c r="AB277" s="33"/>
      <c r="AC277" s="33"/>
      <c r="AD277" s="593"/>
    </row>
    <row r="278" spans="18:30" x14ac:dyDescent="0.25">
      <c r="R278" s="33"/>
      <c r="S278" s="33"/>
      <c r="T278" s="33"/>
      <c r="U278" s="33"/>
      <c r="V278" s="33"/>
      <c r="W278" s="33"/>
      <c r="X278" s="33"/>
      <c r="Y278" s="33"/>
      <c r="Z278" s="33"/>
      <c r="AA278" s="33"/>
      <c r="AB278" s="33"/>
      <c r="AC278" s="33"/>
      <c r="AD278" s="593"/>
    </row>
    <row r="279" spans="18:30" x14ac:dyDescent="0.25">
      <c r="R279" s="33"/>
      <c r="S279" s="33"/>
      <c r="T279" s="33"/>
      <c r="U279" s="33"/>
      <c r="V279" s="33"/>
      <c r="W279" s="33"/>
      <c r="X279" s="33"/>
      <c r="Y279" s="33"/>
      <c r="Z279" s="33"/>
      <c r="AA279" s="33"/>
      <c r="AB279" s="33"/>
      <c r="AC279" s="33"/>
      <c r="AD279" s="593"/>
    </row>
    <row r="280" spans="18:30" x14ac:dyDescent="0.25">
      <c r="R280" s="33"/>
      <c r="S280" s="33"/>
      <c r="T280" s="33"/>
      <c r="U280" s="33"/>
      <c r="V280" s="33"/>
      <c r="W280" s="33"/>
      <c r="X280" s="33"/>
      <c r="Y280" s="33"/>
      <c r="Z280" s="33"/>
      <c r="AA280" s="33"/>
      <c r="AB280" s="33"/>
      <c r="AC280" s="33"/>
      <c r="AD280" s="593"/>
    </row>
    <row r="281" spans="18:30" x14ac:dyDescent="0.25">
      <c r="R281" s="33"/>
      <c r="S281" s="33"/>
      <c r="T281" s="33"/>
      <c r="U281" s="33"/>
      <c r="V281" s="33"/>
      <c r="W281" s="33"/>
      <c r="X281" s="33"/>
      <c r="Y281" s="33"/>
      <c r="Z281" s="33"/>
      <c r="AA281" s="33"/>
      <c r="AB281" s="33"/>
      <c r="AC281" s="33"/>
      <c r="AD281" s="593"/>
    </row>
    <row r="282" spans="18:30" x14ac:dyDescent="0.25">
      <c r="R282" s="33"/>
      <c r="S282" s="33"/>
      <c r="T282" s="33"/>
      <c r="U282" s="33"/>
      <c r="V282" s="33"/>
      <c r="W282" s="33"/>
      <c r="X282" s="33"/>
      <c r="Y282" s="33"/>
      <c r="Z282" s="33"/>
      <c r="AA282" s="33"/>
      <c r="AB282" s="33"/>
      <c r="AC282" s="33"/>
      <c r="AD282" s="593"/>
    </row>
    <row r="283" spans="18:30" x14ac:dyDescent="0.25">
      <c r="R283" s="33"/>
      <c r="S283" s="33"/>
      <c r="T283" s="33"/>
      <c r="U283" s="33"/>
      <c r="V283" s="33"/>
      <c r="W283" s="33"/>
      <c r="X283" s="33"/>
      <c r="Y283" s="33"/>
      <c r="Z283" s="33"/>
      <c r="AA283" s="33"/>
      <c r="AB283" s="33"/>
      <c r="AC283" s="33"/>
      <c r="AD283" s="593"/>
    </row>
    <row r="284" spans="18:30" x14ac:dyDescent="0.25">
      <c r="R284" s="33"/>
      <c r="S284" s="33"/>
      <c r="T284" s="33"/>
      <c r="U284" s="33"/>
      <c r="V284" s="33"/>
      <c r="W284" s="33"/>
      <c r="X284" s="33"/>
      <c r="Y284" s="33"/>
      <c r="Z284" s="33"/>
      <c r="AA284" s="33"/>
      <c r="AB284" s="33"/>
      <c r="AC284" s="33"/>
      <c r="AD284" s="593"/>
    </row>
    <row r="285" spans="18:30" x14ac:dyDescent="0.25">
      <c r="R285" s="33"/>
      <c r="S285" s="33"/>
      <c r="T285" s="33"/>
      <c r="U285" s="33"/>
      <c r="V285" s="33"/>
      <c r="W285" s="33"/>
      <c r="X285" s="33"/>
      <c r="Y285" s="33"/>
      <c r="Z285" s="33"/>
      <c r="AA285" s="33"/>
      <c r="AB285" s="33"/>
      <c r="AC285" s="33"/>
      <c r="AD285" s="593"/>
    </row>
    <row r="286" spans="18:30" x14ac:dyDescent="0.25">
      <c r="R286" s="33"/>
      <c r="S286" s="33"/>
      <c r="T286" s="33"/>
      <c r="U286" s="33"/>
      <c r="V286" s="33"/>
      <c r="W286" s="33"/>
      <c r="X286" s="33"/>
      <c r="Y286" s="33"/>
      <c r="Z286" s="33"/>
      <c r="AA286" s="33"/>
      <c r="AB286" s="33"/>
      <c r="AC286" s="33"/>
      <c r="AD286" s="593"/>
    </row>
    <row r="287" spans="18:30" x14ac:dyDescent="0.25">
      <c r="R287" s="33"/>
      <c r="S287" s="33"/>
      <c r="T287" s="33"/>
      <c r="U287" s="33"/>
      <c r="V287" s="33"/>
      <c r="W287" s="33"/>
      <c r="X287" s="33"/>
      <c r="Y287" s="33"/>
      <c r="Z287" s="33"/>
      <c r="AA287" s="33"/>
      <c r="AB287" s="33"/>
      <c r="AC287" s="33"/>
      <c r="AD287" s="593"/>
    </row>
    <row r="288" spans="18:30" x14ac:dyDescent="0.25">
      <c r="R288" s="33"/>
      <c r="S288" s="33"/>
      <c r="T288" s="33"/>
      <c r="U288" s="33"/>
      <c r="V288" s="33"/>
      <c r="W288" s="33"/>
      <c r="X288" s="33"/>
      <c r="Y288" s="33"/>
      <c r="Z288" s="33"/>
      <c r="AA288" s="33"/>
      <c r="AB288" s="33"/>
      <c r="AC288" s="33"/>
      <c r="AD288" s="593"/>
    </row>
    <row r="289" spans="18:30" x14ac:dyDescent="0.25">
      <c r="R289" s="33"/>
      <c r="S289" s="33"/>
      <c r="T289" s="33"/>
      <c r="U289" s="33"/>
      <c r="V289" s="33"/>
      <c r="W289" s="33"/>
      <c r="X289" s="33"/>
      <c r="Y289" s="33"/>
      <c r="Z289" s="33"/>
      <c r="AA289" s="33"/>
      <c r="AB289" s="33"/>
      <c r="AC289" s="33"/>
      <c r="AD289" s="593"/>
    </row>
    <row r="290" spans="18:30" x14ac:dyDescent="0.25">
      <c r="R290" s="33"/>
      <c r="S290" s="33"/>
      <c r="T290" s="33"/>
      <c r="U290" s="33"/>
      <c r="V290" s="33"/>
      <c r="W290" s="33"/>
      <c r="X290" s="33"/>
      <c r="Y290" s="33"/>
      <c r="Z290" s="33"/>
      <c r="AA290" s="33"/>
      <c r="AB290" s="33"/>
      <c r="AC290" s="33"/>
      <c r="AD290" s="593"/>
    </row>
    <row r="291" spans="18:30" x14ac:dyDescent="0.25">
      <c r="R291" s="33"/>
      <c r="S291" s="33"/>
      <c r="T291" s="33"/>
      <c r="U291" s="33"/>
      <c r="V291" s="33"/>
      <c r="W291" s="33"/>
      <c r="X291" s="33"/>
      <c r="Y291" s="33"/>
      <c r="Z291" s="33"/>
      <c r="AA291" s="33"/>
      <c r="AB291" s="33"/>
      <c r="AC291" s="33"/>
      <c r="AD291" s="593"/>
    </row>
    <row r="292" spans="18:30" x14ac:dyDescent="0.25">
      <c r="R292" s="33"/>
      <c r="S292" s="33"/>
      <c r="T292" s="33"/>
      <c r="U292" s="33"/>
      <c r="V292" s="33"/>
      <c r="W292" s="33"/>
      <c r="X292" s="33"/>
      <c r="Y292" s="33"/>
      <c r="Z292" s="33"/>
      <c r="AA292" s="33"/>
      <c r="AB292" s="33"/>
      <c r="AC292" s="33"/>
      <c r="AD292" s="593"/>
    </row>
    <row r="293" spans="18:30" x14ac:dyDescent="0.25">
      <c r="R293" s="33"/>
      <c r="S293" s="33"/>
      <c r="T293" s="33"/>
      <c r="U293" s="33"/>
      <c r="V293" s="33"/>
      <c r="W293" s="33"/>
      <c r="X293" s="33"/>
      <c r="Y293" s="33"/>
      <c r="Z293" s="33"/>
      <c r="AA293" s="33"/>
      <c r="AB293" s="33"/>
      <c r="AC293" s="33"/>
      <c r="AD293" s="593"/>
    </row>
    <row r="294" spans="18:30" x14ac:dyDescent="0.25">
      <c r="R294" s="33"/>
      <c r="S294" s="33"/>
      <c r="T294" s="33"/>
      <c r="U294" s="33"/>
      <c r="V294" s="33"/>
      <c r="W294" s="33"/>
      <c r="X294" s="33"/>
      <c r="Y294" s="33"/>
      <c r="Z294" s="33"/>
      <c r="AA294" s="33"/>
      <c r="AB294" s="33"/>
      <c r="AC294" s="33"/>
      <c r="AD294" s="593"/>
    </row>
    <row r="295" spans="18:30" x14ac:dyDescent="0.25">
      <c r="R295" s="33"/>
      <c r="S295" s="33"/>
      <c r="T295" s="33"/>
      <c r="U295" s="33"/>
      <c r="V295" s="33"/>
      <c r="W295" s="33"/>
      <c r="X295" s="33"/>
      <c r="Y295" s="33"/>
      <c r="Z295" s="33"/>
      <c r="AA295" s="33"/>
      <c r="AB295" s="33"/>
      <c r="AC295" s="33"/>
      <c r="AD295" s="593"/>
    </row>
    <row r="296" spans="18:30" x14ac:dyDescent="0.25">
      <c r="R296" s="33"/>
      <c r="S296" s="33"/>
      <c r="T296" s="33"/>
      <c r="U296" s="33"/>
      <c r="V296" s="33"/>
      <c r="W296" s="33"/>
      <c r="X296" s="33"/>
      <c r="Y296" s="33"/>
      <c r="Z296" s="33"/>
      <c r="AA296" s="33"/>
      <c r="AB296" s="33"/>
      <c r="AC296" s="33"/>
      <c r="AD296" s="593"/>
    </row>
    <row r="297" spans="18:30" x14ac:dyDescent="0.25">
      <c r="R297" s="33"/>
      <c r="S297" s="33"/>
      <c r="T297" s="33"/>
      <c r="U297" s="33"/>
      <c r="V297" s="33"/>
      <c r="W297" s="33"/>
      <c r="X297" s="33"/>
      <c r="Y297" s="33"/>
      <c r="Z297" s="33"/>
      <c r="AA297" s="33"/>
      <c r="AB297" s="33"/>
      <c r="AC297" s="33"/>
      <c r="AD297" s="593"/>
    </row>
    <row r="298" spans="18:30" x14ac:dyDescent="0.25">
      <c r="R298" s="33"/>
      <c r="S298" s="33"/>
      <c r="T298" s="33"/>
      <c r="U298" s="33"/>
      <c r="V298" s="33"/>
      <c r="W298" s="33"/>
      <c r="X298" s="33"/>
      <c r="Y298" s="33"/>
      <c r="Z298" s="33"/>
      <c r="AA298" s="33"/>
      <c r="AB298" s="33"/>
      <c r="AC298" s="33"/>
      <c r="AD298" s="593"/>
    </row>
    <row r="299" spans="18:30" x14ac:dyDescent="0.25">
      <c r="R299" s="33"/>
      <c r="S299" s="33"/>
      <c r="T299" s="33"/>
      <c r="U299" s="33"/>
      <c r="V299" s="33"/>
      <c r="W299" s="33"/>
      <c r="X299" s="33"/>
      <c r="Y299" s="33"/>
      <c r="Z299" s="33"/>
      <c r="AA299" s="33"/>
      <c r="AB299" s="33"/>
      <c r="AC299" s="33"/>
      <c r="AD299" s="593"/>
    </row>
    <row r="300" spans="18:30" x14ac:dyDescent="0.25">
      <c r="R300" s="33"/>
      <c r="S300" s="33"/>
      <c r="T300" s="33"/>
      <c r="U300" s="33"/>
      <c r="V300" s="33"/>
      <c r="W300" s="33"/>
      <c r="X300" s="33"/>
      <c r="Y300" s="33"/>
      <c r="Z300" s="33"/>
      <c r="AA300" s="33"/>
      <c r="AB300" s="33"/>
      <c r="AC300" s="33"/>
      <c r="AD300" s="593"/>
    </row>
    <row r="301" spans="18:30" x14ac:dyDescent="0.25">
      <c r="R301" s="33"/>
      <c r="S301" s="33"/>
      <c r="T301" s="33"/>
      <c r="U301" s="33"/>
      <c r="V301" s="33"/>
      <c r="W301" s="33"/>
      <c r="X301" s="33"/>
      <c r="Y301" s="33"/>
      <c r="Z301" s="33"/>
      <c r="AA301" s="33"/>
      <c r="AB301" s="33"/>
      <c r="AC301" s="33"/>
      <c r="AD301" s="593"/>
    </row>
    <row r="302" spans="18:30" x14ac:dyDescent="0.25">
      <c r="R302" s="33"/>
      <c r="S302" s="33"/>
      <c r="T302" s="33"/>
      <c r="U302" s="33"/>
      <c r="V302" s="33"/>
      <c r="W302" s="33"/>
      <c r="X302" s="33"/>
      <c r="Y302" s="33"/>
      <c r="Z302" s="33"/>
      <c r="AA302" s="33"/>
      <c r="AB302" s="33"/>
      <c r="AC302" s="33"/>
      <c r="AD302" s="593"/>
    </row>
    <row r="303" spans="18:30" x14ac:dyDescent="0.25">
      <c r="R303" s="33"/>
      <c r="S303" s="33"/>
      <c r="T303" s="33"/>
      <c r="U303" s="33"/>
      <c r="V303" s="33"/>
      <c r="W303" s="33"/>
      <c r="X303" s="33"/>
      <c r="Y303" s="33"/>
      <c r="Z303" s="33"/>
      <c r="AA303" s="33"/>
      <c r="AB303" s="33"/>
      <c r="AC303" s="33"/>
      <c r="AD303" s="593"/>
    </row>
    <row r="304" spans="18:30" x14ac:dyDescent="0.25">
      <c r="R304" s="33"/>
      <c r="S304" s="33"/>
      <c r="T304" s="33"/>
      <c r="U304" s="33"/>
      <c r="V304" s="33"/>
      <c r="W304" s="33"/>
      <c r="X304" s="33"/>
      <c r="Y304" s="33"/>
      <c r="Z304" s="33"/>
      <c r="AA304" s="33"/>
      <c r="AB304" s="33"/>
      <c r="AC304" s="33"/>
      <c r="AD304" s="593"/>
    </row>
    <row r="305" spans="18:30" x14ac:dyDescent="0.25">
      <c r="R305" s="33"/>
      <c r="S305" s="33"/>
      <c r="T305" s="33"/>
      <c r="U305" s="33"/>
      <c r="V305" s="33"/>
      <c r="W305" s="33"/>
      <c r="X305" s="33"/>
      <c r="Y305" s="33"/>
      <c r="Z305" s="33"/>
      <c r="AA305" s="33"/>
      <c r="AB305" s="33"/>
      <c r="AC305" s="33"/>
      <c r="AD305" s="593"/>
    </row>
    <row r="306" spans="18:30" x14ac:dyDescent="0.25">
      <c r="R306" s="33"/>
      <c r="S306" s="33"/>
      <c r="T306" s="33"/>
      <c r="U306" s="33"/>
      <c r="V306" s="33"/>
      <c r="W306" s="33"/>
      <c r="X306" s="33"/>
      <c r="Y306" s="33"/>
      <c r="Z306" s="33"/>
      <c r="AA306" s="33"/>
      <c r="AB306" s="33"/>
      <c r="AC306" s="33"/>
      <c r="AD306" s="593"/>
    </row>
    <row r="307" spans="18:30" x14ac:dyDescent="0.25">
      <c r="R307" s="33"/>
      <c r="S307" s="33"/>
      <c r="T307" s="33"/>
      <c r="U307" s="33"/>
      <c r="V307" s="33"/>
      <c r="W307" s="33"/>
      <c r="X307" s="33"/>
      <c r="Y307" s="33"/>
      <c r="Z307" s="33"/>
      <c r="AA307" s="33"/>
      <c r="AB307" s="33"/>
      <c r="AC307" s="33"/>
      <c r="AD307" s="593"/>
    </row>
    <row r="308" spans="18:30" x14ac:dyDescent="0.25">
      <c r="R308" s="33"/>
      <c r="S308" s="33"/>
      <c r="T308" s="33"/>
      <c r="U308" s="33"/>
      <c r="V308" s="33"/>
      <c r="W308" s="33"/>
      <c r="X308" s="33"/>
      <c r="Y308" s="33"/>
      <c r="Z308" s="33"/>
      <c r="AA308" s="33"/>
      <c r="AB308" s="33"/>
      <c r="AC308" s="33"/>
      <c r="AD308" s="593"/>
    </row>
    <row r="309" spans="18:30" x14ac:dyDescent="0.25">
      <c r="R309" s="33"/>
      <c r="S309" s="33"/>
      <c r="T309" s="33"/>
      <c r="U309" s="33"/>
      <c r="V309" s="33"/>
      <c r="W309" s="33"/>
      <c r="X309" s="33"/>
      <c r="Y309" s="33"/>
      <c r="Z309" s="33"/>
      <c r="AA309" s="33"/>
      <c r="AB309" s="33"/>
      <c r="AC309" s="33"/>
      <c r="AD309" s="593"/>
    </row>
    <row r="310" spans="18:30" x14ac:dyDescent="0.25">
      <c r="R310" s="33"/>
      <c r="S310" s="33"/>
      <c r="T310" s="33"/>
      <c r="U310" s="33"/>
      <c r="V310" s="33"/>
      <c r="W310" s="33"/>
      <c r="X310" s="33"/>
      <c r="Y310" s="33"/>
      <c r="Z310" s="33"/>
      <c r="AA310" s="33"/>
      <c r="AB310" s="33"/>
      <c r="AC310" s="33"/>
      <c r="AD310" s="593"/>
    </row>
    <row r="311" spans="18:30" x14ac:dyDescent="0.25">
      <c r="R311" s="33"/>
      <c r="S311" s="33"/>
      <c r="T311" s="33"/>
      <c r="U311" s="33"/>
      <c r="V311" s="33"/>
      <c r="W311" s="33"/>
      <c r="X311" s="33"/>
      <c r="Y311" s="33"/>
      <c r="Z311" s="33"/>
      <c r="AA311" s="33"/>
      <c r="AB311" s="33"/>
      <c r="AC311" s="33"/>
      <c r="AD311" s="593"/>
    </row>
    <row r="312" spans="18:30" x14ac:dyDescent="0.25">
      <c r="R312" s="33"/>
      <c r="S312" s="33"/>
      <c r="T312" s="33"/>
      <c r="U312" s="33"/>
      <c r="V312" s="33"/>
      <c r="W312" s="33"/>
      <c r="X312" s="33"/>
      <c r="Y312" s="33"/>
      <c r="Z312" s="33"/>
      <c r="AA312" s="33"/>
      <c r="AB312" s="33"/>
      <c r="AC312" s="33"/>
      <c r="AD312" s="593"/>
    </row>
    <row r="313" spans="18:30" x14ac:dyDescent="0.25">
      <c r="R313" s="33"/>
      <c r="S313" s="33"/>
      <c r="T313" s="33"/>
      <c r="U313" s="33"/>
      <c r="V313" s="33"/>
      <c r="W313" s="33"/>
      <c r="X313" s="33"/>
      <c r="Y313" s="33"/>
      <c r="Z313" s="33"/>
      <c r="AA313" s="33"/>
      <c r="AB313" s="33"/>
      <c r="AC313" s="33"/>
      <c r="AD313" s="593"/>
    </row>
    <row r="314" spans="18:30" x14ac:dyDescent="0.25">
      <c r="R314" s="33"/>
      <c r="S314" s="33"/>
      <c r="T314" s="33"/>
      <c r="U314" s="33"/>
      <c r="V314" s="33"/>
      <c r="W314" s="33"/>
      <c r="X314" s="33"/>
      <c r="Y314" s="33"/>
      <c r="Z314" s="33"/>
      <c r="AA314" s="33"/>
      <c r="AB314" s="33"/>
      <c r="AC314" s="33"/>
      <c r="AD314" s="593"/>
    </row>
    <row r="315" spans="18:30" x14ac:dyDescent="0.25">
      <c r="R315" s="33"/>
      <c r="S315" s="33"/>
      <c r="T315" s="33"/>
      <c r="U315" s="33"/>
      <c r="V315" s="33"/>
      <c r="W315" s="33"/>
      <c r="X315" s="33"/>
      <c r="Y315" s="33"/>
      <c r="Z315" s="33"/>
      <c r="AA315" s="33"/>
      <c r="AB315" s="33"/>
      <c r="AC315" s="33"/>
      <c r="AD315" s="593"/>
    </row>
    <row r="316" spans="18:30" x14ac:dyDescent="0.25">
      <c r="R316" s="33"/>
      <c r="S316" s="33"/>
      <c r="T316" s="33"/>
      <c r="U316" s="33"/>
      <c r="V316" s="33"/>
      <c r="W316" s="33"/>
      <c r="X316" s="33"/>
      <c r="Y316" s="33"/>
      <c r="Z316" s="33"/>
      <c r="AA316" s="33"/>
      <c r="AB316" s="33"/>
      <c r="AC316" s="33"/>
      <c r="AD316" s="593"/>
    </row>
    <row r="317" spans="18:30" x14ac:dyDescent="0.25">
      <c r="R317" s="33"/>
      <c r="S317" s="33"/>
      <c r="T317" s="33"/>
      <c r="U317" s="33"/>
      <c r="V317" s="33"/>
      <c r="W317" s="33"/>
      <c r="X317" s="33"/>
      <c r="Y317" s="33"/>
      <c r="Z317" s="33"/>
      <c r="AA317" s="33"/>
      <c r="AB317" s="33"/>
      <c r="AC317" s="33"/>
      <c r="AD317" s="593"/>
    </row>
    <row r="318" spans="18:30" x14ac:dyDescent="0.25">
      <c r="R318" s="33"/>
      <c r="S318" s="33"/>
      <c r="T318" s="33"/>
      <c r="U318" s="33"/>
      <c r="V318" s="33"/>
      <c r="W318" s="33"/>
      <c r="X318" s="33"/>
      <c r="Y318" s="33"/>
      <c r="Z318" s="33"/>
      <c r="AA318" s="33"/>
      <c r="AB318" s="33"/>
      <c r="AC318" s="33"/>
      <c r="AD318" s="593"/>
    </row>
    <row r="319" spans="18:30" x14ac:dyDescent="0.25">
      <c r="R319" s="33"/>
      <c r="S319" s="33"/>
      <c r="T319" s="33"/>
      <c r="U319" s="33"/>
      <c r="V319" s="33"/>
      <c r="W319" s="33"/>
      <c r="X319" s="33"/>
      <c r="Y319" s="33"/>
      <c r="Z319" s="33"/>
      <c r="AA319" s="33"/>
      <c r="AB319" s="33"/>
      <c r="AC319" s="33"/>
      <c r="AD319" s="593"/>
    </row>
    <row r="320" spans="18:30" x14ac:dyDescent="0.25">
      <c r="R320" s="33"/>
      <c r="S320" s="33"/>
      <c r="T320" s="33"/>
      <c r="U320" s="33"/>
      <c r="V320" s="33"/>
      <c r="W320" s="33"/>
      <c r="X320" s="33"/>
      <c r="Y320" s="33"/>
      <c r="Z320" s="33"/>
      <c r="AA320" s="33"/>
      <c r="AB320" s="33"/>
      <c r="AC320" s="33"/>
      <c r="AD320" s="593"/>
    </row>
    <row r="321" spans="18:30" x14ac:dyDescent="0.25">
      <c r="R321" s="33"/>
      <c r="S321" s="33"/>
      <c r="T321" s="33"/>
      <c r="U321" s="33"/>
      <c r="V321" s="33"/>
      <c r="W321" s="33"/>
      <c r="X321" s="33"/>
      <c r="Y321" s="33"/>
      <c r="Z321" s="33"/>
      <c r="AA321" s="33"/>
      <c r="AB321" s="33"/>
      <c r="AC321" s="33"/>
      <c r="AD321" s="593"/>
    </row>
    <row r="322" spans="18:30" x14ac:dyDescent="0.25">
      <c r="R322" s="33"/>
      <c r="S322" s="33"/>
      <c r="T322" s="33"/>
      <c r="U322" s="33"/>
      <c r="V322" s="33"/>
      <c r="W322" s="33"/>
      <c r="X322" s="33"/>
      <c r="Y322" s="33"/>
      <c r="Z322" s="33"/>
      <c r="AA322" s="33"/>
      <c r="AB322" s="33"/>
      <c r="AC322" s="33"/>
      <c r="AD322" s="593"/>
    </row>
    <row r="323" spans="18:30" x14ac:dyDescent="0.25">
      <c r="R323" s="33"/>
      <c r="S323" s="33"/>
      <c r="T323" s="33"/>
      <c r="U323" s="33"/>
      <c r="V323" s="33"/>
      <c r="W323" s="33"/>
      <c r="X323" s="33"/>
      <c r="Y323" s="33"/>
      <c r="Z323" s="33"/>
      <c r="AA323" s="33"/>
      <c r="AB323" s="33"/>
      <c r="AC323" s="33"/>
      <c r="AD323" s="593"/>
    </row>
    <row r="324" spans="18:30" x14ac:dyDescent="0.25">
      <c r="R324" s="33"/>
      <c r="S324" s="33"/>
      <c r="T324" s="33"/>
      <c r="U324" s="33"/>
      <c r="V324" s="33"/>
      <c r="W324" s="33"/>
      <c r="X324" s="33"/>
      <c r="Y324" s="33"/>
      <c r="Z324" s="33"/>
      <c r="AA324" s="33"/>
      <c r="AB324" s="33"/>
      <c r="AC324" s="33"/>
      <c r="AD324" s="593"/>
    </row>
    <row r="325" spans="18:30" x14ac:dyDescent="0.25">
      <c r="R325" s="33"/>
      <c r="S325" s="33"/>
      <c r="T325" s="33"/>
      <c r="U325" s="33"/>
      <c r="V325" s="33"/>
      <c r="W325" s="33"/>
      <c r="X325" s="33"/>
      <c r="Y325" s="33"/>
      <c r="Z325" s="33"/>
      <c r="AA325" s="33"/>
      <c r="AB325" s="33"/>
      <c r="AC325" s="33"/>
      <c r="AD325" s="593"/>
    </row>
    <row r="326" spans="18:30" x14ac:dyDescent="0.25">
      <c r="R326" s="33"/>
      <c r="S326" s="33"/>
      <c r="T326" s="33"/>
      <c r="U326" s="33"/>
      <c r="V326" s="33"/>
      <c r="W326" s="33"/>
      <c r="X326" s="33"/>
      <c r="Y326" s="33"/>
      <c r="Z326" s="33"/>
      <c r="AA326" s="33"/>
      <c r="AB326" s="33"/>
      <c r="AC326" s="33"/>
      <c r="AD326" s="593"/>
    </row>
    <row r="327" spans="18:30" x14ac:dyDescent="0.25">
      <c r="R327" s="33"/>
      <c r="S327" s="33"/>
      <c r="T327" s="33"/>
      <c r="U327" s="33"/>
      <c r="V327" s="33"/>
      <c r="W327" s="33"/>
      <c r="X327" s="33"/>
      <c r="Y327" s="33"/>
      <c r="Z327" s="33"/>
      <c r="AA327" s="33"/>
      <c r="AB327" s="33"/>
      <c r="AC327" s="33"/>
      <c r="AD327" s="593"/>
    </row>
    <row r="328" spans="18:30" x14ac:dyDescent="0.25">
      <c r="R328" s="33"/>
      <c r="S328" s="33"/>
      <c r="T328" s="33"/>
      <c r="U328" s="33"/>
      <c r="V328" s="33"/>
      <c r="W328" s="33"/>
      <c r="X328" s="33"/>
      <c r="Y328" s="33"/>
      <c r="Z328" s="33"/>
      <c r="AA328" s="33"/>
      <c r="AB328" s="33"/>
      <c r="AC328" s="33"/>
      <c r="AD328" s="593"/>
    </row>
    <row r="329" spans="18:30" x14ac:dyDescent="0.25">
      <c r="R329" s="33"/>
      <c r="S329" s="33"/>
      <c r="T329" s="33"/>
      <c r="U329" s="33"/>
      <c r="V329" s="33"/>
      <c r="W329" s="33"/>
      <c r="X329" s="33"/>
      <c r="Y329" s="33"/>
      <c r="Z329" s="33"/>
      <c r="AA329" s="33"/>
      <c r="AB329" s="33"/>
      <c r="AC329" s="33"/>
      <c r="AD329" s="593"/>
    </row>
    <row r="330" spans="18:30" x14ac:dyDescent="0.25">
      <c r="R330" s="33"/>
      <c r="S330" s="33"/>
      <c r="T330" s="33"/>
      <c r="U330" s="33"/>
      <c r="V330" s="33"/>
      <c r="W330" s="33"/>
      <c r="X330" s="33"/>
      <c r="Y330" s="33"/>
      <c r="Z330" s="33"/>
      <c r="AA330" s="33"/>
      <c r="AB330" s="33"/>
      <c r="AC330" s="33"/>
      <c r="AD330" s="593"/>
    </row>
    <row r="331" spans="18:30" x14ac:dyDescent="0.25">
      <c r="R331" s="33"/>
      <c r="S331" s="33"/>
      <c r="T331" s="33"/>
      <c r="U331" s="33"/>
      <c r="V331" s="33"/>
      <c r="W331" s="33"/>
      <c r="X331" s="33"/>
      <c r="Y331" s="33"/>
      <c r="Z331" s="33"/>
      <c r="AA331" s="33"/>
      <c r="AB331" s="33"/>
      <c r="AC331" s="33"/>
      <c r="AD331" s="593"/>
    </row>
    <row r="332" spans="18:30" x14ac:dyDescent="0.25">
      <c r="R332" s="33"/>
      <c r="S332" s="33"/>
      <c r="T332" s="33"/>
      <c r="U332" s="33"/>
      <c r="V332" s="33"/>
      <c r="W332" s="33"/>
      <c r="X332" s="33"/>
      <c r="Y332" s="33"/>
      <c r="Z332" s="33"/>
      <c r="AA332" s="33"/>
      <c r="AB332" s="33"/>
      <c r="AC332" s="33"/>
      <c r="AD332" s="593"/>
    </row>
    <row r="333" spans="18:30" x14ac:dyDescent="0.25">
      <c r="R333" s="33"/>
      <c r="S333" s="33"/>
      <c r="T333" s="33"/>
      <c r="U333" s="33"/>
      <c r="V333" s="33"/>
      <c r="W333" s="33"/>
      <c r="X333" s="33"/>
      <c r="Y333" s="33"/>
      <c r="Z333" s="33"/>
      <c r="AA333" s="33"/>
      <c r="AB333" s="33"/>
      <c r="AC333" s="33"/>
      <c r="AD333" s="593"/>
    </row>
    <row r="334" spans="18:30" x14ac:dyDescent="0.25">
      <c r="R334" s="33"/>
      <c r="S334" s="33"/>
      <c r="T334" s="33"/>
      <c r="U334" s="33"/>
      <c r="V334" s="33"/>
      <c r="W334" s="33"/>
      <c r="X334" s="33"/>
      <c r="Y334" s="33"/>
      <c r="Z334" s="33"/>
      <c r="AA334" s="33"/>
      <c r="AB334" s="33"/>
      <c r="AC334" s="33"/>
      <c r="AD334" s="593"/>
    </row>
    <row r="335" spans="18:30" x14ac:dyDescent="0.25">
      <c r="R335" s="33"/>
      <c r="S335" s="33"/>
      <c r="T335" s="33"/>
      <c r="U335" s="33"/>
      <c r="V335" s="33"/>
      <c r="W335" s="33"/>
      <c r="X335" s="33"/>
      <c r="Y335" s="33"/>
      <c r="Z335" s="33"/>
      <c r="AA335" s="33"/>
      <c r="AB335" s="33"/>
      <c r="AC335" s="33"/>
      <c r="AD335" s="593"/>
    </row>
    <row r="336" spans="18:30" x14ac:dyDescent="0.25">
      <c r="R336" s="33"/>
      <c r="S336" s="33"/>
      <c r="T336" s="33"/>
      <c r="U336" s="33"/>
      <c r="V336" s="33"/>
      <c r="W336" s="33"/>
      <c r="X336" s="33"/>
      <c r="Y336" s="33"/>
      <c r="Z336" s="33"/>
      <c r="AA336" s="33"/>
      <c r="AB336" s="33"/>
      <c r="AC336" s="33"/>
      <c r="AD336" s="593"/>
    </row>
    <row r="337" spans="18:30" x14ac:dyDescent="0.25">
      <c r="R337" s="33"/>
      <c r="S337" s="33"/>
      <c r="T337" s="33"/>
      <c r="U337" s="33"/>
      <c r="V337" s="33"/>
      <c r="W337" s="33"/>
      <c r="X337" s="33"/>
      <c r="Y337" s="33"/>
      <c r="Z337" s="33"/>
      <c r="AA337" s="33"/>
      <c r="AB337" s="33"/>
      <c r="AC337" s="33"/>
      <c r="AD337" s="593"/>
    </row>
    <row r="338" spans="18:30" x14ac:dyDescent="0.25">
      <c r="R338" s="33"/>
      <c r="S338" s="33"/>
      <c r="T338" s="33"/>
      <c r="U338" s="33"/>
      <c r="V338" s="33"/>
      <c r="W338" s="33"/>
      <c r="X338" s="33"/>
      <c r="Y338" s="33"/>
      <c r="Z338" s="33"/>
      <c r="AA338" s="33"/>
      <c r="AB338" s="33"/>
      <c r="AC338" s="33"/>
      <c r="AD338" s="593"/>
    </row>
    <row r="339" spans="18:30" x14ac:dyDescent="0.25">
      <c r="R339" s="33"/>
      <c r="S339" s="33"/>
      <c r="T339" s="33"/>
      <c r="U339" s="33"/>
      <c r="V339" s="33"/>
      <c r="W339" s="33"/>
      <c r="X339" s="33"/>
      <c r="Y339" s="33"/>
      <c r="Z339" s="33"/>
      <c r="AA339" s="33"/>
      <c r="AB339" s="33"/>
      <c r="AC339" s="33"/>
      <c r="AD339" s="593"/>
    </row>
    <row r="340" spans="18:30" x14ac:dyDescent="0.25">
      <c r="R340" s="33"/>
      <c r="S340" s="33"/>
      <c r="T340" s="33"/>
      <c r="U340" s="33"/>
      <c r="V340" s="33"/>
      <c r="W340" s="33"/>
      <c r="X340" s="33"/>
      <c r="Y340" s="33"/>
      <c r="Z340" s="33"/>
      <c r="AA340" s="33"/>
      <c r="AB340" s="33"/>
      <c r="AC340" s="33"/>
      <c r="AD340" s="593"/>
    </row>
    <row r="341" spans="18:30" x14ac:dyDescent="0.25">
      <c r="R341" s="33"/>
      <c r="S341" s="33"/>
      <c r="T341" s="33"/>
      <c r="U341" s="33"/>
      <c r="V341" s="33"/>
      <c r="W341" s="33"/>
      <c r="X341" s="33"/>
      <c r="Y341" s="33"/>
      <c r="Z341" s="33"/>
      <c r="AA341" s="33"/>
      <c r="AB341" s="33"/>
      <c r="AC341" s="33"/>
      <c r="AD341" s="593"/>
    </row>
    <row r="342" spans="18:30" x14ac:dyDescent="0.25">
      <c r="R342" s="33"/>
      <c r="S342" s="33"/>
      <c r="T342" s="33"/>
      <c r="U342" s="33"/>
      <c r="V342" s="33"/>
      <c r="W342" s="33"/>
      <c r="X342" s="33"/>
      <c r="Y342" s="33"/>
      <c r="Z342" s="33"/>
      <c r="AA342" s="33"/>
      <c r="AB342" s="33"/>
      <c r="AC342" s="33"/>
      <c r="AD342" s="593"/>
    </row>
    <row r="343" spans="18:30" x14ac:dyDescent="0.25">
      <c r="R343" s="33"/>
      <c r="S343" s="33"/>
      <c r="T343" s="33"/>
      <c r="U343" s="33"/>
      <c r="V343" s="33"/>
      <c r="W343" s="33"/>
      <c r="X343" s="33"/>
      <c r="Y343" s="33"/>
      <c r="Z343" s="33"/>
      <c r="AA343" s="33"/>
      <c r="AB343" s="33"/>
      <c r="AC343" s="33"/>
      <c r="AD343" s="593"/>
    </row>
    <row r="344" spans="18:30" x14ac:dyDescent="0.25">
      <c r="R344" s="33"/>
      <c r="S344" s="33"/>
      <c r="T344" s="33"/>
      <c r="U344" s="33"/>
      <c r="V344" s="33"/>
      <c r="W344" s="33"/>
      <c r="X344" s="33"/>
      <c r="Y344" s="33"/>
      <c r="Z344" s="33"/>
      <c r="AA344" s="33"/>
      <c r="AB344" s="33"/>
      <c r="AC344" s="33"/>
      <c r="AD344" s="593"/>
    </row>
    <row r="345" spans="18:30" x14ac:dyDescent="0.25">
      <c r="R345" s="33"/>
      <c r="S345" s="33"/>
      <c r="T345" s="33"/>
      <c r="U345" s="33"/>
      <c r="V345" s="33"/>
      <c r="W345" s="33"/>
      <c r="X345" s="33"/>
      <c r="Y345" s="33"/>
      <c r="Z345" s="33"/>
      <c r="AA345" s="33"/>
      <c r="AB345" s="33"/>
      <c r="AC345" s="33"/>
      <c r="AD345" s="593"/>
    </row>
    <row r="346" spans="18:30" x14ac:dyDescent="0.25">
      <c r="R346" s="33"/>
      <c r="S346" s="33"/>
      <c r="T346" s="33"/>
      <c r="U346" s="33"/>
      <c r="V346" s="33"/>
      <c r="W346" s="33"/>
      <c r="X346" s="33"/>
      <c r="Y346" s="33"/>
      <c r="Z346" s="33"/>
      <c r="AA346" s="33"/>
      <c r="AB346" s="33"/>
      <c r="AC346" s="33"/>
      <c r="AD346" s="593"/>
    </row>
    <row r="347" spans="18:30" x14ac:dyDescent="0.25">
      <c r="R347" s="33"/>
      <c r="S347" s="33"/>
      <c r="T347" s="33"/>
      <c r="U347" s="33"/>
      <c r="V347" s="33"/>
      <c r="W347" s="33"/>
      <c r="X347" s="33"/>
      <c r="Y347" s="33"/>
      <c r="Z347" s="33"/>
      <c r="AA347" s="33"/>
      <c r="AB347" s="33"/>
      <c r="AC347" s="33"/>
      <c r="AD347" s="593"/>
    </row>
    <row r="348" spans="18:30" x14ac:dyDescent="0.25">
      <c r="R348" s="33"/>
      <c r="S348" s="33"/>
      <c r="T348" s="33"/>
      <c r="U348" s="33"/>
      <c r="V348" s="33"/>
      <c r="W348" s="33"/>
      <c r="X348" s="33"/>
      <c r="Y348" s="33"/>
      <c r="Z348" s="33"/>
      <c r="AA348" s="33"/>
      <c r="AB348" s="33"/>
      <c r="AC348" s="33"/>
      <c r="AD348" s="593"/>
    </row>
    <row r="349" spans="18:30" x14ac:dyDescent="0.25">
      <c r="R349" s="33"/>
      <c r="S349" s="33"/>
      <c r="T349" s="33"/>
      <c r="U349" s="33"/>
      <c r="V349" s="33"/>
      <c r="W349" s="33"/>
      <c r="X349" s="33"/>
      <c r="Y349" s="33"/>
      <c r="Z349" s="33"/>
      <c r="AA349" s="33"/>
      <c r="AB349" s="33"/>
      <c r="AC349" s="33"/>
      <c r="AD349" s="593"/>
    </row>
    <row r="350" spans="18:30" x14ac:dyDescent="0.25">
      <c r="R350" s="33"/>
      <c r="S350" s="33"/>
      <c r="T350" s="33"/>
      <c r="U350" s="33"/>
      <c r="V350" s="33"/>
      <c r="W350" s="33"/>
      <c r="X350" s="33"/>
      <c r="Y350" s="33"/>
      <c r="Z350" s="33"/>
      <c r="AA350" s="33"/>
      <c r="AB350" s="33"/>
      <c r="AC350" s="33"/>
      <c r="AD350" s="593"/>
    </row>
    <row r="351" spans="18:30" x14ac:dyDescent="0.25">
      <c r="R351" s="33"/>
      <c r="S351" s="33"/>
      <c r="T351" s="33"/>
      <c r="U351" s="33"/>
      <c r="V351" s="33"/>
      <c r="W351" s="33"/>
      <c r="X351" s="33"/>
      <c r="Y351" s="33"/>
      <c r="Z351" s="33"/>
      <c r="AA351" s="33"/>
      <c r="AB351" s="33"/>
      <c r="AC351" s="33"/>
      <c r="AD351" s="593"/>
    </row>
    <row r="352" spans="18:30" x14ac:dyDescent="0.25">
      <c r="R352" s="33"/>
      <c r="S352" s="33"/>
      <c r="T352" s="33"/>
      <c r="U352" s="33"/>
      <c r="V352" s="33"/>
      <c r="W352" s="33"/>
      <c r="X352" s="33"/>
      <c r="Y352" s="33"/>
      <c r="Z352" s="33"/>
      <c r="AA352" s="33"/>
      <c r="AB352" s="33"/>
      <c r="AC352" s="33"/>
      <c r="AD352" s="593"/>
    </row>
    <row r="353" spans="18:30" x14ac:dyDescent="0.25">
      <c r="R353" s="33"/>
      <c r="S353" s="33"/>
      <c r="T353" s="33"/>
      <c r="U353" s="33"/>
      <c r="V353" s="33"/>
      <c r="W353" s="33"/>
      <c r="X353" s="33"/>
      <c r="Y353" s="33"/>
      <c r="Z353" s="33"/>
      <c r="AA353" s="33"/>
      <c r="AB353" s="33"/>
      <c r="AC353" s="33"/>
      <c r="AD353" s="593"/>
    </row>
    <row r="354" spans="18:30" x14ac:dyDescent="0.25">
      <c r="R354" s="33"/>
      <c r="S354" s="33"/>
      <c r="T354" s="33"/>
      <c r="U354" s="33"/>
      <c r="V354" s="33"/>
      <c r="W354" s="33"/>
      <c r="X354" s="33"/>
      <c r="Y354" s="33"/>
      <c r="Z354" s="33"/>
      <c r="AA354" s="33"/>
      <c r="AB354" s="33"/>
      <c r="AC354" s="33"/>
      <c r="AD354" s="593"/>
    </row>
    <row r="355" spans="18:30" x14ac:dyDescent="0.25">
      <c r="R355" s="33"/>
      <c r="S355" s="33"/>
      <c r="T355" s="33"/>
      <c r="U355" s="33"/>
      <c r="V355" s="33"/>
      <c r="W355" s="33"/>
      <c r="X355" s="33"/>
      <c r="Y355" s="33"/>
      <c r="Z355" s="33"/>
      <c r="AA355" s="33"/>
      <c r="AB355" s="33"/>
      <c r="AC355" s="33"/>
      <c r="AD355" s="593"/>
    </row>
    <row r="356" spans="18:30" x14ac:dyDescent="0.25">
      <c r="R356" s="33"/>
      <c r="S356" s="33"/>
      <c r="T356" s="33"/>
      <c r="U356" s="33"/>
      <c r="V356" s="33"/>
      <c r="W356" s="33"/>
      <c r="X356" s="33"/>
      <c r="Y356" s="33"/>
      <c r="Z356" s="33"/>
      <c r="AA356" s="33"/>
      <c r="AB356" s="33"/>
      <c r="AC356" s="33"/>
      <c r="AD356" s="593"/>
    </row>
    <row r="357" spans="18:30" x14ac:dyDescent="0.25">
      <c r="R357" s="33"/>
      <c r="S357" s="33"/>
      <c r="T357" s="33"/>
      <c r="U357" s="33"/>
      <c r="V357" s="33"/>
      <c r="W357" s="33"/>
      <c r="X357" s="33"/>
      <c r="Y357" s="33"/>
      <c r="Z357" s="33"/>
      <c r="AA357" s="33"/>
      <c r="AB357" s="33"/>
      <c r="AC357" s="33"/>
      <c r="AD357" s="593"/>
    </row>
    <row r="358" spans="18:30" x14ac:dyDescent="0.25">
      <c r="R358" s="33"/>
      <c r="S358" s="33"/>
      <c r="T358" s="33"/>
      <c r="U358" s="33"/>
      <c r="V358" s="33"/>
      <c r="W358" s="33"/>
      <c r="X358" s="33"/>
      <c r="Y358" s="33"/>
      <c r="Z358" s="33"/>
      <c r="AA358" s="33"/>
      <c r="AB358" s="33"/>
      <c r="AC358" s="33"/>
      <c r="AD358" s="593"/>
    </row>
    <row r="359" spans="18:30" x14ac:dyDescent="0.25">
      <c r="R359" s="33"/>
      <c r="S359" s="33"/>
      <c r="T359" s="33"/>
      <c r="U359" s="33"/>
      <c r="V359" s="33"/>
      <c r="W359" s="33"/>
      <c r="X359" s="33"/>
      <c r="Y359" s="33"/>
      <c r="Z359" s="33"/>
      <c r="AA359" s="33"/>
      <c r="AB359" s="33"/>
      <c r="AC359" s="33"/>
      <c r="AD359" s="593"/>
    </row>
    <row r="360" spans="18:30" x14ac:dyDescent="0.25">
      <c r="R360" s="33"/>
      <c r="S360" s="33"/>
      <c r="T360" s="33"/>
      <c r="U360" s="33"/>
      <c r="V360" s="33"/>
      <c r="W360" s="33"/>
      <c r="X360" s="33"/>
      <c r="Y360" s="33"/>
      <c r="Z360" s="33"/>
      <c r="AA360" s="33"/>
      <c r="AB360" s="33"/>
      <c r="AC360" s="33"/>
      <c r="AD360" s="593"/>
    </row>
    <row r="361" spans="18:30" x14ac:dyDescent="0.25">
      <c r="R361" s="33"/>
      <c r="S361" s="33"/>
      <c r="T361" s="33"/>
      <c r="U361" s="33"/>
      <c r="V361" s="33"/>
      <c r="W361" s="33"/>
      <c r="X361" s="33"/>
      <c r="Y361" s="33"/>
      <c r="Z361" s="33"/>
      <c r="AA361" s="33"/>
      <c r="AB361" s="33"/>
      <c r="AC361" s="33"/>
      <c r="AD361" s="593"/>
    </row>
    <row r="362" spans="18:30" x14ac:dyDescent="0.25">
      <c r="R362" s="33"/>
      <c r="S362" s="33"/>
      <c r="T362" s="33"/>
      <c r="U362" s="33"/>
      <c r="V362" s="33"/>
      <c r="W362" s="33"/>
      <c r="X362" s="33"/>
      <c r="Y362" s="33"/>
      <c r="Z362" s="33"/>
      <c r="AA362" s="33"/>
      <c r="AB362" s="33"/>
      <c r="AC362" s="33"/>
      <c r="AD362" s="593"/>
    </row>
    <row r="363" spans="18:30" x14ac:dyDescent="0.25">
      <c r="R363" s="33"/>
      <c r="S363" s="33"/>
      <c r="T363" s="33"/>
      <c r="U363" s="33"/>
      <c r="V363" s="33"/>
      <c r="W363" s="33"/>
      <c r="X363" s="33"/>
      <c r="Y363" s="33"/>
      <c r="Z363" s="33"/>
      <c r="AA363" s="33"/>
      <c r="AB363" s="33"/>
      <c r="AC363" s="33"/>
      <c r="AD363" s="593"/>
    </row>
    <row r="364" spans="18:30" x14ac:dyDescent="0.25">
      <c r="R364" s="33"/>
      <c r="S364" s="33"/>
      <c r="T364" s="33"/>
      <c r="U364" s="33"/>
      <c r="V364" s="33"/>
      <c r="W364" s="33"/>
      <c r="X364" s="33"/>
      <c r="Y364" s="33"/>
      <c r="Z364" s="33"/>
      <c r="AA364" s="33"/>
      <c r="AB364" s="33"/>
      <c r="AC364" s="33"/>
      <c r="AD364" s="593"/>
    </row>
    <row r="365" spans="18:30" x14ac:dyDescent="0.25">
      <c r="R365" s="33"/>
      <c r="S365" s="33"/>
      <c r="T365" s="33"/>
      <c r="U365" s="33"/>
      <c r="V365" s="33"/>
      <c r="W365" s="33"/>
      <c r="X365" s="33"/>
      <c r="Y365" s="33"/>
      <c r="Z365" s="33"/>
      <c r="AA365" s="33"/>
      <c r="AB365" s="33"/>
      <c r="AC365" s="33"/>
      <c r="AD365" s="593"/>
    </row>
    <row r="366" spans="18:30" x14ac:dyDescent="0.25">
      <c r="R366" s="33"/>
      <c r="S366" s="33"/>
      <c r="T366" s="33"/>
      <c r="U366" s="33"/>
      <c r="V366" s="33"/>
      <c r="W366" s="33"/>
      <c r="X366" s="33"/>
      <c r="Y366" s="33"/>
      <c r="Z366" s="33"/>
      <c r="AA366" s="33"/>
      <c r="AB366" s="33"/>
      <c r="AC366" s="33"/>
      <c r="AD366" s="593"/>
    </row>
    <row r="367" spans="18:30" x14ac:dyDescent="0.25">
      <c r="R367" s="33"/>
      <c r="S367" s="33"/>
      <c r="T367" s="33"/>
      <c r="U367" s="33"/>
      <c r="V367" s="33"/>
      <c r="W367" s="33"/>
      <c r="X367" s="33"/>
      <c r="Y367" s="33"/>
      <c r="Z367" s="33"/>
      <c r="AA367" s="33"/>
      <c r="AB367" s="33"/>
      <c r="AC367" s="33"/>
      <c r="AD367" s="593"/>
    </row>
    <row r="368" spans="18:30" x14ac:dyDescent="0.25">
      <c r="R368" s="33"/>
      <c r="S368" s="33"/>
      <c r="T368" s="33"/>
      <c r="U368" s="33"/>
      <c r="V368" s="33"/>
      <c r="W368" s="33"/>
      <c r="X368" s="33"/>
      <c r="Y368" s="33"/>
      <c r="Z368" s="33"/>
      <c r="AA368" s="33"/>
      <c r="AB368" s="33"/>
      <c r="AC368" s="33"/>
      <c r="AD368" s="593"/>
    </row>
    <row r="369" spans="18:30" x14ac:dyDescent="0.25">
      <c r="R369" s="33"/>
      <c r="S369" s="33"/>
      <c r="T369" s="33"/>
      <c r="U369" s="33"/>
      <c r="V369" s="33"/>
      <c r="W369" s="33"/>
      <c r="X369" s="33"/>
      <c r="Y369" s="33"/>
      <c r="Z369" s="33"/>
      <c r="AA369" s="33"/>
      <c r="AB369" s="33"/>
      <c r="AC369" s="33"/>
      <c r="AD369" s="593"/>
    </row>
    <row r="370" spans="18:30" x14ac:dyDescent="0.25">
      <c r="R370" s="33"/>
      <c r="S370" s="33"/>
      <c r="T370" s="33"/>
      <c r="U370" s="33"/>
      <c r="V370" s="33"/>
      <c r="W370" s="33"/>
      <c r="X370" s="33"/>
      <c r="Y370" s="33"/>
      <c r="Z370" s="33"/>
      <c r="AA370" s="33"/>
      <c r="AB370" s="33"/>
      <c r="AC370" s="33"/>
      <c r="AD370" s="593"/>
    </row>
    <row r="371" spans="18:30" x14ac:dyDescent="0.25">
      <c r="R371" s="33"/>
      <c r="S371" s="33"/>
      <c r="T371" s="33"/>
      <c r="U371" s="33"/>
      <c r="V371" s="33"/>
      <c r="W371" s="33"/>
      <c r="X371" s="33"/>
      <c r="Y371" s="33"/>
      <c r="Z371" s="33"/>
      <c r="AA371" s="33"/>
      <c r="AB371" s="33"/>
      <c r="AC371" s="33"/>
      <c r="AD371" s="593"/>
    </row>
    <row r="372" spans="18:30" x14ac:dyDescent="0.25">
      <c r="R372" s="33"/>
      <c r="S372" s="33"/>
      <c r="T372" s="33"/>
      <c r="U372" s="33"/>
      <c r="V372" s="33"/>
      <c r="W372" s="33"/>
      <c r="X372" s="33"/>
      <c r="Y372" s="33"/>
      <c r="Z372" s="33"/>
      <c r="AA372" s="33"/>
      <c r="AB372" s="33"/>
      <c r="AC372" s="33"/>
      <c r="AD372" s="593"/>
    </row>
    <row r="373" spans="18:30" x14ac:dyDescent="0.25">
      <c r="R373" s="33"/>
      <c r="S373" s="33"/>
      <c r="T373" s="33"/>
      <c r="U373" s="33"/>
      <c r="V373" s="33"/>
      <c r="W373" s="33"/>
      <c r="X373" s="33"/>
      <c r="Y373" s="33"/>
      <c r="Z373" s="33"/>
      <c r="AA373" s="33"/>
      <c r="AB373" s="33"/>
      <c r="AC373" s="33"/>
      <c r="AD373" s="593"/>
    </row>
    <row r="374" spans="18:30" x14ac:dyDescent="0.25">
      <c r="R374" s="33"/>
      <c r="S374" s="33"/>
      <c r="T374" s="33"/>
      <c r="U374" s="33"/>
      <c r="V374" s="33"/>
      <c r="W374" s="33"/>
      <c r="X374" s="33"/>
      <c r="Y374" s="33"/>
      <c r="Z374" s="33"/>
      <c r="AA374" s="33"/>
      <c r="AB374" s="33"/>
      <c r="AC374" s="33"/>
      <c r="AD374" s="593"/>
    </row>
    <row r="375" spans="18:30" x14ac:dyDescent="0.25">
      <c r="R375" s="33"/>
      <c r="S375" s="33"/>
      <c r="T375" s="33"/>
      <c r="U375" s="33"/>
      <c r="V375" s="33"/>
      <c r="W375" s="33"/>
      <c r="X375" s="33"/>
      <c r="Y375" s="33"/>
      <c r="Z375" s="33"/>
      <c r="AA375" s="33"/>
      <c r="AB375" s="33"/>
      <c r="AC375" s="33"/>
      <c r="AD375" s="593"/>
    </row>
    <row r="376" spans="18:30" x14ac:dyDescent="0.25">
      <c r="R376" s="33"/>
      <c r="S376" s="33"/>
      <c r="T376" s="33"/>
      <c r="U376" s="33"/>
      <c r="V376" s="33"/>
      <c r="W376" s="33"/>
      <c r="X376" s="33"/>
      <c r="Y376" s="33"/>
      <c r="Z376" s="33"/>
      <c r="AA376" s="33"/>
      <c r="AB376" s="33"/>
      <c r="AC376" s="33"/>
      <c r="AD376" s="593"/>
    </row>
    <row r="377" spans="18:30" x14ac:dyDescent="0.25">
      <c r="R377" s="33"/>
      <c r="S377" s="33"/>
      <c r="T377" s="33"/>
      <c r="U377" s="33"/>
      <c r="V377" s="33"/>
      <c r="W377" s="33"/>
      <c r="X377" s="33"/>
      <c r="Y377" s="33"/>
      <c r="Z377" s="33"/>
      <c r="AA377" s="33"/>
      <c r="AB377" s="33"/>
      <c r="AC377" s="33"/>
      <c r="AD377" s="593"/>
    </row>
    <row r="378" spans="18:30" x14ac:dyDescent="0.25">
      <c r="R378" s="33"/>
      <c r="S378" s="33"/>
      <c r="T378" s="33"/>
      <c r="U378" s="33"/>
      <c r="V378" s="33"/>
      <c r="W378" s="33"/>
      <c r="X378" s="33"/>
      <c r="Y378" s="33"/>
      <c r="Z378" s="33"/>
      <c r="AA378" s="33"/>
      <c r="AB378" s="33"/>
      <c r="AC378" s="33"/>
      <c r="AD378" s="593"/>
    </row>
    <row r="379" spans="18:30" x14ac:dyDescent="0.25">
      <c r="R379" s="33"/>
      <c r="S379" s="33"/>
      <c r="T379" s="33"/>
      <c r="U379" s="33"/>
      <c r="V379" s="33"/>
      <c r="W379" s="33"/>
      <c r="X379" s="33"/>
      <c r="Y379" s="33"/>
      <c r="Z379" s="33"/>
      <c r="AA379" s="33"/>
      <c r="AB379" s="33"/>
      <c r="AC379" s="33"/>
      <c r="AD379" s="593"/>
    </row>
    <row r="380" spans="18:30" x14ac:dyDescent="0.25">
      <c r="R380" s="33"/>
      <c r="S380" s="33"/>
      <c r="T380" s="33"/>
      <c r="U380" s="33"/>
      <c r="V380" s="33"/>
      <c r="W380" s="33"/>
      <c r="X380" s="33"/>
      <c r="Y380" s="33"/>
      <c r="Z380" s="33"/>
      <c r="AA380" s="33"/>
      <c r="AB380" s="33"/>
      <c r="AC380" s="33"/>
      <c r="AD380" s="593"/>
    </row>
    <row r="381" spans="18:30" x14ac:dyDescent="0.25">
      <c r="R381" s="33"/>
      <c r="S381" s="33"/>
      <c r="T381" s="33"/>
      <c r="U381" s="33"/>
      <c r="V381" s="33"/>
      <c r="W381" s="33"/>
      <c r="X381" s="33"/>
      <c r="Y381" s="33"/>
      <c r="Z381" s="33"/>
      <c r="AA381" s="33"/>
      <c r="AB381" s="33"/>
      <c r="AC381" s="33"/>
      <c r="AD381" s="593"/>
    </row>
    <row r="382" spans="18:30" x14ac:dyDescent="0.25">
      <c r="R382" s="33"/>
      <c r="S382" s="33"/>
      <c r="T382" s="33"/>
      <c r="U382" s="33"/>
      <c r="V382" s="33"/>
      <c r="W382" s="33"/>
      <c r="X382" s="33"/>
      <c r="Y382" s="33"/>
      <c r="Z382" s="33"/>
      <c r="AA382" s="33"/>
      <c r="AB382" s="33"/>
      <c r="AC382" s="33"/>
      <c r="AD382" s="593"/>
    </row>
    <row r="383" spans="18:30" x14ac:dyDescent="0.25">
      <c r="R383" s="33"/>
      <c r="S383" s="33"/>
      <c r="T383" s="33"/>
      <c r="U383" s="33"/>
      <c r="V383" s="33"/>
      <c r="W383" s="33"/>
      <c r="X383" s="33"/>
      <c r="Y383" s="33"/>
      <c r="Z383" s="33"/>
      <c r="AA383" s="33"/>
      <c r="AB383" s="33"/>
      <c r="AC383" s="33"/>
      <c r="AD383" s="593"/>
    </row>
    <row r="384" spans="18:30" x14ac:dyDescent="0.25">
      <c r="R384" s="33"/>
      <c r="S384" s="33"/>
      <c r="T384" s="33"/>
      <c r="U384" s="33"/>
      <c r="V384" s="33"/>
      <c r="W384" s="33"/>
      <c r="X384" s="33"/>
      <c r="Y384" s="33"/>
      <c r="Z384" s="33"/>
      <c r="AA384" s="33"/>
      <c r="AB384" s="33"/>
      <c r="AC384" s="33"/>
      <c r="AD384" s="593"/>
    </row>
    <row r="385" spans="18:30" x14ac:dyDescent="0.25">
      <c r="R385" s="33"/>
      <c r="S385" s="33"/>
      <c r="T385" s="33"/>
      <c r="U385" s="33"/>
      <c r="V385" s="33"/>
      <c r="W385" s="33"/>
      <c r="X385" s="33"/>
      <c r="Y385" s="33"/>
      <c r="Z385" s="33"/>
      <c r="AA385" s="33"/>
      <c r="AB385" s="33"/>
      <c r="AC385" s="33"/>
      <c r="AD385" s="593"/>
    </row>
    <row r="386" spans="18:30" x14ac:dyDescent="0.25">
      <c r="R386" s="33"/>
      <c r="S386" s="33"/>
      <c r="T386" s="33"/>
      <c r="U386" s="33"/>
      <c r="V386" s="33"/>
      <c r="W386" s="33"/>
      <c r="X386" s="33"/>
      <c r="Y386" s="33"/>
      <c r="Z386" s="33"/>
      <c r="AA386" s="33"/>
      <c r="AB386" s="33"/>
      <c r="AC386" s="33"/>
      <c r="AD386" s="593"/>
    </row>
    <row r="387" spans="18:30" x14ac:dyDescent="0.25">
      <c r="R387" s="33"/>
      <c r="S387" s="33"/>
      <c r="T387" s="33"/>
      <c r="U387" s="33"/>
      <c r="V387" s="33"/>
      <c r="W387" s="33"/>
      <c r="X387" s="33"/>
      <c r="Y387" s="33"/>
      <c r="Z387" s="33"/>
      <c r="AA387" s="33"/>
      <c r="AB387" s="33"/>
      <c r="AC387" s="33"/>
      <c r="AD387" s="593"/>
    </row>
    <row r="388" spans="18:30" x14ac:dyDescent="0.25">
      <c r="R388" s="33"/>
      <c r="S388" s="33"/>
      <c r="T388" s="33"/>
      <c r="U388" s="33"/>
      <c r="V388" s="33"/>
      <c r="W388" s="33"/>
      <c r="X388" s="33"/>
      <c r="Y388" s="33"/>
      <c r="Z388" s="33"/>
      <c r="AA388" s="33"/>
      <c r="AB388" s="33"/>
      <c r="AC388" s="33"/>
      <c r="AD388" s="593"/>
    </row>
    <row r="389" spans="18:30" x14ac:dyDescent="0.25">
      <c r="R389" s="33"/>
      <c r="S389" s="33"/>
      <c r="T389" s="33"/>
      <c r="U389" s="33"/>
      <c r="V389" s="33"/>
      <c r="W389" s="33"/>
      <c r="X389" s="33"/>
      <c r="Y389" s="33"/>
      <c r="Z389" s="33"/>
      <c r="AA389" s="33"/>
      <c r="AB389" s="33"/>
      <c r="AC389" s="33"/>
      <c r="AD389" s="593"/>
    </row>
    <row r="390" spans="18:30" x14ac:dyDescent="0.25">
      <c r="R390" s="33"/>
      <c r="S390" s="33"/>
      <c r="T390" s="33"/>
      <c r="U390" s="33"/>
      <c r="V390" s="33"/>
      <c r="W390" s="33"/>
      <c r="X390" s="33"/>
      <c r="Y390" s="33"/>
      <c r="Z390" s="33"/>
      <c r="AA390" s="33"/>
      <c r="AB390" s="33"/>
      <c r="AC390" s="33"/>
      <c r="AD390" s="593"/>
    </row>
    <row r="391" spans="18:30" x14ac:dyDescent="0.25">
      <c r="R391" s="33"/>
      <c r="S391" s="33"/>
      <c r="T391" s="33"/>
      <c r="U391" s="33"/>
      <c r="V391" s="33"/>
      <c r="W391" s="33"/>
      <c r="X391" s="33"/>
      <c r="Y391" s="33"/>
      <c r="Z391" s="33"/>
      <c r="AA391" s="33"/>
      <c r="AB391" s="33"/>
      <c r="AC391" s="33"/>
      <c r="AD391" s="593"/>
    </row>
    <row r="392" spans="18:30" x14ac:dyDescent="0.25">
      <c r="R392" s="33"/>
      <c r="S392" s="33"/>
      <c r="T392" s="33"/>
      <c r="U392" s="33"/>
      <c r="V392" s="33"/>
      <c r="W392" s="33"/>
      <c r="X392" s="33"/>
      <c r="Y392" s="33"/>
      <c r="Z392" s="33"/>
      <c r="AA392" s="33"/>
      <c r="AB392" s="33"/>
      <c r="AC392" s="33"/>
      <c r="AD392" s="593"/>
    </row>
    <row r="393" spans="18:30" x14ac:dyDescent="0.25">
      <c r="R393" s="33"/>
      <c r="S393" s="33"/>
      <c r="T393" s="33"/>
      <c r="U393" s="33"/>
      <c r="V393" s="33"/>
      <c r="W393" s="33"/>
      <c r="X393" s="33"/>
      <c r="Y393" s="33"/>
      <c r="Z393" s="33"/>
      <c r="AA393" s="33"/>
      <c r="AB393" s="33"/>
      <c r="AC393" s="33"/>
      <c r="AD393" s="593"/>
    </row>
    <row r="394" spans="18:30" x14ac:dyDescent="0.25">
      <c r="R394" s="33"/>
      <c r="S394" s="33"/>
      <c r="T394" s="33"/>
      <c r="U394" s="33"/>
      <c r="V394" s="33"/>
      <c r="W394" s="33"/>
      <c r="X394" s="33"/>
      <c r="Y394" s="33"/>
      <c r="Z394" s="33"/>
      <c r="AA394" s="33"/>
      <c r="AB394" s="33"/>
      <c r="AC394" s="33"/>
      <c r="AD394" s="593"/>
    </row>
    <row r="395" spans="18:30" x14ac:dyDescent="0.25">
      <c r="R395" s="33"/>
      <c r="S395" s="33"/>
      <c r="T395" s="33"/>
      <c r="U395" s="33"/>
      <c r="V395" s="33"/>
      <c r="W395" s="33"/>
      <c r="X395" s="33"/>
      <c r="Y395" s="33"/>
      <c r="Z395" s="33"/>
      <c r="AA395" s="33"/>
      <c r="AB395" s="33"/>
      <c r="AC395" s="33"/>
      <c r="AD395" s="593"/>
    </row>
    <row r="396" spans="18:30" x14ac:dyDescent="0.25">
      <c r="R396" s="33"/>
      <c r="S396" s="33"/>
      <c r="T396" s="33"/>
      <c r="U396" s="33"/>
      <c r="V396" s="33"/>
      <c r="W396" s="33"/>
      <c r="X396" s="33"/>
      <c r="Y396" s="33"/>
      <c r="Z396" s="33"/>
      <c r="AA396" s="33"/>
      <c r="AB396" s="33"/>
      <c r="AC396" s="33"/>
      <c r="AD396" s="593"/>
    </row>
    <row r="397" spans="18:30" x14ac:dyDescent="0.25">
      <c r="R397" s="33"/>
      <c r="S397" s="33"/>
      <c r="T397" s="33"/>
      <c r="U397" s="33"/>
      <c r="V397" s="33"/>
      <c r="W397" s="33"/>
      <c r="X397" s="33"/>
      <c r="Y397" s="33"/>
      <c r="Z397" s="33"/>
      <c r="AA397" s="33"/>
      <c r="AB397" s="33"/>
      <c r="AC397" s="33"/>
      <c r="AD397" s="593"/>
    </row>
    <row r="398" spans="18:30" x14ac:dyDescent="0.25">
      <c r="R398" s="33"/>
      <c r="S398" s="33"/>
      <c r="T398" s="33"/>
      <c r="U398" s="33"/>
      <c r="V398" s="33"/>
      <c r="W398" s="33"/>
      <c r="X398" s="33"/>
      <c r="Y398" s="33"/>
      <c r="Z398" s="33"/>
      <c r="AA398" s="33"/>
      <c r="AB398" s="33"/>
      <c r="AC398" s="33"/>
      <c r="AD398" s="593"/>
    </row>
    <row r="399" spans="18:30" x14ac:dyDescent="0.25">
      <c r="R399" s="33"/>
      <c r="S399" s="33"/>
      <c r="T399" s="33"/>
      <c r="U399" s="33"/>
      <c r="V399" s="33"/>
      <c r="W399" s="33"/>
      <c r="X399" s="33"/>
      <c r="Y399" s="33"/>
      <c r="Z399" s="33"/>
      <c r="AA399" s="33"/>
      <c r="AB399" s="33"/>
      <c r="AC399" s="33"/>
      <c r="AD399" s="593"/>
    </row>
    <row r="400" spans="18:30" x14ac:dyDescent="0.25">
      <c r="R400" s="33"/>
      <c r="S400" s="33"/>
      <c r="T400" s="33"/>
      <c r="U400" s="33"/>
      <c r="V400" s="33"/>
      <c r="W400" s="33"/>
      <c r="X400" s="33"/>
      <c r="Y400" s="33"/>
      <c r="Z400" s="33"/>
      <c r="AA400" s="33"/>
      <c r="AB400" s="33"/>
      <c r="AC400" s="33"/>
      <c r="AD400" s="593"/>
    </row>
    <row r="401" spans="18:30" x14ac:dyDescent="0.25">
      <c r="R401" s="33"/>
      <c r="S401" s="33"/>
      <c r="T401" s="33"/>
      <c r="U401" s="33"/>
      <c r="V401" s="33"/>
      <c r="W401" s="33"/>
      <c r="X401" s="33"/>
      <c r="Y401" s="33"/>
      <c r="Z401" s="33"/>
      <c r="AA401" s="33"/>
      <c r="AB401" s="33"/>
      <c r="AC401" s="33"/>
      <c r="AD401" s="593"/>
    </row>
    <row r="402" spans="18:30" x14ac:dyDescent="0.25">
      <c r="R402" s="33"/>
      <c r="S402" s="33"/>
      <c r="T402" s="33"/>
      <c r="U402" s="33"/>
      <c r="V402" s="33"/>
      <c r="W402" s="33"/>
      <c r="X402" s="33"/>
      <c r="Y402" s="33"/>
      <c r="Z402" s="33"/>
      <c r="AA402" s="33"/>
      <c r="AB402" s="33"/>
      <c r="AC402" s="33"/>
      <c r="AD402" s="593"/>
    </row>
    <row r="403" spans="18:30" x14ac:dyDescent="0.25">
      <c r="R403" s="33"/>
      <c r="S403" s="33"/>
      <c r="T403" s="33"/>
      <c r="U403" s="33"/>
      <c r="V403" s="33"/>
      <c r="W403" s="33"/>
      <c r="X403" s="33"/>
      <c r="Y403" s="33"/>
      <c r="Z403" s="33"/>
      <c r="AA403" s="33"/>
      <c r="AB403" s="33"/>
      <c r="AC403" s="33"/>
      <c r="AD403" s="593"/>
    </row>
    <row r="404" spans="18:30" x14ac:dyDescent="0.25">
      <c r="R404" s="33"/>
      <c r="S404" s="33"/>
      <c r="T404" s="33"/>
      <c r="U404" s="33"/>
      <c r="V404" s="33"/>
      <c r="W404" s="33"/>
      <c r="X404" s="33"/>
      <c r="Y404" s="33"/>
      <c r="Z404" s="33"/>
      <c r="AA404" s="33"/>
      <c r="AB404" s="33"/>
      <c r="AC404" s="33"/>
      <c r="AD404" s="593"/>
    </row>
    <row r="405" spans="18:30" x14ac:dyDescent="0.25">
      <c r="R405" s="33"/>
      <c r="S405" s="33"/>
      <c r="T405" s="33"/>
      <c r="U405" s="33"/>
      <c r="V405" s="33"/>
      <c r="W405" s="33"/>
      <c r="X405" s="33"/>
      <c r="Y405" s="33"/>
      <c r="Z405" s="33"/>
      <c r="AA405" s="33"/>
      <c r="AB405" s="33"/>
      <c r="AC405" s="33"/>
      <c r="AD405" s="593"/>
    </row>
    <row r="406" spans="18:30" x14ac:dyDescent="0.25">
      <c r="R406" s="33"/>
      <c r="S406" s="33"/>
      <c r="T406" s="33"/>
      <c r="U406" s="33"/>
      <c r="V406" s="33"/>
      <c r="W406" s="33"/>
      <c r="X406" s="33"/>
      <c r="Y406" s="33"/>
      <c r="Z406" s="33"/>
      <c r="AA406" s="33"/>
      <c r="AB406" s="33"/>
      <c r="AC406" s="33"/>
      <c r="AD406" s="593"/>
    </row>
    <row r="407" spans="18:30" x14ac:dyDescent="0.25">
      <c r="R407" s="33"/>
      <c r="S407" s="33"/>
      <c r="T407" s="33"/>
      <c r="U407" s="33"/>
      <c r="V407" s="33"/>
      <c r="W407" s="33"/>
      <c r="X407" s="33"/>
      <c r="Y407" s="33"/>
      <c r="Z407" s="33"/>
      <c r="AA407" s="33"/>
      <c r="AB407" s="33"/>
      <c r="AC407" s="33"/>
      <c r="AD407" s="593"/>
    </row>
    <row r="408" spans="18:30" x14ac:dyDescent="0.25">
      <c r="R408" s="33"/>
      <c r="S408" s="33"/>
      <c r="T408" s="33"/>
      <c r="U408" s="33"/>
      <c r="V408" s="33"/>
      <c r="W408" s="33"/>
      <c r="X408" s="33"/>
      <c r="Y408" s="33"/>
      <c r="Z408" s="33"/>
      <c r="AA408" s="33"/>
      <c r="AB408" s="33"/>
      <c r="AC408" s="33"/>
      <c r="AD408" s="593"/>
    </row>
    <row r="409" spans="18:30" x14ac:dyDescent="0.25">
      <c r="R409" s="33"/>
      <c r="S409" s="33"/>
      <c r="T409" s="33"/>
      <c r="U409" s="33"/>
      <c r="V409" s="33"/>
      <c r="W409" s="33"/>
      <c r="X409" s="33"/>
      <c r="Y409" s="33"/>
      <c r="Z409" s="33"/>
      <c r="AA409" s="33"/>
      <c r="AB409" s="33"/>
      <c r="AC409" s="33"/>
      <c r="AD409" s="593"/>
    </row>
    <row r="410" spans="18:30" x14ac:dyDescent="0.25">
      <c r="R410" s="33"/>
      <c r="S410" s="33"/>
      <c r="T410" s="33"/>
      <c r="U410" s="33"/>
      <c r="V410" s="33"/>
      <c r="W410" s="33"/>
      <c r="X410" s="33"/>
      <c r="Y410" s="33"/>
      <c r="Z410" s="33"/>
      <c r="AA410" s="33"/>
      <c r="AB410" s="33"/>
      <c r="AC410" s="33"/>
      <c r="AD410" s="593"/>
    </row>
    <row r="411" spans="18:30" x14ac:dyDescent="0.25">
      <c r="R411" s="33"/>
      <c r="S411" s="33"/>
      <c r="T411" s="33"/>
      <c r="U411" s="33"/>
      <c r="V411" s="33"/>
      <c r="W411" s="33"/>
      <c r="X411" s="33"/>
      <c r="Y411" s="33"/>
      <c r="Z411" s="33"/>
      <c r="AA411" s="33"/>
      <c r="AB411" s="33"/>
      <c r="AC411" s="33"/>
      <c r="AD411" s="593"/>
    </row>
    <row r="412" spans="18:30" x14ac:dyDescent="0.25">
      <c r="R412" s="33"/>
      <c r="S412" s="33"/>
      <c r="T412" s="33"/>
      <c r="U412" s="33"/>
      <c r="V412" s="33"/>
      <c r="W412" s="33"/>
      <c r="X412" s="33"/>
      <c r="Y412" s="33"/>
      <c r="Z412" s="33"/>
      <c r="AA412" s="33"/>
      <c r="AB412" s="33"/>
      <c r="AC412" s="33"/>
      <c r="AD412" s="593"/>
    </row>
    <row r="413" spans="18:30" x14ac:dyDescent="0.25">
      <c r="R413" s="33"/>
      <c r="S413" s="33"/>
      <c r="T413" s="33"/>
      <c r="U413" s="33"/>
      <c r="V413" s="33"/>
      <c r="W413" s="33"/>
      <c r="X413" s="33"/>
      <c r="Y413" s="33"/>
      <c r="Z413" s="33"/>
      <c r="AA413" s="33"/>
      <c r="AB413" s="33"/>
      <c r="AC413" s="33"/>
      <c r="AD413" s="593"/>
    </row>
    <row r="414" spans="18:30" x14ac:dyDescent="0.25">
      <c r="R414" s="33"/>
      <c r="S414" s="33"/>
      <c r="T414" s="33"/>
      <c r="U414" s="33"/>
      <c r="V414" s="33"/>
      <c r="W414" s="33"/>
      <c r="X414" s="33"/>
      <c r="Y414" s="33"/>
      <c r="Z414" s="33"/>
      <c r="AA414" s="33"/>
      <c r="AB414" s="33"/>
      <c r="AC414" s="33"/>
      <c r="AD414" s="593"/>
    </row>
    <row r="415" spans="18:30" x14ac:dyDescent="0.25">
      <c r="R415" s="33"/>
      <c r="S415" s="33"/>
      <c r="T415" s="33"/>
      <c r="U415" s="33"/>
      <c r="V415" s="33"/>
      <c r="W415" s="33"/>
      <c r="X415" s="33"/>
      <c r="Y415" s="33"/>
      <c r="Z415" s="33"/>
      <c r="AA415" s="33"/>
      <c r="AB415" s="33"/>
      <c r="AC415" s="33"/>
      <c r="AD415" s="593"/>
    </row>
    <row r="416" spans="18:30" x14ac:dyDescent="0.25">
      <c r="R416" s="33"/>
      <c r="S416" s="33"/>
      <c r="T416" s="33"/>
      <c r="U416" s="33"/>
      <c r="V416" s="33"/>
      <c r="W416" s="33"/>
      <c r="X416" s="33"/>
      <c r="Y416" s="33"/>
      <c r="Z416" s="33"/>
      <c r="AA416" s="33"/>
      <c r="AB416" s="33"/>
      <c r="AC416" s="33"/>
      <c r="AD416" s="593"/>
    </row>
    <row r="417" spans="18:30" x14ac:dyDescent="0.25">
      <c r="R417" s="33"/>
      <c r="S417" s="33"/>
      <c r="T417" s="33"/>
      <c r="U417" s="33"/>
      <c r="V417" s="33"/>
      <c r="W417" s="33"/>
      <c r="X417" s="33"/>
      <c r="Y417" s="33"/>
      <c r="Z417" s="33"/>
      <c r="AA417" s="33"/>
      <c r="AB417" s="33"/>
      <c r="AC417" s="33"/>
      <c r="AD417" s="593"/>
    </row>
    <row r="418" spans="18:30" x14ac:dyDescent="0.25">
      <c r="R418" s="33"/>
      <c r="S418" s="33"/>
      <c r="T418" s="33"/>
      <c r="U418" s="33"/>
      <c r="V418" s="33"/>
      <c r="W418" s="33"/>
      <c r="X418" s="33"/>
      <c r="Y418" s="33"/>
      <c r="Z418" s="33"/>
      <c r="AA418" s="33"/>
      <c r="AB418" s="33"/>
      <c r="AC418" s="33"/>
      <c r="AD418" s="593"/>
    </row>
    <row r="419" spans="18:30" x14ac:dyDescent="0.25">
      <c r="R419" s="33"/>
      <c r="S419" s="33"/>
      <c r="T419" s="33"/>
      <c r="U419" s="33"/>
      <c r="V419" s="33"/>
      <c r="W419" s="33"/>
      <c r="X419" s="33"/>
      <c r="Y419" s="33"/>
      <c r="Z419" s="33"/>
      <c r="AA419" s="33"/>
      <c r="AB419" s="33"/>
      <c r="AC419" s="33"/>
      <c r="AD419" s="593"/>
    </row>
    <row r="420" spans="18:30" x14ac:dyDescent="0.25">
      <c r="R420" s="33"/>
      <c r="S420" s="33"/>
      <c r="T420" s="33"/>
      <c r="U420" s="33"/>
      <c r="V420" s="33"/>
      <c r="W420" s="33"/>
      <c r="X420" s="33"/>
      <c r="Y420" s="33"/>
      <c r="Z420" s="33"/>
      <c r="AA420" s="33"/>
      <c r="AB420" s="33"/>
      <c r="AC420" s="33"/>
      <c r="AD420" s="593"/>
    </row>
    <row r="421" spans="18:30" x14ac:dyDescent="0.25">
      <c r="R421" s="33"/>
      <c r="S421" s="33"/>
      <c r="T421" s="33"/>
      <c r="U421" s="33"/>
      <c r="V421" s="33"/>
      <c r="W421" s="33"/>
      <c r="X421" s="33"/>
      <c r="Y421" s="33"/>
      <c r="Z421" s="33"/>
      <c r="AA421" s="33"/>
      <c r="AB421" s="33"/>
      <c r="AC421" s="33"/>
      <c r="AD421" s="593"/>
    </row>
    <row r="422" spans="18:30" x14ac:dyDescent="0.25">
      <c r="R422" s="33"/>
      <c r="S422" s="33"/>
      <c r="T422" s="33"/>
      <c r="U422" s="33"/>
      <c r="V422" s="33"/>
      <c r="W422" s="33"/>
      <c r="X422" s="33"/>
      <c r="Y422" s="33"/>
      <c r="Z422" s="33"/>
      <c r="AA422" s="33"/>
      <c r="AB422" s="33"/>
      <c r="AC422" s="33"/>
      <c r="AD422" s="593"/>
    </row>
    <row r="423" spans="18:30" x14ac:dyDescent="0.25">
      <c r="R423" s="33"/>
      <c r="S423" s="33"/>
      <c r="T423" s="33"/>
      <c r="U423" s="33"/>
      <c r="V423" s="33"/>
      <c r="W423" s="33"/>
      <c r="X423" s="33"/>
      <c r="Y423" s="33"/>
      <c r="Z423" s="33"/>
      <c r="AA423" s="33"/>
      <c r="AB423" s="33"/>
      <c r="AC423" s="33"/>
      <c r="AD423" s="593"/>
    </row>
    <row r="424" spans="18:30" x14ac:dyDescent="0.25">
      <c r="R424" s="33"/>
      <c r="S424" s="33"/>
      <c r="T424" s="33"/>
      <c r="U424" s="33"/>
      <c r="V424" s="33"/>
      <c r="W424" s="33"/>
      <c r="X424" s="33"/>
      <c r="Y424" s="33"/>
      <c r="Z424" s="33"/>
      <c r="AA424" s="33"/>
      <c r="AB424" s="33"/>
      <c r="AC424" s="33"/>
      <c r="AD424" s="593"/>
    </row>
    <row r="425" spans="18:30" x14ac:dyDescent="0.25">
      <c r="R425" s="33"/>
      <c r="S425" s="33"/>
      <c r="T425" s="33"/>
      <c r="U425" s="33"/>
      <c r="V425" s="33"/>
      <c r="W425" s="33"/>
      <c r="X425" s="33"/>
      <c r="Y425" s="33"/>
      <c r="Z425" s="33"/>
      <c r="AA425" s="33"/>
      <c r="AB425" s="33"/>
      <c r="AC425" s="33"/>
      <c r="AD425" s="593"/>
    </row>
    <row r="426" spans="18:30" x14ac:dyDescent="0.25">
      <c r="R426" s="33"/>
      <c r="S426" s="33"/>
      <c r="T426" s="33"/>
      <c r="U426" s="33"/>
      <c r="V426" s="33"/>
      <c r="W426" s="33"/>
      <c r="X426" s="33"/>
      <c r="Y426" s="33"/>
      <c r="Z426" s="33"/>
      <c r="AA426" s="33"/>
      <c r="AB426" s="33"/>
      <c r="AC426" s="33"/>
      <c r="AD426" s="593"/>
    </row>
    <row r="427" spans="18:30" x14ac:dyDescent="0.25">
      <c r="R427" s="33"/>
      <c r="S427" s="33"/>
      <c r="T427" s="33"/>
      <c r="U427" s="33"/>
      <c r="V427" s="33"/>
      <c r="W427" s="33"/>
      <c r="X427" s="33"/>
      <c r="Y427" s="33"/>
      <c r="Z427" s="33"/>
      <c r="AA427" s="33"/>
      <c r="AB427" s="33"/>
      <c r="AC427" s="33"/>
      <c r="AD427" s="593"/>
    </row>
    <row r="428" spans="18:30" x14ac:dyDescent="0.25">
      <c r="R428" s="33"/>
      <c r="S428" s="33"/>
      <c r="T428" s="33"/>
      <c r="U428" s="33"/>
      <c r="V428" s="33"/>
      <c r="W428" s="33"/>
      <c r="X428" s="33"/>
      <c r="Y428" s="33"/>
      <c r="Z428" s="33"/>
      <c r="AA428" s="33"/>
      <c r="AB428" s="33"/>
      <c r="AC428" s="33"/>
      <c r="AD428" s="593"/>
    </row>
    <row r="429" spans="18:30" x14ac:dyDescent="0.25">
      <c r="R429" s="33"/>
      <c r="S429" s="33"/>
      <c r="T429" s="33"/>
      <c r="U429" s="33"/>
      <c r="V429" s="33"/>
      <c r="W429" s="33"/>
      <c r="X429" s="33"/>
      <c r="Y429" s="33"/>
      <c r="Z429" s="33"/>
      <c r="AA429" s="33"/>
      <c r="AB429" s="33"/>
      <c r="AC429" s="33"/>
      <c r="AD429" s="593"/>
    </row>
    <row r="430" spans="18:30" x14ac:dyDescent="0.25">
      <c r="R430" s="33"/>
      <c r="S430" s="33"/>
      <c r="T430" s="33"/>
      <c r="U430" s="33"/>
      <c r="V430" s="33"/>
      <c r="W430" s="33"/>
      <c r="X430" s="33"/>
      <c r="Y430" s="33"/>
      <c r="Z430" s="33"/>
      <c r="AA430" s="33"/>
      <c r="AB430" s="33"/>
      <c r="AC430" s="33"/>
      <c r="AD430" s="593"/>
    </row>
    <row r="431" spans="18:30" x14ac:dyDescent="0.25">
      <c r="R431" s="33"/>
      <c r="S431" s="33"/>
      <c r="T431" s="33"/>
      <c r="U431" s="33"/>
      <c r="V431" s="33"/>
      <c r="W431" s="33"/>
      <c r="X431" s="33"/>
      <c r="Y431" s="33"/>
      <c r="Z431" s="33"/>
      <c r="AA431" s="33"/>
      <c r="AB431" s="33"/>
      <c r="AC431" s="33"/>
      <c r="AD431" s="593"/>
    </row>
    <row r="432" spans="18:30" x14ac:dyDescent="0.25">
      <c r="R432" s="33"/>
      <c r="S432" s="33"/>
      <c r="T432" s="33"/>
      <c r="U432" s="33"/>
      <c r="V432" s="33"/>
      <c r="W432" s="33"/>
      <c r="X432" s="33"/>
      <c r="Y432" s="33"/>
      <c r="Z432" s="33"/>
      <c r="AA432" s="33"/>
      <c r="AB432" s="33"/>
      <c r="AC432" s="33"/>
      <c r="AD432" s="593"/>
    </row>
    <row r="433" spans="18:30" x14ac:dyDescent="0.25">
      <c r="R433" s="33"/>
      <c r="S433" s="33"/>
      <c r="T433" s="33"/>
      <c r="U433" s="33"/>
      <c r="V433" s="33"/>
      <c r="W433" s="33"/>
      <c r="X433" s="33"/>
      <c r="Y433" s="33"/>
      <c r="Z433" s="33"/>
      <c r="AA433" s="33"/>
      <c r="AB433" s="33"/>
      <c r="AC433" s="33"/>
      <c r="AD433" s="593"/>
    </row>
    <row r="434" spans="18:30" x14ac:dyDescent="0.25">
      <c r="R434" s="33"/>
      <c r="S434" s="33"/>
      <c r="T434" s="33"/>
      <c r="U434" s="33"/>
      <c r="V434" s="33"/>
      <c r="W434" s="33"/>
      <c r="X434" s="33"/>
      <c r="Y434" s="33"/>
      <c r="Z434" s="33"/>
      <c r="AA434" s="33"/>
      <c r="AB434" s="33"/>
      <c r="AC434" s="33"/>
      <c r="AD434" s="593"/>
    </row>
    <row r="435" spans="18:30" x14ac:dyDescent="0.25">
      <c r="R435" s="33"/>
      <c r="S435" s="33"/>
      <c r="T435" s="33"/>
      <c r="U435" s="33"/>
      <c r="V435" s="33"/>
      <c r="W435" s="33"/>
      <c r="X435" s="33"/>
      <c r="Y435" s="33"/>
      <c r="Z435" s="33"/>
      <c r="AA435" s="33"/>
      <c r="AB435" s="33"/>
      <c r="AC435" s="33"/>
      <c r="AD435" s="593"/>
    </row>
    <row r="436" spans="18:30" x14ac:dyDescent="0.25">
      <c r="R436" s="33"/>
      <c r="S436" s="33"/>
      <c r="T436" s="33"/>
      <c r="U436" s="33"/>
      <c r="V436" s="33"/>
      <c r="W436" s="33"/>
      <c r="X436" s="33"/>
      <c r="Y436" s="33"/>
      <c r="Z436" s="33"/>
      <c r="AA436" s="33"/>
      <c r="AB436" s="33"/>
      <c r="AC436" s="33"/>
      <c r="AD436" s="593"/>
    </row>
    <row r="437" spans="18:30" x14ac:dyDescent="0.25">
      <c r="R437" s="33"/>
      <c r="S437" s="33"/>
      <c r="T437" s="33"/>
      <c r="U437" s="33"/>
      <c r="V437" s="33"/>
      <c r="W437" s="33"/>
      <c r="X437" s="33"/>
      <c r="Y437" s="33"/>
      <c r="Z437" s="33"/>
      <c r="AA437" s="33"/>
      <c r="AB437" s="33"/>
      <c r="AC437" s="33"/>
      <c r="AD437" s="593"/>
    </row>
    <row r="438" spans="18:30" x14ac:dyDescent="0.25">
      <c r="R438" s="33"/>
      <c r="S438" s="33"/>
      <c r="T438" s="33"/>
      <c r="U438" s="33"/>
      <c r="V438" s="33"/>
      <c r="W438" s="33"/>
      <c r="X438" s="33"/>
      <c r="Y438" s="33"/>
      <c r="Z438" s="33"/>
      <c r="AA438" s="33"/>
      <c r="AB438" s="33"/>
      <c r="AC438" s="33"/>
      <c r="AD438" s="593"/>
    </row>
    <row r="439" spans="18:30" x14ac:dyDescent="0.25">
      <c r="R439" s="33"/>
      <c r="S439" s="33"/>
      <c r="T439" s="33"/>
      <c r="U439" s="33"/>
      <c r="V439" s="33"/>
      <c r="W439" s="33"/>
      <c r="X439" s="33"/>
      <c r="Y439" s="33"/>
      <c r="Z439" s="33"/>
      <c r="AA439" s="33"/>
      <c r="AB439" s="33"/>
      <c r="AC439" s="33"/>
      <c r="AD439" s="593"/>
    </row>
    <row r="440" spans="18:30" x14ac:dyDescent="0.25">
      <c r="R440" s="33"/>
      <c r="S440" s="33"/>
      <c r="T440" s="33"/>
      <c r="U440" s="33"/>
      <c r="V440" s="33"/>
      <c r="W440" s="33"/>
      <c r="X440" s="33"/>
      <c r="Y440" s="33"/>
      <c r="Z440" s="33"/>
      <c r="AA440" s="33"/>
      <c r="AB440" s="33"/>
      <c r="AC440" s="33"/>
      <c r="AD440" s="593"/>
    </row>
    <row r="441" spans="18:30" x14ac:dyDescent="0.25">
      <c r="R441" s="33"/>
      <c r="S441" s="33"/>
      <c r="T441" s="33"/>
      <c r="U441" s="33"/>
      <c r="V441" s="33"/>
      <c r="W441" s="33"/>
      <c r="X441" s="33"/>
      <c r="Y441" s="33"/>
      <c r="Z441" s="33"/>
      <c r="AA441" s="33"/>
      <c r="AB441" s="33"/>
      <c r="AC441" s="33"/>
      <c r="AD441" s="593"/>
    </row>
    <row r="442" spans="18:30" x14ac:dyDescent="0.25">
      <c r="R442" s="33"/>
      <c r="S442" s="33"/>
      <c r="T442" s="33"/>
      <c r="U442" s="33"/>
      <c r="V442" s="33"/>
      <c r="W442" s="33"/>
      <c r="X442" s="33"/>
      <c r="Y442" s="33"/>
      <c r="Z442" s="33"/>
      <c r="AA442" s="33"/>
      <c r="AB442" s="33"/>
      <c r="AC442" s="33"/>
      <c r="AD442" s="593"/>
    </row>
    <row r="443" spans="18:30" x14ac:dyDescent="0.25">
      <c r="R443" s="33"/>
      <c r="S443" s="33"/>
      <c r="T443" s="33"/>
      <c r="U443" s="33"/>
      <c r="V443" s="33"/>
      <c r="W443" s="33"/>
      <c r="X443" s="33"/>
      <c r="Y443" s="33"/>
      <c r="Z443" s="33"/>
      <c r="AA443" s="33"/>
      <c r="AB443" s="33"/>
      <c r="AC443" s="33"/>
      <c r="AD443" s="593"/>
    </row>
    <row r="444" spans="18:30" x14ac:dyDescent="0.25">
      <c r="R444" s="33"/>
      <c r="S444" s="33"/>
      <c r="T444" s="33"/>
      <c r="U444" s="33"/>
      <c r="V444" s="33"/>
      <c r="W444" s="33"/>
      <c r="X444" s="33"/>
      <c r="Y444" s="33"/>
      <c r="Z444" s="33"/>
      <c r="AA444" s="33"/>
      <c r="AB444" s="33"/>
      <c r="AC444" s="33"/>
      <c r="AD444" s="593"/>
    </row>
    <row r="445" spans="18:30" x14ac:dyDescent="0.25">
      <c r="R445" s="33"/>
      <c r="S445" s="33"/>
      <c r="T445" s="33"/>
      <c r="U445" s="33"/>
      <c r="V445" s="33"/>
      <c r="W445" s="33"/>
      <c r="X445" s="33"/>
      <c r="Y445" s="33"/>
      <c r="Z445" s="33"/>
      <c r="AA445" s="33"/>
      <c r="AB445" s="33"/>
      <c r="AC445" s="33"/>
      <c r="AD445" s="593"/>
    </row>
    <row r="446" spans="18:30" x14ac:dyDescent="0.25">
      <c r="R446" s="33"/>
      <c r="S446" s="33"/>
      <c r="T446" s="33"/>
      <c r="U446" s="33"/>
      <c r="V446" s="33"/>
      <c r="W446" s="33"/>
      <c r="X446" s="33"/>
      <c r="Y446" s="33"/>
      <c r="Z446" s="33"/>
      <c r="AA446" s="33"/>
      <c r="AB446" s="33"/>
      <c r="AC446" s="33"/>
      <c r="AD446" s="593"/>
    </row>
    <row r="447" spans="18:30" x14ac:dyDescent="0.25">
      <c r="R447" s="33"/>
      <c r="S447" s="33"/>
      <c r="T447" s="33"/>
      <c r="U447" s="33"/>
      <c r="V447" s="33"/>
      <c r="W447" s="33"/>
      <c r="X447" s="33"/>
      <c r="Y447" s="33"/>
      <c r="Z447" s="33"/>
      <c r="AA447" s="33"/>
      <c r="AB447" s="33"/>
      <c r="AC447" s="33"/>
      <c r="AD447" s="593"/>
    </row>
    <row r="448" spans="18:30" x14ac:dyDescent="0.25">
      <c r="R448" s="33"/>
      <c r="S448" s="33"/>
      <c r="T448" s="33"/>
      <c r="U448" s="33"/>
      <c r="V448" s="33"/>
      <c r="W448" s="33"/>
      <c r="X448" s="33"/>
      <c r="Y448" s="33"/>
      <c r="Z448" s="33"/>
      <c r="AA448" s="33"/>
      <c r="AB448" s="33"/>
      <c r="AC448" s="33"/>
      <c r="AD448" s="593"/>
    </row>
    <row r="449" spans="18:30" x14ac:dyDescent="0.25">
      <c r="R449" s="33"/>
      <c r="S449" s="33"/>
      <c r="T449" s="33"/>
      <c r="U449" s="33"/>
      <c r="V449" s="33"/>
      <c r="W449" s="33"/>
      <c r="X449" s="33"/>
      <c r="Y449" s="33"/>
      <c r="Z449" s="33"/>
      <c r="AA449" s="33"/>
      <c r="AB449" s="33"/>
      <c r="AC449" s="33"/>
      <c r="AD449" s="593"/>
    </row>
    <row r="450" spans="18:30" x14ac:dyDescent="0.25">
      <c r="R450" s="33"/>
      <c r="S450" s="33"/>
      <c r="T450" s="33"/>
      <c r="U450" s="33"/>
      <c r="V450" s="33"/>
      <c r="W450" s="33"/>
      <c r="X450" s="33"/>
      <c r="Y450" s="33"/>
      <c r="Z450" s="33"/>
      <c r="AA450" s="33"/>
      <c r="AB450" s="33"/>
      <c r="AC450" s="33"/>
      <c r="AD450" s="593"/>
    </row>
    <row r="451" spans="18:30" x14ac:dyDescent="0.25">
      <c r="R451" s="33"/>
      <c r="S451" s="33"/>
      <c r="T451" s="33"/>
      <c r="U451" s="33"/>
      <c r="V451" s="33"/>
      <c r="W451" s="33"/>
      <c r="X451" s="33"/>
      <c r="Y451" s="33"/>
      <c r="Z451" s="33"/>
      <c r="AA451" s="33"/>
      <c r="AB451" s="33"/>
      <c r="AC451" s="33"/>
      <c r="AD451" s="593"/>
    </row>
    <row r="452" spans="18:30" x14ac:dyDescent="0.25">
      <c r="R452" s="33"/>
      <c r="S452" s="33"/>
      <c r="T452" s="33"/>
      <c r="U452" s="33"/>
      <c r="V452" s="33"/>
      <c r="W452" s="33"/>
      <c r="X452" s="33"/>
      <c r="Y452" s="33"/>
      <c r="Z452" s="33"/>
      <c r="AA452" s="33"/>
      <c r="AB452" s="33"/>
      <c r="AC452" s="33"/>
      <c r="AD452" s="593"/>
    </row>
    <row r="453" spans="18:30" x14ac:dyDescent="0.25">
      <c r="R453" s="33"/>
      <c r="S453" s="33"/>
      <c r="T453" s="33"/>
      <c r="U453" s="33"/>
      <c r="V453" s="33"/>
      <c r="W453" s="33"/>
      <c r="X453" s="33"/>
      <c r="Y453" s="33"/>
      <c r="Z453" s="33"/>
      <c r="AA453" s="33"/>
      <c r="AB453" s="33"/>
      <c r="AC453" s="33"/>
      <c r="AD453" s="593"/>
    </row>
    <row r="454" spans="18:30" x14ac:dyDescent="0.25">
      <c r="R454" s="33"/>
      <c r="S454" s="33"/>
      <c r="T454" s="33"/>
      <c r="U454" s="33"/>
      <c r="V454" s="33"/>
      <c r="W454" s="33"/>
      <c r="X454" s="33"/>
      <c r="Y454" s="33"/>
      <c r="Z454" s="33"/>
      <c r="AA454" s="33"/>
      <c r="AB454" s="33"/>
      <c r="AC454" s="33"/>
      <c r="AD454" s="593"/>
    </row>
    <row r="455" spans="18:30" x14ac:dyDescent="0.25">
      <c r="R455" s="33"/>
      <c r="S455" s="33"/>
      <c r="T455" s="33"/>
      <c r="U455" s="33"/>
      <c r="V455" s="33"/>
      <c r="W455" s="33"/>
      <c r="X455" s="33"/>
      <c r="Y455" s="33"/>
      <c r="Z455" s="33"/>
      <c r="AA455" s="33"/>
      <c r="AB455" s="33"/>
      <c r="AC455" s="33"/>
      <c r="AD455" s="593"/>
    </row>
    <row r="456" spans="18:30" x14ac:dyDescent="0.25">
      <c r="R456" s="33"/>
      <c r="S456" s="33"/>
      <c r="T456" s="33"/>
      <c r="U456" s="33"/>
      <c r="V456" s="33"/>
      <c r="W456" s="33"/>
      <c r="X456" s="33"/>
      <c r="Y456" s="33"/>
      <c r="Z456" s="33"/>
      <c r="AA456" s="33"/>
      <c r="AB456" s="33"/>
      <c r="AC456" s="33"/>
      <c r="AD456" s="593"/>
    </row>
    <row r="457" spans="18:30" x14ac:dyDescent="0.25">
      <c r="R457" s="33"/>
      <c r="S457" s="33"/>
      <c r="T457" s="33"/>
      <c r="U457" s="33"/>
      <c r="V457" s="33"/>
      <c r="W457" s="33"/>
      <c r="X457" s="33"/>
      <c r="Y457" s="33"/>
      <c r="Z457" s="33"/>
      <c r="AA457" s="33"/>
      <c r="AB457" s="33"/>
      <c r="AC457" s="33"/>
      <c r="AD457" s="593"/>
    </row>
    <row r="458" spans="18:30" x14ac:dyDescent="0.25">
      <c r="R458" s="33"/>
      <c r="S458" s="33"/>
      <c r="T458" s="33"/>
      <c r="U458" s="33"/>
      <c r="V458" s="33"/>
      <c r="W458" s="33"/>
      <c r="X458" s="33"/>
      <c r="Y458" s="33"/>
      <c r="Z458" s="33"/>
      <c r="AA458" s="33"/>
      <c r="AB458" s="33"/>
      <c r="AC458" s="33"/>
      <c r="AD458" s="593"/>
    </row>
    <row r="459" spans="18:30" x14ac:dyDescent="0.25">
      <c r="R459" s="33"/>
      <c r="S459" s="33"/>
      <c r="T459" s="33"/>
      <c r="U459" s="33"/>
      <c r="V459" s="33"/>
      <c r="W459" s="33"/>
      <c r="X459" s="33"/>
      <c r="Y459" s="33"/>
      <c r="Z459" s="33"/>
      <c r="AA459" s="33"/>
      <c r="AB459" s="33"/>
      <c r="AC459" s="33"/>
      <c r="AD459" s="593"/>
    </row>
    <row r="460" spans="18:30" x14ac:dyDescent="0.25">
      <c r="R460" s="33"/>
      <c r="S460" s="33"/>
      <c r="T460" s="33"/>
      <c r="U460" s="33"/>
      <c r="V460" s="33"/>
      <c r="W460" s="33"/>
      <c r="X460" s="33"/>
      <c r="Y460" s="33"/>
      <c r="Z460" s="33"/>
      <c r="AA460" s="33"/>
      <c r="AB460" s="33"/>
      <c r="AC460" s="33"/>
      <c r="AD460" s="593"/>
    </row>
    <row r="461" spans="18:30" x14ac:dyDescent="0.25">
      <c r="R461" s="33"/>
      <c r="S461" s="33"/>
      <c r="T461" s="33"/>
      <c r="U461" s="33"/>
      <c r="V461" s="33"/>
      <c r="W461" s="33"/>
      <c r="X461" s="33"/>
      <c r="Y461" s="33"/>
      <c r="Z461" s="33"/>
      <c r="AA461" s="33"/>
      <c r="AB461" s="33"/>
      <c r="AC461" s="33"/>
      <c r="AD461" s="593"/>
    </row>
    <row r="462" spans="18:30" x14ac:dyDescent="0.25">
      <c r="R462" s="33"/>
      <c r="S462" s="33"/>
      <c r="T462" s="33"/>
      <c r="U462" s="33"/>
      <c r="V462" s="33"/>
      <c r="W462" s="33"/>
      <c r="X462" s="33"/>
      <c r="Y462" s="33"/>
      <c r="Z462" s="33"/>
      <c r="AA462" s="33"/>
      <c r="AB462" s="33"/>
      <c r="AC462" s="33"/>
      <c r="AD462" s="593"/>
    </row>
    <row r="463" spans="18:30" x14ac:dyDescent="0.25">
      <c r="R463" s="33"/>
      <c r="S463" s="33"/>
      <c r="T463" s="33"/>
      <c r="U463" s="33"/>
      <c r="V463" s="33"/>
      <c r="W463" s="33"/>
      <c r="X463" s="33"/>
      <c r="Y463" s="33"/>
      <c r="Z463" s="33"/>
      <c r="AA463" s="33"/>
      <c r="AB463" s="33"/>
      <c r="AC463" s="33"/>
      <c r="AD463" s="593"/>
    </row>
    <row r="464" spans="18:30" x14ac:dyDescent="0.25">
      <c r="R464" s="33"/>
      <c r="S464" s="33"/>
      <c r="T464" s="33"/>
      <c r="U464" s="33"/>
      <c r="V464" s="33"/>
      <c r="W464" s="33"/>
      <c r="X464" s="33"/>
      <c r="Y464" s="33"/>
      <c r="Z464" s="33"/>
      <c r="AA464" s="33"/>
      <c r="AB464" s="33"/>
      <c r="AC464" s="33"/>
      <c r="AD464" s="593"/>
    </row>
    <row r="465" spans="18:30" x14ac:dyDescent="0.25">
      <c r="R465" s="33"/>
      <c r="S465" s="33"/>
      <c r="T465" s="33"/>
      <c r="U465" s="33"/>
      <c r="V465" s="33"/>
      <c r="W465" s="33"/>
      <c r="X465" s="33"/>
      <c r="Y465" s="33"/>
      <c r="Z465" s="33"/>
      <c r="AA465" s="33"/>
      <c r="AB465" s="33"/>
      <c r="AC465" s="33"/>
      <c r="AD465" s="593"/>
    </row>
    <row r="466" spans="18:30" x14ac:dyDescent="0.25">
      <c r="R466" s="33"/>
      <c r="S466" s="33"/>
      <c r="T466" s="33"/>
      <c r="U466" s="33"/>
      <c r="V466" s="33"/>
      <c r="W466" s="33"/>
      <c r="X466" s="33"/>
      <c r="Y466" s="33"/>
      <c r="Z466" s="33"/>
      <c r="AA466" s="33"/>
      <c r="AB466" s="33"/>
      <c r="AC466" s="33"/>
      <c r="AD466" s="593"/>
    </row>
    <row r="467" spans="18:30" x14ac:dyDescent="0.25">
      <c r="R467" s="33"/>
      <c r="S467" s="33"/>
      <c r="T467" s="33"/>
      <c r="U467" s="33"/>
      <c r="V467" s="33"/>
      <c r="W467" s="33"/>
      <c r="X467" s="33"/>
      <c r="Y467" s="33"/>
      <c r="Z467" s="33"/>
      <c r="AA467" s="33"/>
      <c r="AB467" s="33"/>
      <c r="AC467" s="33"/>
      <c r="AD467" s="593"/>
    </row>
    <row r="468" spans="18:30" x14ac:dyDescent="0.25">
      <c r="R468" s="33"/>
      <c r="S468" s="33"/>
      <c r="T468" s="33"/>
      <c r="U468" s="33"/>
      <c r="V468" s="33"/>
      <c r="W468" s="33"/>
      <c r="X468" s="33"/>
      <c r="Y468" s="33"/>
      <c r="Z468" s="33"/>
      <c r="AA468" s="33"/>
      <c r="AB468" s="33"/>
      <c r="AC468" s="33"/>
      <c r="AD468" s="593"/>
    </row>
    <row r="469" spans="18:30" x14ac:dyDescent="0.25">
      <c r="R469" s="33"/>
      <c r="S469" s="33"/>
      <c r="T469" s="33"/>
      <c r="U469" s="33"/>
      <c r="V469" s="33"/>
      <c r="W469" s="33"/>
      <c r="X469" s="33"/>
      <c r="Y469" s="33"/>
      <c r="Z469" s="33"/>
      <c r="AA469" s="33"/>
      <c r="AB469" s="33"/>
      <c r="AC469" s="33"/>
      <c r="AD469" s="593"/>
    </row>
    <row r="470" spans="18:30" x14ac:dyDescent="0.25">
      <c r="R470" s="33"/>
      <c r="S470" s="33"/>
      <c r="T470" s="33"/>
      <c r="U470" s="33"/>
      <c r="V470" s="33"/>
      <c r="W470" s="33"/>
      <c r="X470" s="33"/>
      <c r="Y470" s="33"/>
      <c r="Z470" s="33"/>
      <c r="AA470" s="33"/>
      <c r="AB470" s="33"/>
      <c r="AC470" s="33"/>
      <c r="AD470" s="593"/>
    </row>
    <row r="471" spans="18:30" x14ac:dyDescent="0.25">
      <c r="R471" s="33"/>
      <c r="S471" s="33"/>
      <c r="T471" s="33"/>
      <c r="U471" s="33"/>
      <c r="V471" s="33"/>
      <c r="W471" s="33"/>
      <c r="X471" s="33"/>
      <c r="Y471" s="33"/>
      <c r="Z471" s="33"/>
      <c r="AA471" s="33"/>
      <c r="AB471" s="33"/>
      <c r="AC471" s="33"/>
      <c r="AD471" s="593"/>
    </row>
    <row r="472" spans="18:30" x14ac:dyDescent="0.25">
      <c r="R472" s="33"/>
      <c r="S472" s="33"/>
      <c r="T472" s="33"/>
      <c r="U472" s="33"/>
      <c r="V472" s="33"/>
      <c r="W472" s="33"/>
      <c r="X472" s="33"/>
      <c r="Y472" s="33"/>
      <c r="Z472" s="33"/>
      <c r="AA472" s="33"/>
      <c r="AB472" s="33"/>
      <c r="AC472" s="33"/>
      <c r="AD472" s="593"/>
    </row>
    <row r="473" spans="18:30" x14ac:dyDescent="0.25">
      <c r="R473" s="33"/>
      <c r="S473" s="33"/>
      <c r="T473" s="33"/>
      <c r="U473" s="33"/>
      <c r="V473" s="33"/>
      <c r="W473" s="33"/>
      <c r="X473" s="33"/>
      <c r="Y473" s="33"/>
      <c r="Z473" s="33"/>
      <c r="AA473" s="33"/>
      <c r="AB473" s="33"/>
      <c r="AC473" s="33"/>
      <c r="AD473" s="593"/>
    </row>
    <row r="474" spans="18:30" x14ac:dyDescent="0.25">
      <c r="R474" s="33"/>
      <c r="S474" s="33"/>
      <c r="T474" s="33"/>
      <c r="U474" s="33"/>
      <c r="V474" s="33"/>
      <c r="W474" s="33"/>
      <c r="X474" s="33"/>
      <c r="Y474" s="33"/>
      <c r="Z474" s="33"/>
      <c r="AA474" s="33"/>
      <c r="AB474" s="33"/>
      <c r="AC474" s="33"/>
      <c r="AD474" s="593"/>
    </row>
    <row r="475" spans="18:30" x14ac:dyDescent="0.25">
      <c r="R475" s="33"/>
      <c r="S475" s="33"/>
      <c r="T475" s="33"/>
      <c r="U475" s="33"/>
      <c r="V475" s="33"/>
      <c r="W475" s="33"/>
      <c r="X475" s="33"/>
      <c r="Y475" s="33"/>
      <c r="Z475" s="33"/>
      <c r="AA475" s="33"/>
      <c r="AB475" s="33"/>
      <c r="AC475" s="33"/>
      <c r="AD475" s="593"/>
    </row>
    <row r="476" spans="18:30" x14ac:dyDescent="0.25">
      <c r="R476" s="33"/>
      <c r="S476" s="33"/>
      <c r="T476" s="33"/>
      <c r="U476" s="33"/>
      <c r="V476" s="33"/>
      <c r="W476" s="33"/>
      <c r="X476" s="33"/>
      <c r="Y476" s="33"/>
      <c r="Z476" s="33"/>
      <c r="AA476" s="33"/>
      <c r="AB476" s="33"/>
      <c r="AC476" s="33"/>
      <c r="AD476" s="593"/>
    </row>
    <row r="477" spans="18:30" x14ac:dyDescent="0.25">
      <c r="R477" s="33"/>
      <c r="S477" s="33"/>
      <c r="T477" s="33"/>
      <c r="U477" s="33"/>
      <c r="V477" s="33"/>
      <c r="W477" s="33"/>
      <c r="X477" s="33"/>
      <c r="Y477" s="33"/>
      <c r="Z477" s="33"/>
      <c r="AA477" s="33"/>
      <c r="AB477" s="33"/>
      <c r="AC477" s="33"/>
      <c r="AD477" s="593"/>
    </row>
    <row r="478" spans="18:30" x14ac:dyDescent="0.25">
      <c r="R478" s="33"/>
      <c r="S478" s="33"/>
      <c r="T478" s="33"/>
      <c r="U478" s="33"/>
      <c r="V478" s="33"/>
      <c r="W478" s="33"/>
      <c r="X478" s="33"/>
      <c r="Y478" s="33"/>
      <c r="Z478" s="33"/>
      <c r="AA478" s="33"/>
      <c r="AB478" s="33"/>
      <c r="AC478" s="33"/>
      <c r="AD478" s="593"/>
    </row>
    <row r="479" spans="18:30" x14ac:dyDescent="0.25">
      <c r="R479" s="33"/>
      <c r="S479" s="33"/>
      <c r="T479" s="33"/>
      <c r="U479" s="33"/>
      <c r="V479" s="33"/>
      <c r="W479" s="33"/>
      <c r="X479" s="33"/>
      <c r="Y479" s="33"/>
      <c r="Z479" s="33"/>
      <c r="AA479" s="33"/>
      <c r="AB479" s="33"/>
      <c r="AC479" s="33"/>
      <c r="AD479" s="593"/>
    </row>
    <row r="480" spans="18:30" x14ac:dyDescent="0.25">
      <c r="R480" s="33"/>
      <c r="S480" s="33"/>
      <c r="T480" s="33"/>
      <c r="U480" s="33"/>
      <c r="V480" s="33"/>
      <c r="W480" s="33"/>
      <c r="X480" s="33"/>
      <c r="Y480" s="33"/>
      <c r="Z480" s="33"/>
      <c r="AA480" s="33"/>
      <c r="AB480" s="33"/>
      <c r="AC480" s="33"/>
      <c r="AD480" s="593"/>
    </row>
    <row r="481" spans="18:30" x14ac:dyDescent="0.25">
      <c r="R481" s="33"/>
      <c r="S481" s="33"/>
      <c r="T481" s="33"/>
      <c r="U481" s="33"/>
      <c r="V481" s="33"/>
      <c r="W481" s="33"/>
      <c r="X481" s="33"/>
      <c r="Y481" s="33"/>
      <c r="Z481" s="33"/>
      <c r="AA481" s="33"/>
      <c r="AB481" s="33"/>
      <c r="AC481" s="33"/>
      <c r="AD481" s="593"/>
    </row>
    <row r="482" spans="18:30" x14ac:dyDescent="0.25">
      <c r="R482" s="33"/>
      <c r="S482" s="33"/>
      <c r="T482" s="33"/>
      <c r="U482" s="33"/>
      <c r="V482" s="33"/>
      <c r="W482" s="33"/>
      <c r="X482" s="33"/>
      <c r="Y482" s="33"/>
      <c r="Z482" s="33"/>
      <c r="AA482" s="33"/>
      <c r="AB482" s="33"/>
      <c r="AC482" s="33"/>
      <c r="AD482" s="593"/>
    </row>
    <row r="483" spans="18:30" x14ac:dyDescent="0.25">
      <c r="R483" s="33"/>
      <c r="S483" s="33"/>
      <c r="T483" s="33"/>
      <c r="U483" s="33"/>
      <c r="V483" s="33"/>
      <c r="W483" s="33"/>
      <c r="X483" s="33"/>
      <c r="Y483" s="33"/>
      <c r="Z483" s="33"/>
      <c r="AA483" s="33"/>
      <c r="AB483" s="33"/>
      <c r="AC483" s="33"/>
      <c r="AD483" s="593"/>
    </row>
    <row r="484" spans="18:30" x14ac:dyDescent="0.25">
      <c r="R484" s="33"/>
      <c r="S484" s="33"/>
      <c r="T484" s="33"/>
      <c r="U484" s="33"/>
      <c r="V484" s="33"/>
      <c r="W484" s="33"/>
      <c r="X484" s="33"/>
      <c r="Y484" s="33"/>
      <c r="Z484" s="33"/>
      <c r="AA484" s="33"/>
      <c r="AB484" s="33"/>
      <c r="AC484" s="33"/>
      <c r="AD484" s="593"/>
    </row>
    <row r="485" spans="18:30" x14ac:dyDescent="0.25">
      <c r="R485" s="33"/>
      <c r="S485" s="33"/>
      <c r="T485" s="33"/>
      <c r="U485" s="33"/>
      <c r="V485" s="33"/>
      <c r="W485" s="33"/>
      <c r="X485" s="33"/>
      <c r="Y485" s="33"/>
      <c r="Z485" s="33"/>
      <c r="AA485" s="33"/>
      <c r="AB485" s="33"/>
      <c r="AC485" s="33"/>
      <c r="AD485" s="593"/>
    </row>
    <row r="486" spans="18:30" x14ac:dyDescent="0.25">
      <c r="R486" s="33"/>
      <c r="S486" s="33"/>
      <c r="T486" s="33"/>
      <c r="U486" s="33"/>
      <c r="V486" s="33"/>
      <c r="W486" s="33"/>
      <c r="X486" s="33"/>
      <c r="Y486" s="33"/>
      <c r="Z486" s="33"/>
      <c r="AA486" s="33"/>
      <c r="AB486" s="33"/>
      <c r="AC486" s="33"/>
      <c r="AD486" s="593"/>
    </row>
    <row r="487" spans="18:30" x14ac:dyDescent="0.25">
      <c r="R487" s="33"/>
      <c r="S487" s="33"/>
      <c r="T487" s="33"/>
      <c r="U487" s="33"/>
      <c r="V487" s="33"/>
      <c r="W487" s="33"/>
      <c r="X487" s="33"/>
      <c r="Y487" s="33"/>
      <c r="Z487" s="33"/>
      <c r="AA487" s="33"/>
      <c r="AB487" s="33"/>
      <c r="AC487" s="33"/>
      <c r="AD487" s="593"/>
    </row>
    <row r="488" spans="18:30" x14ac:dyDescent="0.25">
      <c r="R488" s="33"/>
      <c r="S488" s="33"/>
      <c r="T488" s="33"/>
      <c r="U488" s="33"/>
      <c r="V488" s="33"/>
      <c r="W488" s="33"/>
      <c r="X488" s="33"/>
      <c r="Y488" s="33"/>
      <c r="Z488" s="33"/>
      <c r="AA488" s="33"/>
      <c r="AB488" s="33"/>
      <c r="AC488" s="33"/>
      <c r="AD488" s="593"/>
    </row>
    <row r="489" spans="18:30" x14ac:dyDescent="0.25">
      <c r="R489" s="33"/>
      <c r="S489" s="33"/>
      <c r="T489" s="33"/>
      <c r="U489" s="33"/>
      <c r="V489" s="33"/>
      <c r="W489" s="33"/>
      <c r="X489" s="33"/>
      <c r="Y489" s="33"/>
      <c r="Z489" s="33"/>
      <c r="AA489" s="33"/>
      <c r="AB489" s="33"/>
      <c r="AC489" s="33"/>
      <c r="AD489" s="593"/>
    </row>
    <row r="490" spans="18:30" x14ac:dyDescent="0.25">
      <c r="R490" s="33"/>
      <c r="S490" s="33"/>
      <c r="T490" s="33"/>
      <c r="U490" s="33"/>
      <c r="V490" s="33"/>
      <c r="W490" s="33"/>
      <c r="X490" s="33"/>
      <c r="Y490" s="33"/>
      <c r="Z490" s="33"/>
      <c r="AA490" s="33"/>
      <c r="AB490" s="33"/>
      <c r="AC490" s="33"/>
      <c r="AD490" s="593"/>
    </row>
    <row r="491" spans="18:30" x14ac:dyDescent="0.25">
      <c r="R491" s="33"/>
      <c r="S491" s="33"/>
      <c r="T491" s="33"/>
      <c r="U491" s="33"/>
      <c r="V491" s="33"/>
      <c r="W491" s="33"/>
      <c r="X491" s="33"/>
      <c r="Y491" s="33"/>
      <c r="Z491" s="33"/>
      <c r="AA491" s="33"/>
      <c r="AB491" s="33"/>
      <c r="AC491" s="33"/>
      <c r="AD491" s="593"/>
    </row>
    <row r="492" spans="18:30" x14ac:dyDescent="0.25">
      <c r="R492" s="33"/>
      <c r="S492" s="33"/>
      <c r="T492" s="33"/>
      <c r="U492" s="33"/>
      <c r="V492" s="33"/>
      <c r="W492" s="33"/>
      <c r="X492" s="33"/>
      <c r="Y492" s="33"/>
      <c r="Z492" s="33"/>
      <c r="AA492" s="33"/>
      <c r="AB492" s="33"/>
      <c r="AC492" s="33"/>
      <c r="AD492" s="593"/>
    </row>
    <row r="493" spans="18:30" x14ac:dyDescent="0.25">
      <c r="R493" s="33"/>
      <c r="S493" s="33"/>
      <c r="T493" s="33"/>
      <c r="U493" s="33"/>
      <c r="V493" s="33"/>
      <c r="W493" s="33"/>
      <c r="X493" s="33"/>
      <c r="Y493" s="33"/>
      <c r="Z493" s="33"/>
      <c r="AA493" s="33"/>
      <c r="AB493" s="33"/>
      <c r="AC493" s="33"/>
      <c r="AD493" s="593"/>
    </row>
    <row r="494" spans="18:30" x14ac:dyDescent="0.25">
      <c r="R494" s="33"/>
      <c r="S494" s="33"/>
      <c r="T494" s="33"/>
      <c r="U494" s="33"/>
      <c r="V494" s="33"/>
      <c r="W494" s="33"/>
      <c r="X494" s="33"/>
      <c r="Y494" s="33"/>
      <c r="Z494" s="33"/>
      <c r="AA494" s="33"/>
      <c r="AB494" s="33"/>
      <c r="AC494" s="33"/>
      <c r="AD494" s="593"/>
    </row>
    <row r="495" spans="18:30" x14ac:dyDescent="0.25">
      <c r="R495" s="33"/>
      <c r="S495" s="33"/>
      <c r="T495" s="33"/>
      <c r="U495" s="33"/>
      <c r="V495" s="33"/>
      <c r="W495" s="33"/>
      <c r="X495" s="33"/>
      <c r="Y495" s="33"/>
      <c r="Z495" s="33"/>
      <c r="AA495" s="33"/>
      <c r="AB495" s="33"/>
      <c r="AC495" s="33"/>
      <c r="AD495" s="593"/>
    </row>
    <row r="496" spans="18:30" x14ac:dyDescent="0.25">
      <c r="R496" s="33"/>
      <c r="S496" s="33"/>
      <c r="T496" s="33"/>
      <c r="U496" s="33"/>
      <c r="V496" s="33"/>
      <c r="W496" s="33"/>
      <c r="X496" s="33"/>
      <c r="Y496" s="33"/>
      <c r="Z496" s="33"/>
      <c r="AA496" s="33"/>
      <c r="AB496" s="33"/>
      <c r="AC496" s="33"/>
      <c r="AD496" s="593"/>
    </row>
    <row r="497" spans="18:30" x14ac:dyDescent="0.25">
      <c r="R497" s="33"/>
      <c r="S497" s="33"/>
      <c r="T497" s="33"/>
      <c r="U497" s="33"/>
      <c r="V497" s="33"/>
      <c r="W497" s="33"/>
      <c r="X497" s="33"/>
      <c r="Y497" s="33"/>
      <c r="Z497" s="33"/>
      <c r="AA497" s="33"/>
      <c r="AB497" s="33"/>
      <c r="AC497" s="33"/>
      <c r="AD497" s="593"/>
    </row>
    <row r="498" spans="18:30" x14ac:dyDescent="0.25">
      <c r="R498" s="33"/>
      <c r="S498" s="33"/>
      <c r="T498" s="33"/>
      <c r="U498" s="33"/>
      <c r="V498" s="33"/>
      <c r="W498" s="33"/>
      <c r="X498" s="33"/>
      <c r="Y498" s="33"/>
      <c r="Z498" s="33"/>
      <c r="AA498" s="33"/>
      <c r="AB498" s="33"/>
      <c r="AC498" s="33"/>
      <c r="AD498" s="593"/>
    </row>
    <row r="499" spans="18:30" x14ac:dyDescent="0.25">
      <c r="R499" s="33"/>
      <c r="S499" s="33"/>
      <c r="T499" s="33"/>
      <c r="U499" s="33"/>
      <c r="V499" s="33"/>
      <c r="W499" s="33"/>
      <c r="X499" s="33"/>
      <c r="Y499" s="33"/>
      <c r="Z499" s="33"/>
      <c r="AA499" s="33"/>
      <c r="AB499" s="33"/>
      <c r="AC499" s="33"/>
      <c r="AD499" s="593"/>
    </row>
    <row r="500" spans="18:30" x14ac:dyDescent="0.25">
      <c r="R500" s="33"/>
      <c r="S500" s="33"/>
      <c r="T500" s="33"/>
      <c r="U500" s="33"/>
      <c r="V500" s="33"/>
      <c r="W500" s="33"/>
      <c r="X500" s="33"/>
      <c r="Y500" s="33"/>
      <c r="Z500" s="33"/>
      <c r="AA500" s="33"/>
      <c r="AB500" s="33"/>
      <c r="AC500" s="33"/>
      <c r="AD500" s="593"/>
    </row>
    <row r="501" spans="18:30" x14ac:dyDescent="0.25">
      <c r="R501" s="33"/>
      <c r="S501" s="33"/>
      <c r="T501" s="33"/>
      <c r="U501" s="33"/>
      <c r="V501" s="33"/>
      <c r="W501" s="33"/>
      <c r="X501" s="33"/>
      <c r="Y501" s="33"/>
      <c r="Z501" s="33"/>
      <c r="AA501" s="33"/>
      <c r="AB501" s="33"/>
      <c r="AC501" s="33"/>
      <c r="AD501" s="593"/>
    </row>
    <row r="502" spans="18:30" x14ac:dyDescent="0.25">
      <c r="R502" s="33"/>
      <c r="S502" s="33"/>
      <c r="T502" s="33"/>
      <c r="U502" s="33"/>
      <c r="V502" s="33"/>
      <c r="W502" s="33"/>
      <c r="X502" s="33"/>
      <c r="Y502" s="33"/>
      <c r="Z502" s="33"/>
      <c r="AA502" s="33"/>
      <c r="AB502" s="33"/>
      <c r="AC502" s="33"/>
      <c r="AD502" s="593"/>
    </row>
    <row r="503" spans="18:30" x14ac:dyDescent="0.25">
      <c r="R503" s="33"/>
      <c r="S503" s="33"/>
      <c r="T503" s="33"/>
      <c r="U503" s="33"/>
      <c r="V503" s="33"/>
      <c r="W503" s="33"/>
      <c r="X503" s="33"/>
      <c r="Y503" s="33"/>
      <c r="Z503" s="33"/>
      <c r="AA503" s="33"/>
      <c r="AB503" s="33"/>
      <c r="AC503" s="33"/>
      <c r="AD503" s="593"/>
    </row>
    <row r="504" spans="18:30" x14ac:dyDescent="0.25">
      <c r="R504" s="33"/>
      <c r="S504" s="33"/>
      <c r="T504" s="33"/>
      <c r="U504" s="33"/>
      <c r="V504" s="33"/>
      <c r="W504" s="33"/>
      <c r="X504" s="33"/>
      <c r="Y504" s="33"/>
      <c r="Z504" s="33"/>
      <c r="AA504" s="33"/>
      <c r="AB504" s="33"/>
      <c r="AC504" s="33"/>
      <c r="AD504" s="593"/>
    </row>
    <row r="505" spans="18:30" x14ac:dyDescent="0.25">
      <c r="R505" s="33"/>
      <c r="S505" s="33"/>
      <c r="T505" s="33"/>
      <c r="U505" s="33"/>
      <c r="V505" s="33"/>
      <c r="W505" s="33"/>
      <c r="X505" s="33"/>
      <c r="Y505" s="33"/>
      <c r="Z505" s="33"/>
      <c r="AA505" s="33"/>
      <c r="AB505" s="33"/>
      <c r="AC505" s="33"/>
      <c r="AD505" s="593"/>
    </row>
    <row r="506" spans="18:30" x14ac:dyDescent="0.25">
      <c r="R506" s="33"/>
      <c r="S506" s="33"/>
      <c r="T506" s="33"/>
      <c r="U506" s="33"/>
      <c r="V506" s="33"/>
      <c r="W506" s="33"/>
      <c r="X506" s="33"/>
      <c r="Y506" s="33"/>
      <c r="Z506" s="33"/>
      <c r="AA506" s="33"/>
      <c r="AB506" s="33"/>
      <c r="AC506" s="33"/>
      <c r="AD506" s="593"/>
    </row>
    <row r="507" spans="18:30" x14ac:dyDescent="0.25">
      <c r="R507" s="33"/>
      <c r="S507" s="33"/>
      <c r="T507" s="33"/>
      <c r="U507" s="33"/>
      <c r="V507" s="33"/>
      <c r="W507" s="33"/>
      <c r="X507" s="33"/>
      <c r="Y507" s="33"/>
      <c r="Z507" s="33"/>
      <c r="AA507" s="33"/>
      <c r="AB507" s="33"/>
      <c r="AC507" s="33"/>
      <c r="AD507" s="593"/>
    </row>
    <row r="508" spans="18:30" x14ac:dyDescent="0.25">
      <c r="R508" s="33"/>
      <c r="S508" s="33"/>
      <c r="T508" s="33"/>
      <c r="U508" s="33"/>
      <c r="V508" s="33"/>
      <c r="W508" s="33"/>
      <c r="X508" s="33"/>
      <c r="Y508" s="33"/>
      <c r="Z508" s="33"/>
      <c r="AA508" s="33"/>
      <c r="AB508" s="33"/>
      <c r="AC508" s="33"/>
      <c r="AD508" s="593"/>
    </row>
    <row r="509" spans="18:30" x14ac:dyDescent="0.25">
      <c r="R509" s="33"/>
      <c r="S509" s="33"/>
      <c r="T509" s="33"/>
      <c r="U509" s="33"/>
      <c r="V509" s="33"/>
      <c r="W509" s="33"/>
      <c r="X509" s="33"/>
      <c r="Y509" s="33"/>
      <c r="Z509" s="33"/>
      <c r="AA509" s="33"/>
      <c r="AB509" s="33"/>
      <c r="AC509" s="33"/>
      <c r="AD509" s="593"/>
    </row>
    <row r="510" spans="18:30" x14ac:dyDescent="0.25">
      <c r="R510" s="33"/>
      <c r="S510" s="33"/>
      <c r="T510" s="33"/>
      <c r="U510" s="33"/>
      <c r="V510" s="33"/>
      <c r="W510" s="33"/>
      <c r="X510" s="33"/>
      <c r="Y510" s="33"/>
      <c r="Z510" s="33"/>
      <c r="AA510" s="33"/>
      <c r="AB510" s="33"/>
      <c r="AC510" s="33"/>
      <c r="AD510" s="593"/>
    </row>
    <row r="511" spans="18:30" x14ac:dyDescent="0.25">
      <c r="R511" s="33"/>
      <c r="S511" s="33"/>
      <c r="T511" s="33"/>
      <c r="U511" s="33"/>
      <c r="V511" s="33"/>
      <c r="W511" s="33"/>
      <c r="X511" s="33"/>
      <c r="Y511" s="33"/>
      <c r="Z511" s="33"/>
      <c r="AA511" s="33"/>
      <c r="AB511" s="33"/>
      <c r="AC511" s="33"/>
      <c r="AD511" s="593"/>
    </row>
    <row r="512" spans="18:30" x14ac:dyDescent="0.25">
      <c r="R512" s="33"/>
      <c r="S512" s="33"/>
      <c r="T512" s="33"/>
      <c r="U512" s="33"/>
      <c r="V512" s="33"/>
      <c r="W512" s="33"/>
      <c r="X512" s="33"/>
      <c r="Y512" s="33"/>
      <c r="Z512" s="33"/>
      <c r="AA512" s="33"/>
      <c r="AB512" s="33"/>
      <c r="AC512" s="33"/>
      <c r="AD512" s="593"/>
    </row>
    <row r="513" spans="18:30" x14ac:dyDescent="0.25">
      <c r="R513" s="33"/>
      <c r="S513" s="33"/>
      <c r="T513" s="33"/>
      <c r="U513" s="33"/>
      <c r="V513" s="33"/>
      <c r="W513" s="33"/>
      <c r="X513" s="33"/>
      <c r="Y513" s="33"/>
      <c r="Z513" s="33"/>
      <c r="AA513" s="33"/>
      <c r="AB513" s="33"/>
      <c r="AC513" s="33"/>
      <c r="AD513" s="593"/>
    </row>
    <row r="514" spans="18:30" x14ac:dyDescent="0.25">
      <c r="R514" s="33"/>
      <c r="S514" s="33"/>
      <c r="T514" s="33"/>
      <c r="U514" s="33"/>
      <c r="V514" s="33"/>
      <c r="W514" s="33"/>
      <c r="X514" s="33"/>
      <c r="Y514" s="33"/>
      <c r="Z514" s="33"/>
      <c r="AA514" s="33"/>
      <c r="AB514" s="33"/>
      <c r="AC514" s="33"/>
      <c r="AD514" s="593"/>
    </row>
    <row r="515" spans="18:30" x14ac:dyDescent="0.25">
      <c r="R515" s="33"/>
      <c r="S515" s="33"/>
      <c r="T515" s="33"/>
      <c r="U515" s="33"/>
      <c r="V515" s="33"/>
      <c r="W515" s="33"/>
      <c r="X515" s="33"/>
      <c r="Y515" s="33"/>
      <c r="Z515" s="33"/>
      <c r="AA515" s="33"/>
      <c r="AB515" s="33"/>
      <c r="AC515" s="33"/>
      <c r="AD515" s="593"/>
    </row>
    <row r="516" spans="18:30" x14ac:dyDescent="0.25">
      <c r="R516" s="33"/>
      <c r="S516" s="33"/>
      <c r="T516" s="33"/>
      <c r="U516" s="33"/>
      <c r="V516" s="33"/>
      <c r="W516" s="33"/>
      <c r="X516" s="33"/>
      <c r="Y516" s="33"/>
      <c r="Z516" s="33"/>
      <c r="AA516" s="33"/>
      <c r="AB516" s="33"/>
      <c r="AC516" s="33"/>
      <c r="AD516" s="593"/>
    </row>
    <row r="517" spans="18:30" x14ac:dyDescent="0.25">
      <c r="R517" s="33"/>
      <c r="S517" s="33"/>
      <c r="T517" s="33"/>
      <c r="U517" s="33"/>
      <c r="V517" s="33"/>
      <c r="W517" s="33"/>
      <c r="X517" s="33"/>
      <c r="Y517" s="33"/>
      <c r="Z517" s="33"/>
      <c r="AA517" s="33"/>
      <c r="AB517" s="33"/>
      <c r="AC517" s="33"/>
      <c r="AD517" s="593"/>
    </row>
    <row r="518" spans="18:30" x14ac:dyDescent="0.25">
      <c r="R518" s="33"/>
      <c r="S518" s="33"/>
      <c r="T518" s="33"/>
      <c r="U518" s="33"/>
      <c r="V518" s="33"/>
      <c r="W518" s="33"/>
      <c r="X518" s="33"/>
      <c r="Y518" s="33"/>
      <c r="Z518" s="33"/>
      <c r="AA518" s="33"/>
      <c r="AB518" s="33"/>
      <c r="AC518" s="33"/>
      <c r="AD518" s="593"/>
    </row>
    <row r="519" spans="18:30" x14ac:dyDescent="0.25">
      <c r="R519" s="33"/>
      <c r="S519" s="33"/>
      <c r="T519" s="33"/>
      <c r="U519" s="33"/>
      <c r="V519" s="33"/>
      <c r="W519" s="33"/>
      <c r="X519" s="33"/>
      <c r="Y519" s="33"/>
      <c r="Z519" s="33"/>
      <c r="AA519" s="33"/>
      <c r="AB519" s="33"/>
      <c r="AC519" s="33"/>
      <c r="AD519" s="593"/>
    </row>
    <row r="520" spans="18:30" x14ac:dyDescent="0.25">
      <c r="R520" s="33"/>
      <c r="S520" s="33"/>
      <c r="T520" s="33"/>
      <c r="U520" s="33"/>
      <c r="V520" s="33"/>
      <c r="W520" s="33"/>
      <c r="X520" s="33"/>
      <c r="Y520" s="33"/>
      <c r="Z520" s="33"/>
      <c r="AA520" s="33"/>
      <c r="AB520" s="33"/>
      <c r="AC520" s="33"/>
      <c r="AD520" s="593"/>
    </row>
    <row r="521" spans="18:30" x14ac:dyDescent="0.25">
      <c r="R521" s="33"/>
      <c r="S521" s="33"/>
      <c r="T521" s="33"/>
      <c r="U521" s="33"/>
      <c r="V521" s="33"/>
      <c r="W521" s="33"/>
      <c r="X521" s="33"/>
      <c r="Y521" s="33"/>
      <c r="Z521" s="33"/>
      <c r="AA521" s="33"/>
      <c r="AB521" s="33"/>
      <c r="AC521" s="33"/>
      <c r="AD521" s="593"/>
    </row>
    <row r="522" spans="18:30" x14ac:dyDescent="0.25">
      <c r="R522" s="33"/>
      <c r="S522" s="33"/>
      <c r="T522" s="33"/>
      <c r="U522" s="33"/>
      <c r="V522" s="33"/>
      <c r="W522" s="33"/>
      <c r="X522" s="33"/>
      <c r="Y522" s="33"/>
      <c r="Z522" s="33"/>
      <c r="AA522" s="33"/>
      <c r="AB522" s="33"/>
      <c r="AC522" s="33"/>
      <c r="AD522" s="593"/>
    </row>
    <row r="523" spans="18:30" x14ac:dyDescent="0.25">
      <c r="R523" s="33"/>
      <c r="S523" s="33"/>
      <c r="T523" s="33"/>
      <c r="U523" s="33"/>
      <c r="V523" s="33"/>
      <c r="W523" s="33"/>
      <c r="X523" s="33"/>
      <c r="Y523" s="33"/>
      <c r="Z523" s="33"/>
      <c r="AA523" s="33"/>
      <c r="AB523" s="33"/>
      <c r="AC523" s="33"/>
      <c r="AD523" s="593"/>
    </row>
    <row r="524" spans="18:30" x14ac:dyDescent="0.25">
      <c r="R524" s="33"/>
      <c r="S524" s="33"/>
      <c r="T524" s="33"/>
      <c r="U524" s="33"/>
      <c r="V524" s="33"/>
      <c r="W524" s="33"/>
      <c r="X524" s="33"/>
      <c r="Y524" s="33"/>
      <c r="Z524" s="33"/>
      <c r="AA524" s="33"/>
      <c r="AB524" s="33"/>
      <c r="AC524" s="33"/>
      <c r="AD524" s="593"/>
    </row>
    <row r="525" spans="18:30" x14ac:dyDescent="0.25">
      <c r="R525" s="33"/>
      <c r="S525" s="33"/>
      <c r="T525" s="33"/>
      <c r="U525" s="33"/>
      <c r="V525" s="33"/>
      <c r="W525" s="33"/>
      <c r="X525" s="33"/>
      <c r="Y525" s="33"/>
      <c r="Z525" s="33"/>
      <c r="AA525" s="33"/>
      <c r="AB525" s="33"/>
      <c r="AC525" s="33"/>
      <c r="AD525" s="593"/>
    </row>
    <row r="526" spans="18:30" x14ac:dyDescent="0.25">
      <c r="R526" s="33"/>
      <c r="S526" s="33"/>
      <c r="T526" s="33"/>
      <c r="U526" s="33"/>
      <c r="V526" s="33"/>
      <c r="W526" s="33"/>
      <c r="X526" s="33"/>
      <c r="Y526" s="33"/>
      <c r="Z526" s="33"/>
      <c r="AA526" s="33"/>
      <c r="AB526" s="33"/>
      <c r="AC526" s="33"/>
      <c r="AD526" s="593"/>
    </row>
    <row r="527" spans="18:30" x14ac:dyDescent="0.25">
      <c r="R527" s="33"/>
      <c r="S527" s="33"/>
      <c r="T527" s="33"/>
      <c r="U527" s="33"/>
      <c r="V527" s="33"/>
      <c r="W527" s="33"/>
      <c r="X527" s="33"/>
      <c r="Y527" s="33"/>
      <c r="Z527" s="33"/>
      <c r="AA527" s="33"/>
      <c r="AB527" s="33"/>
      <c r="AC527" s="33"/>
      <c r="AD527" s="593"/>
    </row>
    <row r="528" spans="18:30" x14ac:dyDescent="0.25">
      <c r="R528" s="33"/>
      <c r="S528" s="33"/>
      <c r="T528" s="33"/>
      <c r="U528" s="33"/>
      <c r="V528" s="33"/>
      <c r="W528" s="33"/>
      <c r="X528" s="33"/>
      <c r="Y528" s="33"/>
      <c r="Z528" s="33"/>
      <c r="AA528" s="33"/>
      <c r="AB528" s="33"/>
      <c r="AC528" s="33"/>
      <c r="AD528" s="593"/>
    </row>
    <row r="529" spans="18:30" x14ac:dyDescent="0.25">
      <c r="R529" s="33"/>
      <c r="S529" s="33"/>
      <c r="T529" s="33"/>
      <c r="U529" s="33"/>
      <c r="V529" s="33"/>
      <c r="W529" s="33"/>
      <c r="X529" s="33"/>
      <c r="Y529" s="33"/>
      <c r="Z529" s="33"/>
      <c r="AA529" s="33"/>
      <c r="AB529" s="33"/>
      <c r="AC529" s="33"/>
      <c r="AD529" s="593"/>
    </row>
    <row r="530" spans="18:30" x14ac:dyDescent="0.25">
      <c r="R530" s="33"/>
      <c r="S530" s="33"/>
      <c r="T530" s="33"/>
      <c r="U530" s="33"/>
      <c r="V530" s="33"/>
      <c r="W530" s="33"/>
      <c r="X530" s="33"/>
      <c r="Y530" s="33"/>
      <c r="Z530" s="33"/>
      <c r="AA530" s="33"/>
      <c r="AB530" s="33"/>
      <c r="AC530" s="33"/>
      <c r="AD530" s="593"/>
    </row>
    <row r="531" spans="18:30" x14ac:dyDescent="0.25">
      <c r="R531" s="33"/>
      <c r="S531" s="33"/>
      <c r="T531" s="33"/>
      <c r="U531" s="33"/>
      <c r="V531" s="33"/>
      <c r="W531" s="33"/>
      <c r="X531" s="33"/>
      <c r="Y531" s="33"/>
      <c r="Z531" s="33"/>
      <c r="AA531" s="33"/>
      <c r="AB531" s="33"/>
      <c r="AC531" s="33"/>
      <c r="AD531" s="593"/>
    </row>
    <row r="532" spans="18:30" x14ac:dyDescent="0.25">
      <c r="R532" s="33"/>
      <c r="S532" s="33"/>
      <c r="T532" s="33"/>
      <c r="U532" s="33"/>
      <c r="V532" s="33"/>
      <c r="W532" s="33"/>
      <c r="X532" s="33"/>
      <c r="Y532" s="33"/>
      <c r="Z532" s="33"/>
      <c r="AA532" s="33"/>
      <c r="AB532" s="33"/>
      <c r="AC532" s="33"/>
      <c r="AD532" s="593"/>
    </row>
    <row r="533" spans="18:30" x14ac:dyDescent="0.25">
      <c r="R533" s="33"/>
      <c r="S533" s="33"/>
      <c r="T533" s="33"/>
      <c r="U533" s="33"/>
      <c r="V533" s="33"/>
      <c r="W533" s="33"/>
      <c r="X533" s="33"/>
      <c r="Y533" s="33"/>
      <c r="Z533" s="33"/>
      <c r="AA533" s="33"/>
      <c r="AB533" s="33"/>
      <c r="AC533" s="33"/>
      <c r="AD533" s="593"/>
    </row>
    <row r="534" spans="18:30" x14ac:dyDescent="0.25">
      <c r="R534" s="33"/>
      <c r="S534" s="33"/>
      <c r="T534" s="33"/>
      <c r="U534" s="33"/>
      <c r="V534" s="33"/>
      <c r="W534" s="33"/>
      <c r="X534" s="33"/>
      <c r="Y534" s="33"/>
      <c r="Z534" s="33"/>
      <c r="AA534" s="33"/>
      <c r="AB534" s="33"/>
      <c r="AC534" s="33"/>
      <c r="AD534" s="593"/>
    </row>
    <row r="535" spans="18:30" x14ac:dyDescent="0.25">
      <c r="R535" s="33"/>
      <c r="S535" s="33"/>
      <c r="T535" s="33"/>
      <c r="U535" s="33"/>
      <c r="V535" s="33"/>
      <c r="W535" s="33"/>
      <c r="X535" s="33"/>
      <c r="Y535" s="33"/>
      <c r="Z535" s="33"/>
      <c r="AA535" s="33"/>
      <c r="AB535" s="33"/>
      <c r="AC535" s="33"/>
      <c r="AD535" s="593"/>
    </row>
    <row r="536" spans="18:30" x14ac:dyDescent="0.25">
      <c r="R536" s="33"/>
      <c r="S536" s="33"/>
      <c r="T536" s="33"/>
      <c r="U536" s="33"/>
      <c r="V536" s="33"/>
      <c r="W536" s="33"/>
      <c r="X536" s="33"/>
      <c r="Y536" s="33"/>
      <c r="Z536" s="33"/>
      <c r="AA536" s="33"/>
      <c r="AB536" s="33"/>
      <c r="AC536" s="33"/>
      <c r="AD536" s="593"/>
    </row>
    <row r="537" spans="18:30" x14ac:dyDescent="0.25">
      <c r="R537" s="33"/>
      <c r="S537" s="33"/>
      <c r="T537" s="33"/>
      <c r="U537" s="33"/>
      <c r="V537" s="33"/>
      <c r="W537" s="33"/>
      <c r="X537" s="33"/>
      <c r="Y537" s="33"/>
      <c r="Z537" s="33"/>
      <c r="AA537" s="33"/>
      <c r="AB537" s="33"/>
      <c r="AC537" s="33"/>
      <c r="AD537" s="593"/>
    </row>
    <row r="538" spans="18:30" x14ac:dyDescent="0.25">
      <c r="R538" s="33"/>
      <c r="S538" s="33"/>
      <c r="T538" s="33"/>
      <c r="U538" s="33"/>
      <c r="V538" s="33"/>
      <c r="W538" s="33"/>
      <c r="X538" s="33"/>
      <c r="Y538" s="33"/>
      <c r="Z538" s="33"/>
      <c r="AA538" s="33"/>
      <c r="AB538" s="33"/>
      <c r="AC538" s="33"/>
      <c r="AD538" s="593"/>
    </row>
    <row r="539" spans="18:30" x14ac:dyDescent="0.25">
      <c r="R539" s="33"/>
      <c r="S539" s="33"/>
      <c r="T539" s="33"/>
      <c r="U539" s="33"/>
      <c r="V539" s="33"/>
      <c r="W539" s="33"/>
      <c r="X539" s="33"/>
      <c r="Y539" s="33"/>
      <c r="Z539" s="33"/>
      <c r="AA539" s="33"/>
      <c r="AB539" s="33"/>
      <c r="AC539" s="33"/>
      <c r="AD539" s="593"/>
    </row>
    <row r="540" spans="18:30" x14ac:dyDescent="0.25">
      <c r="R540" s="33"/>
      <c r="S540" s="33"/>
      <c r="T540" s="33"/>
      <c r="U540" s="33"/>
      <c r="V540" s="33"/>
      <c r="W540" s="33"/>
      <c r="X540" s="33"/>
      <c r="Y540" s="33"/>
      <c r="Z540" s="33"/>
      <c r="AA540" s="33"/>
      <c r="AB540" s="33"/>
      <c r="AC540" s="33"/>
      <c r="AD540" s="593"/>
    </row>
    <row r="541" spans="18:30" x14ac:dyDescent="0.25">
      <c r="R541" s="33"/>
      <c r="S541" s="33"/>
      <c r="T541" s="33"/>
      <c r="U541" s="33"/>
      <c r="V541" s="33"/>
      <c r="W541" s="33"/>
      <c r="X541" s="33"/>
      <c r="Y541" s="33"/>
      <c r="Z541" s="33"/>
      <c r="AA541" s="33"/>
      <c r="AB541" s="33"/>
      <c r="AC541" s="33"/>
      <c r="AD541" s="593"/>
    </row>
    <row r="542" spans="18:30" x14ac:dyDescent="0.25">
      <c r="R542" s="33"/>
      <c r="S542" s="33"/>
      <c r="T542" s="33"/>
      <c r="U542" s="33"/>
      <c r="V542" s="33"/>
      <c r="W542" s="33"/>
      <c r="X542" s="33"/>
      <c r="Y542" s="33"/>
      <c r="Z542" s="33"/>
      <c r="AA542" s="33"/>
      <c r="AB542" s="33"/>
      <c r="AC542" s="33"/>
      <c r="AD542" s="593"/>
    </row>
    <row r="543" spans="18:30" x14ac:dyDescent="0.25">
      <c r="R543" s="33"/>
      <c r="S543" s="33"/>
      <c r="T543" s="33"/>
      <c r="U543" s="33"/>
      <c r="V543" s="33"/>
      <c r="W543" s="33"/>
      <c r="X543" s="33"/>
      <c r="Y543" s="33"/>
      <c r="Z543" s="33"/>
      <c r="AA543" s="33"/>
      <c r="AB543" s="33"/>
      <c r="AC543" s="33"/>
      <c r="AD543" s="593"/>
    </row>
    <row r="544" spans="18:30" x14ac:dyDescent="0.25">
      <c r="R544" s="33"/>
      <c r="S544" s="33"/>
      <c r="T544" s="33"/>
      <c r="U544" s="33"/>
      <c r="V544" s="33"/>
      <c r="W544" s="33"/>
      <c r="X544" s="33"/>
      <c r="Y544" s="33"/>
      <c r="Z544" s="33"/>
      <c r="AA544" s="33"/>
      <c r="AB544" s="33"/>
      <c r="AC544" s="33"/>
      <c r="AD544" s="593"/>
    </row>
    <row r="545" spans="18:30" x14ac:dyDescent="0.25">
      <c r="R545" s="33"/>
      <c r="S545" s="33"/>
      <c r="T545" s="33"/>
      <c r="U545" s="33"/>
      <c r="V545" s="33"/>
      <c r="W545" s="33"/>
      <c r="X545" s="33"/>
      <c r="Y545" s="33"/>
      <c r="Z545" s="33"/>
      <c r="AA545" s="33"/>
      <c r="AB545" s="33"/>
      <c r="AC545" s="33"/>
      <c r="AD545" s="593"/>
    </row>
    <row r="546" spans="18:30" x14ac:dyDescent="0.25">
      <c r="R546" s="33"/>
      <c r="S546" s="33"/>
      <c r="T546" s="33"/>
      <c r="U546" s="33"/>
      <c r="V546" s="33"/>
      <c r="W546" s="33"/>
      <c r="X546" s="33"/>
      <c r="Y546" s="33"/>
      <c r="Z546" s="33"/>
      <c r="AA546" s="33"/>
      <c r="AB546" s="33"/>
      <c r="AC546" s="33"/>
      <c r="AD546" s="593"/>
    </row>
    <row r="547" spans="18:30" x14ac:dyDescent="0.25">
      <c r="R547" s="33"/>
      <c r="S547" s="33"/>
      <c r="T547" s="33"/>
      <c r="U547" s="33"/>
      <c r="V547" s="33"/>
      <c r="W547" s="33"/>
      <c r="X547" s="33"/>
      <c r="Y547" s="33"/>
      <c r="Z547" s="33"/>
      <c r="AA547" s="33"/>
      <c r="AB547" s="33"/>
      <c r="AC547" s="33"/>
      <c r="AD547" s="593"/>
    </row>
    <row r="548" spans="18:30" x14ac:dyDescent="0.25">
      <c r="R548" s="33"/>
      <c r="S548" s="33"/>
      <c r="T548" s="33"/>
      <c r="U548" s="33"/>
      <c r="V548" s="33"/>
      <c r="W548" s="33"/>
      <c r="X548" s="33"/>
      <c r="Y548" s="33"/>
      <c r="Z548" s="33"/>
      <c r="AA548" s="33"/>
      <c r="AB548" s="33"/>
      <c r="AC548" s="33"/>
      <c r="AD548" s="593"/>
    </row>
    <row r="549" spans="18:30" x14ac:dyDescent="0.25">
      <c r="R549" s="33"/>
      <c r="S549" s="33"/>
      <c r="T549" s="33"/>
      <c r="U549" s="33"/>
      <c r="V549" s="33"/>
      <c r="W549" s="33"/>
      <c r="X549" s="33"/>
      <c r="Y549" s="33"/>
      <c r="Z549" s="33"/>
      <c r="AA549" s="33"/>
      <c r="AB549" s="33"/>
      <c r="AC549" s="33"/>
      <c r="AD549" s="593"/>
    </row>
    <row r="550" spans="18:30" x14ac:dyDescent="0.25">
      <c r="R550" s="33"/>
      <c r="S550" s="33"/>
      <c r="T550" s="33"/>
      <c r="U550" s="33"/>
      <c r="V550" s="33"/>
      <c r="W550" s="33"/>
      <c r="X550" s="33"/>
      <c r="Y550" s="33"/>
      <c r="Z550" s="33"/>
      <c r="AA550" s="33"/>
      <c r="AB550" s="33"/>
      <c r="AC550" s="33"/>
      <c r="AD550" s="593"/>
    </row>
    <row r="551" spans="18:30" x14ac:dyDescent="0.25">
      <c r="R551" s="33"/>
      <c r="S551" s="33"/>
      <c r="T551" s="33"/>
      <c r="U551" s="33"/>
      <c r="V551" s="33"/>
      <c r="W551" s="33"/>
      <c r="X551" s="33"/>
      <c r="Y551" s="33"/>
      <c r="Z551" s="33"/>
      <c r="AA551" s="33"/>
      <c r="AB551" s="33"/>
      <c r="AC551" s="33"/>
      <c r="AD551" s="593"/>
    </row>
    <row r="552" spans="18:30" x14ac:dyDescent="0.25">
      <c r="R552" s="33"/>
      <c r="S552" s="33"/>
      <c r="T552" s="33"/>
      <c r="U552" s="33"/>
      <c r="V552" s="33"/>
      <c r="W552" s="33"/>
      <c r="X552" s="33"/>
      <c r="Y552" s="33"/>
      <c r="Z552" s="33"/>
      <c r="AA552" s="33"/>
      <c r="AB552" s="33"/>
      <c r="AC552" s="33"/>
      <c r="AD552" s="593"/>
    </row>
    <row r="553" spans="18:30" x14ac:dyDescent="0.25">
      <c r="R553" s="33"/>
      <c r="S553" s="33"/>
      <c r="T553" s="33"/>
      <c r="U553" s="33"/>
      <c r="V553" s="33"/>
      <c r="W553" s="33"/>
      <c r="X553" s="33"/>
      <c r="Y553" s="33"/>
      <c r="Z553" s="33"/>
      <c r="AA553" s="33"/>
      <c r="AB553" s="33"/>
      <c r="AC553" s="33"/>
      <c r="AD553" s="593"/>
    </row>
    <row r="554" spans="18:30" x14ac:dyDescent="0.25">
      <c r="R554" s="33"/>
      <c r="S554" s="33"/>
      <c r="T554" s="33"/>
      <c r="U554" s="33"/>
      <c r="V554" s="33"/>
      <c r="W554" s="33"/>
      <c r="X554" s="33"/>
      <c r="Y554" s="33"/>
      <c r="Z554" s="33"/>
      <c r="AA554" s="33"/>
      <c r="AB554" s="33"/>
      <c r="AC554" s="33"/>
      <c r="AD554" s="593"/>
    </row>
    <row r="555" spans="18:30" x14ac:dyDescent="0.25">
      <c r="R555" s="33"/>
      <c r="S555" s="33"/>
      <c r="T555" s="33"/>
      <c r="U555" s="33"/>
      <c r="V555" s="33"/>
      <c r="W555" s="33"/>
      <c r="X555" s="33"/>
      <c r="Y555" s="33"/>
      <c r="Z555" s="33"/>
      <c r="AA555" s="33"/>
      <c r="AB555" s="33"/>
      <c r="AC555" s="33"/>
      <c r="AD555" s="593"/>
    </row>
    <row r="556" spans="18:30" x14ac:dyDescent="0.25">
      <c r="R556" s="33"/>
      <c r="S556" s="33"/>
      <c r="T556" s="33"/>
      <c r="U556" s="33"/>
      <c r="V556" s="33"/>
      <c r="W556" s="33"/>
      <c r="X556" s="33"/>
      <c r="Y556" s="33"/>
      <c r="Z556" s="33"/>
      <c r="AA556" s="33"/>
      <c r="AB556" s="33"/>
      <c r="AC556" s="33"/>
      <c r="AD556" s="593"/>
    </row>
    <row r="557" spans="18:30" x14ac:dyDescent="0.25">
      <c r="R557" s="33"/>
      <c r="S557" s="33"/>
      <c r="T557" s="33"/>
      <c r="U557" s="33"/>
      <c r="V557" s="33"/>
      <c r="W557" s="33"/>
      <c r="X557" s="33"/>
      <c r="Y557" s="33"/>
      <c r="Z557" s="33"/>
      <c r="AA557" s="33"/>
      <c r="AB557" s="33"/>
      <c r="AC557" s="33"/>
      <c r="AD557" s="593"/>
    </row>
    <row r="558" spans="18:30" x14ac:dyDescent="0.25">
      <c r="R558" s="33"/>
      <c r="S558" s="33"/>
      <c r="T558" s="33"/>
      <c r="U558" s="33"/>
      <c r="V558" s="33"/>
      <c r="W558" s="33"/>
      <c r="X558" s="33"/>
      <c r="Y558" s="33"/>
      <c r="Z558" s="33"/>
      <c r="AA558" s="33"/>
      <c r="AB558" s="33"/>
      <c r="AC558" s="33"/>
      <c r="AD558" s="593"/>
    </row>
    <row r="559" spans="18:30" x14ac:dyDescent="0.25">
      <c r="R559" s="33"/>
      <c r="S559" s="33"/>
      <c r="T559" s="33"/>
      <c r="U559" s="33"/>
      <c r="V559" s="33"/>
      <c r="W559" s="33"/>
      <c r="X559" s="33"/>
      <c r="Y559" s="33"/>
      <c r="Z559" s="33"/>
      <c r="AA559" s="33"/>
      <c r="AB559" s="33"/>
      <c r="AC559" s="33"/>
      <c r="AD559" s="593"/>
    </row>
    <row r="560" spans="18:30" x14ac:dyDescent="0.25">
      <c r="R560" s="33"/>
      <c r="S560" s="33"/>
      <c r="T560" s="33"/>
      <c r="U560" s="33"/>
      <c r="V560" s="33"/>
      <c r="W560" s="33"/>
      <c r="X560" s="33"/>
      <c r="Y560" s="33"/>
      <c r="Z560" s="33"/>
      <c r="AA560" s="33"/>
      <c r="AB560" s="33"/>
      <c r="AC560" s="33"/>
      <c r="AD560" s="593"/>
    </row>
    <row r="561" spans="18:30" x14ac:dyDescent="0.25">
      <c r="R561" s="33"/>
      <c r="S561" s="33"/>
      <c r="T561" s="33"/>
      <c r="U561" s="33"/>
      <c r="V561" s="33"/>
      <c r="W561" s="33"/>
      <c r="X561" s="33"/>
      <c r="Y561" s="33"/>
      <c r="Z561" s="33"/>
      <c r="AA561" s="33"/>
      <c r="AB561" s="33"/>
      <c r="AC561" s="33"/>
      <c r="AD561" s="593"/>
    </row>
    <row r="562" spans="18:30" x14ac:dyDescent="0.25">
      <c r="R562" s="33"/>
      <c r="S562" s="33"/>
      <c r="T562" s="33"/>
      <c r="U562" s="33"/>
      <c r="V562" s="33"/>
      <c r="W562" s="33"/>
      <c r="X562" s="33"/>
      <c r="Y562" s="33"/>
      <c r="Z562" s="33"/>
      <c r="AA562" s="33"/>
      <c r="AB562" s="33"/>
      <c r="AC562" s="33"/>
      <c r="AD562" s="593"/>
    </row>
    <row r="563" spans="18:30" x14ac:dyDescent="0.25">
      <c r="R563" s="33"/>
      <c r="S563" s="33"/>
      <c r="T563" s="33"/>
      <c r="U563" s="33"/>
      <c r="V563" s="33"/>
      <c r="W563" s="33"/>
      <c r="X563" s="33"/>
      <c r="Y563" s="33"/>
      <c r="Z563" s="33"/>
      <c r="AA563" s="33"/>
      <c r="AB563" s="33"/>
      <c r="AC563" s="33"/>
      <c r="AD563" s="593"/>
    </row>
    <row r="564" spans="18:30" x14ac:dyDescent="0.25">
      <c r="R564" s="33"/>
      <c r="S564" s="33"/>
      <c r="T564" s="33"/>
      <c r="U564" s="33"/>
      <c r="V564" s="33"/>
      <c r="W564" s="33"/>
      <c r="X564" s="33"/>
      <c r="Y564" s="33"/>
      <c r="Z564" s="33"/>
      <c r="AA564" s="33"/>
      <c r="AB564" s="33"/>
      <c r="AC564" s="33"/>
      <c r="AD564" s="593"/>
    </row>
    <row r="565" spans="18:30" x14ac:dyDescent="0.25">
      <c r="R565" s="33"/>
      <c r="S565" s="33"/>
      <c r="T565" s="33"/>
      <c r="U565" s="33"/>
      <c r="V565" s="33"/>
      <c r="W565" s="33"/>
      <c r="X565" s="33"/>
      <c r="Y565" s="33"/>
      <c r="Z565" s="33"/>
      <c r="AA565" s="33"/>
      <c r="AB565" s="33"/>
      <c r="AC565" s="33"/>
      <c r="AD565" s="593"/>
    </row>
    <row r="566" spans="18:30" x14ac:dyDescent="0.25">
      <c r="R566" s="33"/>
      <c r="S566" s="33"/>
      <c r="T566" s="33"/>
      <c r="U566" s="33"/>
      <c r="V566" s="33"/>
      <c r="W566" s="33"/>
      <c r="X566" s="33"/>
      <c r="Y566" s="33"/>
      <c r="Z566" s="33"/>
      <c r="AA566" s="33"/>
      <c r="AB566" s="33"/>
      <c r="AC566" s="33"/>
      <c r="AD566" s="593"/>
    </row>
    <row r="567" spans="18:30" x14ac:dyDescent="0.25">
      <c r="R567" s="33"/>
      <c r="S567" s="33"/>
      <c r="T567" s="33"/>
      <c r="U567" s="33"/>
      <c r="V567" s="33"/>
      <c r="W567" s="33"/>
      <c r="X567" s="33"/>
      <c r="Y567" s="33"/>
      <c r="Z567" s="33"/>
      <c r="AA567" s="33"/>
      <c r="AB567" s="33"/>
      <c r="AC567" s="33"/>
      <c r="AD567" s="593"/>
    </row>
    <row r="568" spans="18:30" x14ac:dyDescent="0.25">
      <c r="R568" s="33"/>
      <c r="S568" s="33"/>
      <c r="T568" s="33"/>
      <c r="U568" s="33"/>
      <c r="V568" s="33"/>
      <c r="W568" s="33"/>
      <c r="X568" s="33"/>
      <c r="Y568" s="33"/>
      <c r="Z568" s="33"/>
      <c r="AA568" s="33"/>
      <c r="AB568" s="33"/>
      <c r="AC568" s="33"/>
      <c r="AD568" s="593"/>
    </row>
    <row r="569" spans="18:30" x14ac:dyDescent="0.25">
      <c r="R569" s="33"/>
      <c r="S569" s="33"/>
      <c r="T569" s="33"/>
      <c r="U569" s="33"/>
      <c r="V569" s="33"/>
      <c r="W569" s="33"/>
      <c r="X569" s="33"/>
      <c r="Y569" s="33"/>
      <c r="Z569" s="33"/>
      <c r="AA569" s="33"/>
      <c r="AB569" s="33"/>
      <c r="AC569" s="33"/>
      <c r="AD569" s="593"/>
    </row>
    <row r="570" spans="18:30" x14ac:dyDescent="0.25">
      <c r="R570" s="33"/>
      <c r="S570" s="33"/>
      <c r="T570" s="33"/>
      <c r="U570" s="33"/>
      <c r="V570" s="33"/>
      <c r="W570" s="33"/>
      <c r="X570" s="33"/>
      <c r="Y570" s="33"/>
      <c r="Z570" s="33"/>
      <c r="AA570" s="33"/>
      <c r="AB570" s="33"/>
      <c r="AC570" s="33"/>
      <c r="AD570" s="593"/>
    </row>
    <row r="571" spans="18:30" x14ac:dyDescent="0.25">
      <c r="R571" s="33"/>
      <c r="S571" s="33"/>
      <c r="T571" s="33"/>
      <c r="U571" s="33"/>
      <c r="V571" s="33"/>
      <c r="W571" s="33"/>
      <c r="X571" s="33"/>
      <c r="Y571" s="33"/>
      <c r="Z571" s="33"/>
      <c r="AA571" s="33"/>
      <c r="AB571" s="33"/>
      <c r="AC571" s="33"/>
      <c r="AD571" s="593"/>
    </row>
    <row r="572" spans="18:30" x14ac:dyDescent="0.25">
      <c r="R572" s="33"/>
      <c r="S572" s="33"/>
      <c r="T572" s="33"/>
      <c r="U572" s="33"/>
      <c r="V572" s="33"/>
      <c r="W572" s="33"/>
      <c r="X572" s="33"/>
      <c r="Y572" s="33"/>
      <c r="Z572" s="33"/>
      <c r="AA572" s="33"/>
      <c r="AB572" s="33"/>
      <c r="AC572" s="33"/>
      <c r="AD572" s="593"/>
    </row>
    <row r="573" spans="18:30" x14ac:dyDescent="0.25">
      <c r="R573" s="33"/>
      <c r="S573" s="33"/>
      <c r="T573" s="33"/>
      <c r="U573" s="33"/>
      <c r="V573" s="33"/>
      <c r="W573" s="33"/>
      <c r="X573" s="33"/>
      <c r="Y573" s="33"/>
      <c r="Z573" s="33"/>
      <c r="AA573" s="33"/>
      <c r="AB573" s="33"/>
      <c r="AC573" s="33"/>
      <c r="AD573" s="593"/>
    </row>
    <row r="574" spans="18:30" x14ac:dyDescent="0.25">
      <c r="R574" s="33"/>
      <c r="S574" s="33"/>
      <c r="T574" s="33"/>
      <c r="U574" s="33"/>
      <c r="V574" s="33"/>
      <c r="W574" s="33"/>
      <c r="X574" s="33"/>
      <c r="Y574" s="33"/>
      <c r="Z574" s="33"/>
      <c r="AA574" s="33"/>
      <c r="AB574" s="33"/>
      <c r="AC574" s="33"/>
      <c r="AD574" s="593"/>
    </row>
    <row r="575" spans="18:30" x14ac:dyDescent="0.25">
      <c r="R575" s="33"/>
      <c r="S575" s="33"/>
      <c r="T575" s="33"/>
      <c r="U575" s="33"/>
      <c r="V575" s="33"/>
      <c r="W575" s="33"/>
      <c r="X575" s="33"/>
      <c r="Y575" s="33"/>
      <c r="Z575" s="33"/>
      <c r="AA575" s="33"/>
      <c r="AB575" s="33"/>
      <c r="AC575" s="33"/>
      <c r="AD575" s="593"/>
    </row>
    <row r="576" spans="18:30" x14ac:dyDescent="0.25">
      <c r="R576" s="33"/>
      <c r="S576" s="33"/>
      <c r="T576" s="33"/>
      <c r="U576" s="33"/>
      <c r="V576" s="33"/>
      <c r="W576" s="33"/>
      <c r="X576" s="33"/>
      <c r="Y576" s="33"/>
      <c r="Z576" s="33"/>
      <c r="AA576" s="33"/>
      <c r="AB576" s="33"/>
      <c r="AC576" s="33"/>
      <c r="AD576" s="593"/>
    </row>
    <row r="577" spans="18:30" x14ac:dyDescent="0.25">
      <c r="R577" s="33"/>
      <c r="S577" s="33"/>
      <c r="T577" s="33"/>
      <c r="U577" s="33"/>
      <c r="V577" s="33"/>
      <c r="W577" s="33"/>
      <c r="X577" s="33"/>
      <c r="Y577" s="33"/>
      <c r="Z577" s="33"/>
      <c r="AA577" s="33"/>
      <c r="AB577" s="33"/>
      <c r="AC577" s="33"/>
      <c r="AD577" s="593"/>
    </row>
    <row r="578" spans="18:30" x14ac:dyDescent="0.25">
      <c r="R578" s="33"/>
      <c r="S578" s="33"/>
      <c r="T578" s="33"/>
      <c r="U578" s="33"/>
      <c r="V578" s="33"/>
      <c r="W578" s="33"/>
      <c r="X578" s="33"/>
      <c r="Y578" s="33"/>
      <c r="Z578" s="33"/>
      <c r="AA578" s="33"/>
      <c r="AB578" s="33"/>
      <c r="AC578" s="33"/>
      <c r="AD578" s="593"/>
    </row>
    <row r="579" spans="18:30" x14ac:dyDescent="0.25">
      <c r="R579" s="33"/>
      <c r="S579" s="33"/>
      <c r="T579" s="33"/>
      <c r="U579" s="33"/>
      <c r="V579" s="33"/>
      <c r="W579" s="33"/>
      <c r="X579" s="33"/>
      <c r="Y579" s="33"/>
      <c r="Z579" s="33"/>
      <c r="AA579" s="33"/>
      <c r="AB579" s="33"/>
      <c r="AC579" s="33"/>
      <c r="AD579" s="593"/>
    </row>
    <row r="580" spans="18:30" x14ac:dyDescent="0.25">
      <c r="R580" s="33"/>
      <c r="S580" s="33"/>
      <c r="T580" s="33"/>
      <c r="U580" s="33"/>
      <c r="V580" s="33"/>
      <c r="W580" s="33"/>
      <c r="X580" s="33"/>
      <c r="Y580" s="33"/>
      <c r="Z580" s="33"/>
      <c r="AA580" s="33"/>
      <c r="AB580" s="33"/>
      <c r="AC580" s="33"/>
      <c r="AD580" s="593"/>
    </row>
    <row r="581" spans="18:30" x14ac:dyDescent="0.25">
      <c r="R581" s="33"/>
      <c r="S581" s="33"/>
      <c r="T581" s="33"/>
      <c r="U581" s="33"/>
      <c r="V581" s="33"/>
      <c r="W581" s="33"/>
      <c r="X581" s="33"/>
      <c r="Y581" s="33"/>
      <c r="Z581" s="33"/>
      <c r="AA581" s="33"/>
      <c r="AB581" s="33"/>
      <c r="AC581" s="33"/>
      <c r="AD581" s="593"/>
    </row>
    <row r="582" spans="18:30" x14ac:dyDescent="0.25">
      <c r="R582" s="33"/>
      <c r="S582" s="33"/>
      <c r="T582" s="33"/>
      <c r="U582" s="33"/>
      <c r="V582" s="33"/>
      <c r="W582" s="33"/>
      <c r="X582" s="33"/>
      <c r="Y582" s="33"/>
      <c r="Z582" s="33"/>
      <c r="AA582" s="33"/>
      <c r="AB582" s="33"/>
      <c r="AC582" s="33"/>
      <c r="AD582" s="593"/>
    </row>
    <row r="583" spans="18:30" x14ac:dyDescent="0.25">
      <c r="R583" s="33"/>
      <c r="S583" s="33"/>
      <c r="T583" s="33"/>
      <c r="U583" s="33"/>
      <c r="V583" s="33"/>
      <c r="W583" s="33"/>
      <c r="X583" s="33"/>
      <c r="Y583" s="33"/>
      <c r="Z583" s="33"/>
      <c r="AA583" s="33"/>
      <c r="AB583" s="33"/>
      <c r="AC583" s="33"/>
      <c r="AD583" s="593"/>
    </row>
    <row r="584" spans="18:30" x14ac:dyDescent="0.25">
      <c r="R584" s="33"/>
      <c r="S584" s="33"/>
      <c r="T584" s="33"/>
      <c r="U584" s="33"/>
      <c r="V584" s="33"/>
      <c r="W584" s="33"/>
      <c r="X584" s="33"/>
      <c r="Y584" s="33"/>
      <c r="Z584" s="33"/>
      <c r="AA584" s="33"/>
      <c r="AB584" s="33"/>
      <c r="AC584" s="33"/>
      <c r="AD584" s="593"/>
    </row>
    <row r="585" spans="18:30" x14ac:dyDescent="0.25">
      <c r="R585" s="33"/>
      <c r="S585" s="33"/>
      <c r="T585" s="33"/>
      <c r="U585" s="33"/>
      <c r="V585" s="33"/>
      <c r="W585" s="33"/>
      <c r="X585" s="33"/>
      <c r="Y585" s="33"/>
      <c r="Z585" s="33"/>
      <c r="AA585" s="33"/>
      <c r="AB585" s="33"/>
      <c r="AC585" s="33"/>
      <c r="AD585" s="593"/>
    </row>
    <row r="586" spans="18:30" x14ac:dyDescent="0.25">
      <c r="R586" s="33"/>
      <c r="S586" s="33"/>
      <c r="T586" s="33"/>
      <c r="U586" s="33"/>
      <c r="V586" s="33"/>
      <c r="W586" s="33"/>
      <c r="X586" s="33"/>
      <c r="Y586" s="33"/>
      <c r="Z586" s="33"/>
      <c r="AA586" s="33"/>
      <c r="AB586" s="33"/>
      <c r="AC586" s="33"/>
      <c r="AD586" s="593"/>
    </row>
    <row r="587" spans="18:30" x14ac:dyDescent="0.25">
      <c r="R587" s="33"/>
      <c r="S587" s="33"/>
      <c r="T587" s="33"/>
      <c r="U587" s="33"/>
      <c r="V587" s="33"/>
      <c r="W587" s="33"/>
      <c r="X587" s="33"/>
      <c r="Y587" s="33"/>
      <c r="Z587" s="33"/>
      <c r="AA587" s="33"/>
      <c r="AB587" s="33"/>
      <c r="AC587" s="33"/>
      <c r="AD587" s="593"/>
    </row>
    <row r="588" spans="18:30" x14ac:dyDescent="0.25">
      <c r="R588" s="33"/>
      <c r="S588" s="33"/>
      <c r="T588" s="33"/>
      <c r="U588" s="33"/>
      <c r="V588" s="33"/>
      <c r="W588" s="33"/>
      <c r="X588" s="33"/>
      <c r="Y588" s="33"/>
      <c r="Z588" s="33"/>
      <c r="AA588" s="33"/>
      <c r="AB588" s="33"/>
      <c r="AC588" s="33"/>
      <c r="AD588" s="593"/>
    </row>
    <row r="589" spans="18:30" x14ac:dyDescent="0.25">
      <c r="R589" s="33"/>
      <c r="S589" s="33"/>
      <c r="T589" s="33"/>
      <c r="U589" s="33"/>
      <c r="V589" s="33"/>
      <c r="W589" s="33"/>
      <c r="X589" s="33"/>
      <c r="Y589" s="33"/>
      <c r="Z589" s="33"/>
      <c r="AA589" s="33"/>
      <c r="AB589" s="33"/>
      <c r="AC589" s="33"/>
      <c r="AD589" s="593"/>
    </row>
    <row r="590" spans="18:30" x14ac:dyDescent="0.25">
      <c r="R590" s="33"/>
      <c r="S590" s="33"/>
      <c r="T590" s="33"/>
      <c r="U590" s="33"/>
      <c r="V590" s="33"/>
      <c r="W590" s="33"/>
      <c r="X590" s="33"/>
      <c r="Y590" s="33"/>
      <c r="Z590" s="33"/>
      <c r="AA590" s="33"/>
      <c r="AB590" s="33"/>
      <c r="AC590" s="33"/>
      <c r="AD590" s="593"/>
    </row>
    <row r="591" spans="18:30" x14ac:dyDescent="0.25">
      <c r="R591" s="33"/>
      <c r="S591" s="33"/>
      <c r="T591" s="33"/>
      <c r="U591" s="33"/>
      <c r="V591" s="33"/>
      <c r="W591" s="33"/>
      <c r="X591" s="33"/>
      <c r="Y591" s="33"/>
      <c r="Z591" s="33"/>
      <c r="AA591" s="33"/>
      <c r="AB591" s="33"/>
      <c r="AC591" s="33"/>
      <c r="AD591" s="593"/>
    </row>
    <row r="592" spans="18:30" x14ac:dyDescent="0.25">
      <c r="R592" s="33"/>
      <c r="S592" s="33"/>
      <c r="T592" s="33"/>
      <c r="U592" s="33"/>
      <c r="V592" s="33"/>
      <c r="W592" s="33"/>
      <c r="X592" s="33"/>
      <c r="Y592" s="33"/>
      <c r="Z592" s="33"/>
      <c r="AA592" s="33"/>
      <c r="AB592" s="33"/>
      <c r="AC592" s="33"/>
      <c r="AD592" s="593"/>
    </row>
    <row r="593" spans="18:30" x14ac:dyDescent="0.25">
      <c r="R593" s="33"/>
      <c r="S593" s="33"/>
      <c r="T593" s="33"/>
      <c r="U593" s="33"/>
      <c r="V593" s="33"/>
      <c r="W593" s="33"/>
      <c r="X593" s="33"/>
      <c r="Y593" s="33"/>
      <c r="Z593" s="33"/>
      <c r="AA593" s="33"/>
      <c r="AB593" s="33"/>
      <c r="AC593" s="33"/>
      <c r="AD593" s="593"/>
    </row>
    <row r="594" spans="18:30" x14ac:dyDescent="0.25">
      <c r="R594" s="33"/>
      <c r="S594" s="33"/>
      <c r="T594" s="33"/>
      <c r="U594" s="33"/>
      <c r="V594" s="33"/>
      <c r="W594" s="33"/>
      <c r="X594" s="33"/>
      <c r="Y594" s="33"/>
      <c r="Z594" s="33"/>
      <c r="AA594" s="33"/>
      <c r="AB594" s="33"/>
      <c r="AC594" s="33"/>
      <c r="AD594" s="593"/>
    </row>
    <row r="595" spans="18:30" x14ac:dyDescent="0.25">
      <c r="R595" s="33"/>
      <c r="S595" s="33"/>
      <c r="T595" s="33"/>
      <c r="U595" s="33"/>
      <c r="V595" s="33"/>
      <c r="W595" s="33"/>
      <c r="X595" s="33"/>
      <c r="Y595" s="33"/>
      <c r="Z595" s="33"/>
      <c r="AA595" s="33"/>
      <c r="AB595" s="33"/>
      <c r="AC595" s="33"/>
      <c r="AD595" s="593"/>
    </row>
    <row r="596" spans="18:30" x14ac:dyDescent="0.25">
      <c r="R596" s="33"/>
      <c r="S596" s="33"/>
      <c r="T596" s="33"/>
      <c r="U596" s="33"/>
      <c r="V596" s="33"/>
      <c r="W596" s="33"/>
      <c r="X596" s="33"/>
      <c r="Y596" s="33"/>
      <c r="Z596" s="33"/>
      <c r="AA596" s="33"/>
      <c r="AB596" s="33"/>
      <c r="AC596" s="33"/>
      <c r="AD596" s="593"/>
    </row>
    <row r="597" spans="18:30" x14ac:dyDescent="0.25">
      <c r="R597" s="33"/>
      <c r="S597" s="33"/>
      <c r="T597" s="33"/>
      <c r="U597" s="33"/>
      <c r="V597" s="33"/>
      <c r="W597" s="33"/>
      <c r="X597" s="33"/>
      <c r="Y597" s="33"/>
      <c r="Z597" s="33"/>
      <c r="AA597" s="33"/>
      <c r="AB597" s="33"/>
      <c r="AC597" s="33"/>
      <c r="AD597" s="593"/>
    </row>
    <row r="598" spans="18:30" x14ac:dyDescent="0.25">
      <c r="R598" s="33"/>
      <c r="S598" s="33"/>
      <c r="T598" s="33"/>
      <c r="U598" s="33"/>
      <c r="V598" s="33"/>
      <c r="W598" s="33"/>
      <c r="X598" s="33"/>
      <c r="Y598" s="33"/>
      <c r="Z598" s="33"/>
      <c r="AA598" s="33"/>
      <c r="AB598" s="33"/>
      <c r="AC598" s="33"/>
      <c r="AD598" s="593"/>
    </row>
    <row r="599" spans="18:30" x14ac:dyDescent="0.25">
      <c r="R599" s="33"/>
      <c r="S599" s="33"/>
      <c r="T599" s="33"/>
      <c r="U599" s="33"/>
      <c r="V599" s="33"/>
      <c r="W599" s="33"/>
      <c r="X599" s="33"/>
      <c r="Y599" s="33"/>
      <c r="Z599" s="33"/>
      <c r="AA599" s="33"/>
      <c r="AB599" s="33"/>
      <c r="AC599" s="33"/>
      <c r="AD599" s="593"/>
    </row>
    <row r="600" spans="18:30" x14ac:dyDescent="0.25">
      <c r="R600" s="33"/>
      <c r="S600" s="33"/>
      <c r="T600" s="33"/>
      <c r="U600" s="33"/>
      <c r="V600" s="33"/>
      <c r="W600" s="33"/>
      <c r="X600" s="33"/>
      <c r="Y600" s="33"/>
      <c r="Z600" s="33"/>
      <c r="AA600" s="33"/>
      <c r="AB600" s="33"/>
      <c r="AC600" s="33"/>
      <c r="AD600" s="593"/>
    </row>
    <row r="601" spans="18:30" x14ac:dyDescent="0.25">
      <c r="R601" s="33"/>
      <c r="S601" s="33"/>
      <c r="T601" s="33"/>
      <c r="U601" s="33"/>
      <c r="V601" s="33"/>
      <c r="W601" s="33"/>
      <c r="X601" s="33"/>
      <c r="Y601" s="33"/>
      <c r="Z601" s="33"/>
      <c r="AA601" s="33"/>
      <c r="AB601" s="33"/>
      <c r="AC601" s="33"/>
      <c r="AD601" s="593"/>
    </row>
    <row r="602" spans="18:30" x14ac:dyDescent="0.25">
      <c r="R602" s="33"/>
      <c r="S602" s="33"/>
      <c r="T602" s="33"/>
      <c r="U602" s="33"/>
      <c r="V602" s="33"/>
      <c r="W602" s="33"/>
      <c r="X602" s="33"/>
      <c r="Y602" s="33"/>
      <c r="Z602" s="33"/>
      <c r="AA602" s="33"/>
      <c r="AB602" s="33"/>
      <c r="AC602" s="33"/>
      <c r="AD602" s="593"/>
    </row>
    <row r="603" spans="18:30" x14ac:dyDescent="0.25">
      <c r="R603" s="33"/>
      <c r="S603" s="33"/>
      <c r="T603" s="33"/>
      <c r="U603" s="33"/>
      <c r="V603" s="33"/>
      <c r="W603" s="33"/>
      <c r="X603" s="33"/>
      <c r="Y603" s="33"/>
      <c r="Z603" s="33"/>
      <c r="AA603" s="33"/>
      <c r="AB603" s="33"/>
      <c r="AC603" s="33"/>
      <c r="AD603" s="593"/>
    </row>
    <row r="604" spans="18:30" x14ac:dyDescent="0.25">
      <c r="R604" s="33"/>
      <c r="S604" s="33"/>
      <c r="T604" s="33"/>
      <c r="U604" s="33"/>
      <c r="V604" s="33"/>
      <c r="W604" s="33"/>
      <c r="X604" s="33"/>
      <c r="Y604" s="33"/>
      <c r="Z604" s="33"/>
      <c r="AA604" s="33"/>
      <c r="AB604" s="33"/>
      <c r="AC604" s="33"/>
      <c r="AD604" s="593"/>
    </row>
    <row r="605" spans="18:30" x14ac:dyDescent="0.25">
      <c r="R605" s="33"/>
      <c r="S605" s="33"/>
      <c r="T605" s="33"/>
      <c r="U605" s="33"/>
      <c r="V605" s="33"/>
      <c r="W605" s="33"/>
      <c r="X605" s="33"/>
      <c r="Y605" s="33"/>
      <c r="Z605" s="33"/>
      <c r="AA605" s="33"/>
      <c r="AB605" s="33"/>
      <c r="AC605" s="33"/>
      <c r="AD605" s="593"/>
    </row>
    <row r="606" spans="18:30" x14ac:dyDescent="0.25">
      <c r="R606" s="33"/>
      <c r="S606" s="33"/>
      <c r="T606" s="33"/>
      <c r="U606" s="33"/>
      <c r="V606" s="33"/>
      <c r="W606" s="33"/>
      <c r="X606" s="33"/>
      <c r="Y606" s="33"/>
      <c r="Z606" s="33"/>
      <c r="AA606" s="33"/>
      <c r="AB606" s="33"/>
      <c r="AC606" s="33"/>
      <c r="AD606" s="593"/>
    </row>
    <row r="607" spans="18:30" x14ac:dyDescent="0.25">
      <c r="R607" s="33"/>
      <c r="S607" s="33"/>
      <c r="T607" s="33"/>
      <c r="U607" s="33"/>
      <c r="V607" s="33"/>
      <c r="W607" s="33"/>
      <c r="X607" s="33"/>
      <c r="Y607" s="33"/>
      <c r="Z607" s="33"/>
      <c r="AA607" s="33"/>
      <c r="AB607" s="33"/>
      <c r="AC607" s="33"/>
      <c r="AD607" s="593"/>
    </row>
    <row r="608" spans="18:30" x14ac:dyDescent="0.25">
      <c r="R608" s="33"/>
      <c r="S608" s="33"/>
      <c r="T608" s="33"/>
      <c r="U608" s="33"/>
      <c r="V608" s="33"/>
      <c r="W608" s="33"/>
      <c r="X608" s="33"/>
      <c r="Y608" s="33"/>
      <c r="Z608" s="33"/>
      <c r="AA608" s="33"/>
      <c r="AB608" s="33"/>
      <c r="AC608" s="33"/>
      <c r="AD608" s="593"/>
    </row>
    <row r="609" spans="18:30" x14ac:dyDescent="0.25">
      <c r="R609" s="33"/>
      <c r="S609" s="33"/>
      <c r="T609" s="33"/>
      <c r="U609" s="33"/>
      <c r="V609" s="33"/>
      <c r="W609" s="33"/>
      <c r="X609" s="33"/>
      <c r="Y609" s="33"/>
      <c r="Z609" s="33"/>
      <c r="AA609" s="33"/>
      <c r="AB609" s="33"/>
      <c r="AC609" s="33"/>
      <c r="AD609" s="593"/>
    </row>
    <row r="610" spans="18:30" x14ac:dyDescent="0.25">
      <c r="R610" s="33"/>
      <c r="S610" s="33"/>
      <c r="T610" s="33"/>
      <c r="U610" s="33"/>
      <c r="V610" s="33"/>
      <c r="W610" s="33"/>
      <c r="X610" s="33"/>
      <c r="Y610" s="33"/>
      <c r="Z610" s="33"/>
      <c r="AA610" s="33"/>
      <c r="AB610" s="33"/>
      <c r="AC610" s="33"/>
      <c r="AD610" s="593"/>
    </row>
    <row r="611" spans="18:30" x14ac:dyDescent="0.25">
      <c r="R611" s="33"/>
      <c r="S611" s="33"/>
      <c r="T611" s="33"/>
      <c r="U611" s="33"/>
      <c r="V611" s="33"/>
      <c r="W611" s="33"/>
      <c r="X611" s="33"/>
      <c r="Y611" s="33"/>
      <c r="Z611" s="33"/>
      <c r="AA611" s="33"/>
      <c r="AB611" s="33"/>
      <c r="AC611" s="33"/>
      <c r="AD611" s="593"/>
    </row>
    <row r="612" spans="18:30" x14ac:dyDescent="0.25">
      <c r="R612" s="33"/>
      <c r="S612" s="33"/>
      <c r="T612" s="33"/>
      <c r="U612" s="33"/>
      <c r="V612" s="33"/>
      <c r="W612" s="33"/>
      <c r="X612" s="33"/>
      <c r="Y612" s="33"/>
      <c r="Z612" s="33"/>
      <c r="AA612" s="33"/>
      <c r="AB612" s="33"/>
      <c r="AC612" s="33"/>
      <c r="AD612" s="593"/>
    </row>
    <row r="613" spans="18:30" x14ac:dyDescent="0.25">
      <c r="R613" s="33"/>
      <c r="S613" s="33"/>
      <c r="T613" s="33"/>
      <c r="U613" s="33"/>
      <c r="V613" s="33"/>
      <c r="W613" s="33"/>
      <c r="X613" s="33"/>
      <c r="Y613" s="33"/>
      <c r="Z613" s="33"/>
      <c r="AA613" s="33"/>
      <c r="AB613" s="33"/>
      <c r="AC613" s="33"/>
      <c r="AD613" s="593"/>
    </row>
    <row r="614" spans="18:30" x14ac:dyDescent="0.25">
      <c r="R614" s="33"/>
      <c r="S614" s="33"/>
      <c r="T614" s="33"/>
      <c r="U614" s="33"/>
      <c r="V614" s="33"/>
      <c r="W614" s="33"/>
      <c r="X614" s="33"/>
      <c r="Y614" s="33"/>
      <c r="Z614" s="33"/>
      <c r="AA614" s="33"/>
      <c r="AB614" s="33"/>
      <c r="AC614" s="33"/>
      <c r="AD614" s="593"/>
    </row>
    <row r="615" spans="18:30" x14ac:dyDescent="0.25">
      <c r="R615" s="33"/>
      <c r="S615" s="33"/>
      <c r="T615" s="33"/>
      <c r="U615" s="33"/>
      <c r="V615" s="33"/>
      <c r="W615" s="33"/>
      <c r="X615" s="33"/>
      <c r="Y615" s="33"/>
      <c r="Z615" s="33"/>
      <c r="AA615" s="33"/>
      <c r="AB615" s="33"/>
      <c r="AC615" s="33"/>
      <c r="AD615" s="593"/>
    </row>
    <row r="616" spans="18:30" x14ac:dyDescent="0.25">
      <c r="R616" s="33"/>
      <c r="S616" s="33"/>
      <c r="T616" s="33"/>
      <c r="U616" s="33"/>
      <c r="V616" s="33"/>
      <c r="W616" s="33"/>
      <c r="X616" s="33"/>
      <c r="Y616" s="33"/>
      <c r="Z616" s="33"/>
      <c r="AA616" s="33"/>
      <c r="AB616" s="33"/>
      <c r="AC616" s="33"/>
      <c r="AD616" s="593"/>
    </row>
    <row r="617" spans="18:30" x14ac:dyDescent="0.25">
      <c r="R617" s="33"/>
      <c r="S617" s="33"/>
      <c r="T617" s="33"/>
      <c r="U617" s="33"/>
      <c r="V617" s="33"/>
      <c r="W617" s="33"/>
      <c r="X617" s="33"/>
      <c r="Y617" s="33"/>
      <c r="Z617" s="33"/>
      <c r="AA617" s="33"/>
      <c r="AB617" s="33"/>
      <c r="AC617" s="33"/>
      <c r="AD617" s="593"/>
    </row>
    <row r="618" spans="18:30" x14ac:dyDescent="0.25">
      <c r="R618" s="33"/>
      <c r="S618" s="33"/>
      <c r="T618" s="33"/>
      <c r="U618" s="33"/>
      <c r="V618" s="33"/>
      <c r="W618" s="33"/>
      <c r="X618" s="33"/>
      <c r="Y618" s="33"/>
      <c r="Z618" s="33"/>
      <c r="AA618" s="33"/>
      <c r="AB618" s="33"/>
      <c r="AC618" s="33"/>
      <c r="AD618" s="593"/>
    </row>
    <row r="619" spans="18:30" x14ac:dyDescent="0.25">
      <c r="R619" s="33"/>
      <c r="S619" s="33"/>
      <c r="T619" s="33"/>
      <c r="U619" s="33"/>
      <c r="V619" s="33"/>
      <c r="W619" s="33"/>
      <c r="X619" s="33"/>
      <c r="Y619" s="33"/>
      <c r="Z619" s="33"/>
      <c r="AA619" s="33"/>
      <c r="AB619" s="33"/>
      <c r="AC619" s="33"/>
      <c r="AD619" s="593"/>
    </row>
    <row r="620" spans="18:30" x14ac:dyDescent="0.25">
      <c r="R620" s="33"/>
      <c r="S620" s="33"/>
      <c r="T620" s="33"/>
      <c r="U620" s="33"/>
      <c r="V620" s="33"/>
      <c r="W620" s="33"/>
      <c r="X620" s="33"/>
      <c r="Y620" s="33"/>
      <c r="Z620" s="33"/>
      <c r="AA620" s="33"/>
      <c r="AB620" s="33"/>
      <c r="AC620" s="33"/>
      <c r="AD620" s="593"/>
    </row>
    <row r="621" spans="18:30" x14ac:dyDescent="0.25">
      <c r="R621" s="33"/>
      <c r="S621" s="33"/>
      <c r="T621" s="33"/>
      <c r="U621" s="33"/>
      <c r="V621" s="33"/>
      <c r="W621" s="33"/>
      <c r="X621" s="33"/>
      <c r="Y621" s="33"/>
      <c r="Z621" s="33"/>
      <c r="AA621" s="33"/>
      <c r="AB621" s="33"/>
      <c r="AC621" s="33"/>
      <c r="AD621" s="593"/>
    </row>
    <row r="622" spans="18:30" x14ac:dyDescent="0.25">
      <c r="R622" s="33"/>
      <c r="S622" s="33"/>
      <c r="T622" s="33"/>
      <c r="U622" s="33"/>
      <c r="V622" s="33"/>
      <c r="W622" s="33"/>
      <c r="X622" s="33"/>
      <c r="Y622" s="33"/>
      <c r="Z622" s="33"/>
      <c r="AA622" s="33"/>
      <c r="AB622" s="33"/>
      <c r="AC622" s="33"/>
      <c r="AD622" s="593"/>
    </row>
    <row r="623" spans="18:30" x14ac:dyDescent="0.25">
      <c r="R623" s="33"/>
      <c r="S623" s="33"/>
      <c r="T623" s="33"/>
      <c r="U623" s="33"/>
      <c r="V623" s="33"/>
      <c r="W623" s="33"/>
      <c r="X623" s="33"/>
      <c r="Y623" s="33"/>
      <c r="Z623" s="33"/>
      <c r="AA623" s="33"/>
      <c r="AB623" s="33"/>
      <c r="AC623" s="33"/>
      <c r="AD623" s="593"/>
    </row>
    <row r="624" spans="18:30" x14ac:dyDescent="0.25">
      <c r="R624" s="33"/>
      <c r="S624" s="33"/>
      <c r="T624" s="33"/>
      <c r="U624" s="33"/>
      <c r="V624" s="33"/>
      <c r="W624" s="33"/>
      <c r="X624" s="33"/>
      <c r="Y624" s="33"/>
      <c r="Z624" s="33"/>
      <c r="AA624" s="33"/>
      <c r="AB624" s="33"/>
      <c r="AC624" s="33"/>
      <c r="AD624" s="593"/>
    </row>
    <row r="625" spans="18:30" x14ac:dyDescent="0.25">
      <c r="R625" s="33"/>
      <c r="S625" s="33"/>
      <c r="T625" s="33"/>
      <c r="U625" s="33"/>
      <c r="V625" s="33"/>
      <c r="W625" s="33"/>
      <c r="X625" s="33"/>
      <c r="Y625" s="33"/>
      <c r="Z625" s="33"/>
      <c r="AA625" s="33"/>
      <c r="AB625" s="33"/>
      <c r="AC625" s="33"/>
      <c r="AD625" s="593"/>
    </row>
    <row r="626" spans="18:30" x14ac:dyDescent="0.25">
      <c r="R626" s="33"/>
      <c r="S626" s="33"/>
      <c r="T626" s="33"/>
      <c r="U626" s="33"/>
      <c r="V626" s="33"/>
      <c r="W626" s="33"/>
      <c r="X626" s="33"/>
      <c r="Y626" s="33"/>
      <c r="Z626" s="33"/>
      <c r="AA626" s="33"/>
      <c r="AB626" s="33"/>
      <c r="AC626" s="33"/>
      <c r="AD626" s="593"/>
    </row>
    <row r="627" spans="18:30" x14ac:dyDescent="0.25">
      <c r="R627" s="33"/>
      <c r="S627" s="33"/>
      <c r="T627" s="33"/>
      <c r="U627" s="33"/>
      <c r="V627" s="33"/>
      <c r="W627" s="33"/>
      <c r="X627" s="33"/>
      <c r="Y627" s="33"/>
      <c r="Z627" s="33"/>
      <c r="AA627" s="33"/>
      <c r="AB627" s="33"/>
      <c r="AC627" s="33"/>
      <c r="AD627" s="593"/>
    </row>
    <row r="628" spans="18:30" x14ac:dyDescent="0.25">
      <c r="R628" s="33"/>
      <c r="S628" s="33"/>
      <c r="T628" s="33"/>
      <c r="U628" s="33"/>
      <c r="V628" s="33"/>
      <c r="W628" s="33"/>
      <c r="X628" s="33"/>
      <c r="Y628" s="33"/>
      <c r="Z628" s="33"/>
      <c r="AA628" s="33"/>
      <c r="AB628" s="33"/>
      <c r="AC628" s="33"/>
      <c r="AD628" s="593"/>
    </row>
    <row r="629" spans="18:30" x14ac:dyDescent="0.25">
      <c r="R629" s="33"/>
      <c r="S629" s="33"/>
      <c r="T629" s="33"/>
      <c r="U629" s="33"/>
      <c r="V629" s="33"/>
      <c r="W629" s="33"/>
      <c r="X629" s="33"/>
      <c r="Y629" s="33"/>
      <c r="Z629" s="33"/>
      <c r="AA629" s="33"/>
      <c r="AB629" s="33"/>
      <c r="AC629" s="33"/>
      <c r="AD629" s="593"/>
    </row>
    <row r="630" spans="18:30" x14ac:dyDescent="0.25">
      <c r="R630" s="33"/>
      <c r="S630" s="33"/>
      <c r="T630" s="33"/>
      <c r="U630" s="33"/>
      <c r="V630" s="33"/>
      <c r="W630" s="33"/>
      <c r="X630" s="33"/>
      <c r="Y630" s="33"/>
      <c r="Z630" s="33"/>
      <c r="AA630" s="33"/>
      <c r="AB630" s="33"/>
      <c r="AC630" s="33"/>
      <c r="AD630" s="593"/>
    </row>
    <row r="631" spans="18:30" x14ac:dyDescent="0.25">
      <c r="R631" s="33"/>
      <c r="S631" s="33"/>
      <c r="T631" s="33"/>
      <c r="U631" s="33"/>
      <c r="V631" s="33"/>
      <c r="W631" s="33"/>
      <c r="X631" s="33"/>
      <c r="Y631" s="33"/>
      <c r="Z631" s="33"/>
      <c r="AA631" s="33"/>
      <c r="AB631" s="33"/>
      <c r="AC631" s="33"/>
      <c r="AD631" s="593"/>
    </row>
    <row r="632" spans="18:30" x14ac:dyDescent="0.25">
      <c r="R632" s="33"/>
      <c r="S632" s="33"/>
      <c r="T632" s="33"/>
      <c r="U632" s="33"/>
      <c r="V632" s="33"/>
      <c r="W632" s="33"/>
      <c r="X632" s="33"/>
      <c r="Y632" s="33"/>
      <c r="Z632" s="33"/>
      <c r="AA632" s="33"/>
      <c r="AB632" s="33"/>
      <c r="AC632" s="33"/>
      <c r="AD632" s="593"/>
    </row>
    <row r="633" spans="18:30" x14ac:dyDescent="0.25">
      <c r="R633" s="33"/>
      <c r="S633" s="33"/>
      <c r="T633" s="33"/>
      <c r="U633" s="33"/>
      <c r="V633" s="33"/>
      <c r="W633" s="33"/>
      <c r="X633" s="33"/>
      <c r="Y633" s="33"/>
      <c r="Z633" s="33"/>
      <c r="AA633" s="33"/>
      <c r="AB633" s="33"/>
      <c r="AC633" s="33"/>
      <c r="AD633" s="593"/>
    </row>
    <row r="634" spans="18:30" x14ac:dyDescent="0.25">
      <c r="R634" s="33"/>
      <c r="S634" s="33"/>
      <c r="T634" s="33"/>
      <c r="U634" s="33"/>
      <c r="V634" s="33"/>
      <c r="W634" s="33"/>
      <c r="X634" s="33"/>
      <c r="Y634" s="33"/>
      <c r="Z634" s="33"/>
      <c r="AA634" s="33"/>
      <c r="AB634" s="33"/>
      <c r="AC634" s="33"/>
      <c r="AD634" s="593"/>
    </row>
    <row r="635" spans="18:30" x14ac:dyDescent="0.25">
      <c r="R635" s="33"/>
      <c r="S635" s="33"/>
      <c r="T635" s="33"/>
      <c r="U635" s="33"/>
      <c r="V635" s="33"/>
      <c r="W635" s="33"/>
      <c r="X635" s="33"/>
      <c r="Y635" s="33"/>
      <c r="Z635" s="33"/>
      <c r="AA635" s="33"/>
      <c r="AB635" s="33"/>
      <c r="AC635" s="33"/>
      <c r="AD635" s="593"/>
    </row>
    <row r="636" spans="18:30" x14ac:dyDescent="0.25">
      <c r="R636" s="33"/>
      <c r="S636" s="33"/>
      <c r="T636" s="33"/>
      <c r="U636" s="33"/>
      <c r="V636" s="33"/>
      <c r="W636" s="33"/>
      <c r="X636" s="33"/>
      <c r="Y636" s="33"/>
      <c r="Z636" s="33"/>
      <c r="AA636" s="33"/>
      <c r="AB636" s="33"/>
      <c r="AC636" s="33"/>
      <c r="AD636" s="593"/>
    </row>
    <row r="637" spans="18:30" x14ac:dyDescent="0.25">
      <c r="R637" s="33"/>
      <c r="S637" s="33"/>
      <c r="T637" s="33"/>
      <c r="U637" s="33"/>
      <c r="V637" s="33"/>
      <c r="W637" s="33"/>
      <c r="X637" s="33"/>
      <c r="Y637" s="33"/>
      <c r="Z637" s="33"/>
      <c r="AA637" s="33"/>
      <c r="AB637" s="33"/>
      <c r="AC637" s="33"/>
      <c r="AD637" s="593"/>
    </row>
    <row r="638" spans="18:30" x14ac:dyDescent="0.25">
      <c r="R638" s="33"/>
      <c r="S638" s="33"/>
      <c r="T638" s="33"/>
      <c r="U638" s="33"/>
      <c r="V638" s="33"/>
      <c r="W638" s="33"/>
      <c r="X638" s="33"/>
      <c r="Y638" s="33"/>
      <c r="Z638" s="33"/>
      <c r="AA638" s="33"/>
      <c r="AB638" s="33"/>
      <c r="AC638" s="33"/>
      <c r="AD638" s="593"/>
    </row>
    <row r="639" spans="18:30" x14ac:dyDescent="0.25">
      <c r="R639" s="33"/>
      <c r="S639" s="33"/>
      <c r="T639" s="33"/>
      <c r="U639" s="33"/>
      <c r="V639" s="33"/>
      <c r="W639" s="33"/>
      <c r="X639" s="33"/>
      <c r="Y639" s="33"/>
      <c r="Z639" s="33"/>
      <c r="AA639" s="33"/>
      <c r="AB639" s="33"/>
      <c r="AC639" s="33"/>
      <c r="AD639" s="593"/>
    </row>
    <row r="640" spans="18:30" x14ac:dyDescent="0.25">
      <c r="R640" s="33"/>
      <c r="S640" s="33"/>
      <c r="T640" s="33"/>
      <c r="U640" s="33"/>
      <c r="V640" s="33"/>
      <c r="W640" s="33"/>
      <c r="X640" s="33"/>
      <c r="Y640" s="33"/>
      <c r="Z640" s="33"/>
      <c r="AA640" s="33"/>
      <c r="AB640" s="33"/>
      <c r="AC640" s="33"/>
      <c r="AD640" s="593"/>
    </row>
    <row r="641" spans="18:30" x14ac:dyDescent="0.25">
      <c r="R641" s="33"/>
      <c r="S641" s="33"/>
      <c r="T641" s="33"/>
      <c r="U641" s="33"/>
      <c r="V641" s="33"/>
      <c r="W641" s="33"/>
      <c r="X641" s="33"/>
      <c r="Y641" s="33"/>
      <c r="Z641" s="33"/>
      <c r="AA641" s="33"/>
      <c r="AB641" s="33"/>
      <c r="AC641" s="33"/>
      <c r="AD641" s="593"/>
    </row>
    <row r="642" spans="18:30" x14ac:dyDescent="0.25">
      <c r="R642" s="33"/>
      <c r="S642" s="33"/>
      <c r="T642" s="33"/>
      <c r="U642" s="33"/>
      <c r="V642" s="33"/>
      <c r="W642" s="33"/>
      <c r="X642" s="33"/>
      <c r="Y642" s="33"/>
      <c r="Z642" s="33"/>
      <c r="AA642" s="33"/>
      <c r="AB642" s="33"/>
      <c r="AC642" s="33"/>
      <c r="AD642" s="593"/>
    </row>
    <row r="643" spans="18:30" x14ac:dyDescent="0.25">
      <c r="R643" s="33"/>
      <c r="S643" s="33"/>
      <c r="T643" s="33"/>
      <c r="U643" s="33"/>
      <c r="V643" s="33"/>
      <c r="W643" s="33"/>
      <c r="X643" s="33"/>
      <c r="Y643" s="33"/>
      <c r="Z643" s="33"/>
      <c r="AA643" s="33"/>
      <c r="AB643" s="33"/>
      <c r="AC643" s="33"/>
      <c r="AD643" s="593"/>
    </row>
    <row r="644" spans="18:30" x14ac:dyDescent="0.25">
      <c r="R644" s="33"/>
      <c r="S644" s="33"/>
      <c r="T644" s="33"/>
      <c r="U644" s="33"/>
      <c r="V644" s="33"/>
      <c r="W644" s="33"/>
      <c r="X644" s="33"/>
      <c r="Y644" s="33"/>
      <c r="Z644" s="33"/>
      <c r="AA644" s="33"/>
      <c r="AB644" s="33"/>
      <c r="AC644" s="33"/>
      <c r="AD644" s="593"/>
    </row>
    <row r="645" spans="18:30" x14ac:dyDescent="0.25">
      <c r="R645" s="33"/>
      <c r="S645" s="33"/>
      <c r="T645" s="33"/>
      <c r="U645" s="33"/>
      <c r="V645" s="33"/>
      <c r="W645" s="33"/>
      <c r="X645" s="33"/>
      <c r="Y645" s="33"/>
      <c r="Z645" s="33"/>
      <c r="AA645" s="33"/>
      <c r="AB645" s="33"/>
      <c r="AC645" s="33"/>
      <c r="AD645" s="593"/>
    </row>
    <row r="646" spans="18:30" x14ac:dyDescent="0.25">
      <c r="R646" s="33"/>
      <c r="S646" s="33"/>
      <c r="T646" s="33"/>
      <c r="U646" s="33"/>
      <c r="V646" s="33"/>
      <c r="W646" s="33"/>
      <c r="X646" s="33"/>
      <c r="Y646" s="33"/>
      <c r="Z646" s="33"/>
      <c r="AA646" s="33"/>
      <c r="AB646" s="33"/>
      <c r="AC646" s="33"/>
      <c r="AD646" s="593"/>
    </row>
    <row r="647" spans="18:30" x14ac:dyDescent="0.25">
      <c r="R647" s="33"/>
      <c r="S647" s="33"/>
      <c r="T647" s="33"/>
      <c r="U647" s="33"/>
      <c r="V647" s="33"/>
      <c r="W647" s="33"/>
      <c r="X647" s="33"/>
      <c r="Y647" s="33"/>
      <c r="Z647" s="33"/>
      <c r="AA647" s="33"/>
      <c r="AB647" s="33"/>
      <c r="AC647" s="33"/>
      <c r="AD647" s="593"/>
    </row>
    <row r="648" spans="18:30" x14ac:dyDescent="0.25">
      <c r="R648" s="33"/>
      <c r="S648" s="33"/>
      <c r="T648" s="33"/>
      <c r="U648" s="33"/>
      <c r="V648" s="33"/>
      <c r="W648" s="33"/>
      <c r="X648" s="33"/>
      <c r="Y648" s="33"/>
      <c r="Z648" s="33"/>
      <c r="AA648" s="33"/>
      <c r="AB648" s="33"/>
      <c r="AC648" s="33"/>
      <c r="AD648" s="593"/>
    </row>
    <row r="649" spans="18:30" x14ac:dyDescent="0.25">
      <c r="R649" s="33"/>
      <c r="S649" s="33"/>
      <c r="T649" s="33"/>
      <c r="U649" s="33"/>
      <c r="V649" s="33"/>
      <c r="W649" s="33"/>
      <c r="X649" s="33"/>
      <c r="Y649" s="33"/>
      <c r="Z649" s="33"/>
      <c r="AA649" s="33"/>
      <c r="AB649" s="33"/>
      <c r="AC649" s="33"/>
      <c r="AD649" s="593"/>
    </row>
    <row r="650" spans="18:30" x14ac:dyDescent="0.25">
      <c r="R650" s="33"/>
      <c r="S650" s="33"/>
      <c r="T650" s="33"/>
      <c r="U650" s="33"/>
      <c r="V650" s="33"/>
      <c r="W650" s="33"/>
      <c r="X650" s="33"/>
      <c r="Y650" s="33"/>
      <c r="Z650" s="33"/>
      <c r="AA650" s="33"/>
      <c r="AB650" s="33"/>
      <c r="AC650" s="33"/>
      <c r="AD650" s="593"/>
    </row>
    <row r="651" spans="18:30" x14ac:dyDescent="0.25">
      <c r="R651" s="33"/>
      <c r="S651" s="33"/>
      <c r="T651" s="33"/>
      <c r="U651" s="33"/>
      <c r="V651" s="33"/>
      <c r="W651" s="33"/>
      <c r="X651" s="33"/>
      <c r="Y651" s="33"/>
      <c r="Z651" s="33"/>
      <c r="AA651" s="33"/>
      <c r="AB651" s="33"/>
      <c r="AC651" s="33"/>
      <c r="AD651" s="593"/>
    </row>
    <row r="652" spans="18:30" x14ac:dyDescent="0.25">
      <c r="R652" s="33"/>
      <c r="S652" s="33"/>
      <c r="T652" s="33"/>
      <c r="U652" s="33"/>
      <c r="V652" s="33"/>
      <c r="W652" s="33"/>
      <c r="X652" s="33"/>
      <c r="Y652" s="33"/>
      <c r="Z652" s="33"/>
      <c r="AA652" s="33"/>
      <c r="AB652" s="33"/>
      <c r="AC652" s="33"/>
      <c r="AD652" s="593"/>
    </row>
    <row r="653" spans="18:30" x14ac:dyDescent="0.25">
      <c r="R653" s="33"/>
      <c r="S653" s="33"/>
      <c r="T653" s="33"/>
      <c r="U653" s="33"/>
      <c r="V653" s="33"/>
      <c r="W653" s="33"/>
      <c r="X653" s="33"/>
      <c r="Y653" s="33"/>
      <c r="Z653" s="33"/>
      <c r="AA653" s="33"/>
      <c r="AB653" s="33"/>
      <c r="AC653" s="33"/>
      <c r="AD653" s="593"/>
    </row>
    <row r="654" spans="18:30" x14ac:dyDescent="0.25">
      <c r="R654" s="33"/>
      <c r="S654" s="33"/>
      <c r="T654" s="33"/>
      <c r="U654" s="33"/>
      <c r="V654" s="33"/>
      <c r="W654" s="33"/>
      <c r="X654" s="33"/>
      <c r="Y654" s="33"/>
      <c r="Z654" s="33"/>
      <c r="AA654" s="33"/>
      <c r="AB654" s="33"/>
      <c r="AC654" s="33"/>
      <c r="AD654" s="593"/>
    </row>
    <row r="655" spans="18:30" x14ac:dyDescent="0.25">
      <c r="R655" s="33"/>
      <c r="S655" s="33"/>
      <c r="T655" s="33"/>
      <c r="U655" s="33"/>
      <c r="V655" s="33"/>
      <c r="W655" s="33"/>
      <c r="X655" s="33"/>
      <c r="Y655" s="33"/>
      <c r="Z655" s="33"/>
      <c r="AA655" s="33"/>
      <c r="AB655" s="33"/>
      <c r="AC655" s="33"/>
      <c r="AD655" s="593"/>
    </row>
    <row r="656" spans="18:30" x14ac:dyDescent="0.25">
      <c r="R656" s="33"/>
      <c r="S656" s="33"/>
      <c r="T656" s="33"/>
      <c r="U656" s="33"/>
      <c r="V656" s="33"/>
      <c r="W656" s="33"/>
      <c r="X656" s="33"/>
      <c r="Y656" s="33"/>
      <c r="Z656" s="33"/>
      <c r="AA656" s="33"/>
      <c r="AB656" s="33"/>
      <c r="AC656" s="33"/>
      <c r="AD656" s="593"/>
    </row>
    <row r="657" spans="18:30" x14ac:dyDescent="0.25">
      <c r="R657" s="33"/>
      <c r="S657" s="33"/>
      <c r="T657" s="33"/>
      <c r="U657" s="33"/>
      <c r="V657" s="33"/>
      <c r="W657" s="33"/>
      <c r="X657" s="33"/>
      <c r="Y657" s="33"/>
      <c r="Z657" s="33"/>
      <c r="AA657" s="33"/>
      <c r="AB657" s="33"/>
      <c r="AC657" s="33"/>
      <c r="AD657" s="593"/>
    </row>
    <row r="658" spans="18:30" x14ac:dyDescent="0.25">
      <c r="R658" s="33"/>
      <c r="S658" s="33"/>
      <c r="T658" s="33"/>
      <c r="U658" s="33"/>
      <c r="V658" s="33"/>
      <c r="W658" s="33"/>
      <c r="X658" s="33"/>
      <c r="Y658" s="33"/>
      <c r="Z658" s="33"/>
      <c r="AA658" s="33"/>
      <c r="AB658" s="33"/>
      <c r="AC658" s="33"/>
      <c r="AD658" s="593"/>
    </row>
    <row r="659" spans="18:30" x14ac:dyDescent="0.25">
      <c r="R659" s="33"/>
      <c r="S659" s="33"/>
      <c r="T659" s="33"/>
      <c r="U659" s="33"/>
      <c r="V659" s="33"/>
      <c r="W659" s="33"/>
      <c r="X659" s="33"/>
      <c r="Y659" s="33"/>
      <c r="Z659" s="33"/>
      <c r="AA659" s="33"/>
      <c r="AB659" s="33"/>
      <c r="AC659" s="33"/>
      <c r="AD659" s="593"/>
    </row>
    <row r="660" spans="18:30" x14ac:dyDescent="0.25">
      <c r="R660" s="33"/>
      <c r="S660" s="33"/>
      <c r="T660" s="33"/>
      <c r="U660" s="33"/>
      <c r="V660" s="33"/>
      <c r="W660" s="33"/>
      <c r="X660" s="33"/>
      <c r="Y660" s="33"/>
      <c r="Z660" s="33"/>
      <c r="AA660" s="33"/>
      <c r="AB660" s="33"/>
      <c r="AC660" s="33"/>
      <c r="AD660" s="593"/>
    </row>
    <row r="661" spans="18:30" x14ac:dyDescent="0.25">
      <c r="R661" s="33"/>
      <c r="S661" s="33"/>
      <c r="T661" s="33"/>
      <c r="U661" s="33"/>
      <c r="V661" s="33"/>
      <c r="W661" s="33"/>
      <c r="X661" s="33"/>
      <c r="Y661" s="33"/>
      <c r="Z661" s="33"/>
      <c r="AA661" s="33"/>
      <c r="AB661" s="33"/>
      <c r="AC661" s="33"/>
      <c r="AD661" s="593"/>
    </row>
    <row r="662" spans="18:30" x14ac:dyDescent="0.25">
      <c r="R662" s="33"/>
      <c r="S662" s="33"/>
      <c r="T662" s="33"/>
      <c r="U662" s="33"/>
      <c r="V662" s="33"/>
      <c r="W662" s="33"/>
      <c r="X662" s="33"/>
      <c r="Y662" s="33"/>
      <c r="Z662" s="33"/>
      <c r="AA662" s="33"/>
      <c r="AB662" s="33"/>
      <c r="AC662" s="33"/>
      <c r="AD662" s="593"/>
    </row>
    <row r="663" spans="18:30" x14ac:dyDescent="0.25">
      <c r="R663" s="33"/>
      <c r="S663" s="33"/>
      <c r="T663" s="33"/>
      <c r="U663" s="33"/>
      <c r="V663" s="33"/>
      <c r="W663" s="33"/>
      <c r="X663" s="33"/>
      <c r="Y663" s="33"/>
      <c r="Z663" s="33"/>
      <c r="AA663" s="33"/>
      <c r="AB663" s="33"/>
      <c r="AC663" s="33"/>
      <c r="AD663" s="593"/>
    </row>
    <row r="664" spans="18:30" x14ac:dyDescent="0.25">
      <c r="R664" s="33"/>
      <c r="S664" s="33"/>
      <c r="T664" s="33"/>
      <c r="U664" s="33"/>
      <c r="V664" s="33"/>
      <c r="W664" s="33"/>
      <c r="X664" s="33"/>
      <c r="Y664" s="33"/>
      <c r="Z664" s="33"/>
      <c r="AA664" s="33"/>
      <c r="AB664" s="33"/>
      <c r="AC664" s="33"/>
      <c r="AD664" s="593"/>
    </row>
    <row r="665" spans="18:30" x14ac:dyDescent="0.25">
      <c r="R665" s="33"/>
      <c r="S665" s="33"/>
      <c r="T665" s="33"/>
      <c r="U665" s="33"/>
      <c r="V665" s="33"/>
      <c r="W665" s="33"/>
      <c r="X665" s="33"/>
      <c r="Y665" s="33"/>
      <c r="Z665" s="33"/>
      <c r="AA665" s="33"/>
      <c r="AB665" s="33"/>
      <c r="AC665" s="33"/>
      <c r="AD665" s="593"/>
    </row>
    <row r="666" spans="18:30" x14ac:dyDescent="0.25">
      <c r="R666" s="33"/>
      <c r="S666" s="33"/>
      <c r="T666" s="33"/>
      <c r="U666" s="33"/>
      <c r="V666" s="33"/>
      <c r="W666" s="33"/>
      <c r="X666" s="33"/>
      <c r="Y666" s="33"/>
      <c r="Z666" s="33"/>
      <c r="AA666" s="33"/>
      <c r="AB666" s="33"/>
      <c r="AC666" s="33"/>
      <c r="AD666" s="593"/>
    </row>
    <row r="667" spans="18:30" x14ac:dyDescent="0.25">
      <c r="R667" s="33"/>
      <c r="S667" s="33"/>
      <c r="T667" s="33"/>
      <c r="U667" s="33"/>
      <c r="V667" s="33"/>
      <c r="W667" s="33"/>
      <c r="X667" s="33"/>
      <c r="Y667" s="33"/>
      <c r="Z667" s="33"/>
      <c r="AA667" s="33"/>
      <c r="AB667" s="33"/>
      <c r="AC667" s="33"/>
      <c r="AD667" s="593"/>
    </row>
    <row r="668" spans="18:30" x14ac:dyDescent="0.25">
      <c r="R668" s="33"/>
      <c r="S668" s="33"/>
      <c r="T668" s="33"/>
      <c r="U668" s="33"/>
      <c r="V668" s="33"/>
      <c r="W668" s="33"/>
      <c r="X668" s="33"/>
      <c r="Y668" s="33"/>
      <c r="Z668" s="33"/>
      <c r="AA668" s="33"/>
      <c r="AB668" s="33"/>
      <c r="AC668" s="33"/>
      <c r="AD668" s="593"/>
    </row>
    <row r="669" spans="18:30" x14ac:dyDescent="0.25">
      <c r="R669" s="33"/>
      <c r="S669" s="33"/>
      <c r="T669" s="33"/>
      <c r="U669" s="33"/>
      <c r="V669" s="33"/>
      <c r="W669" s="33"/>
      <c r="X669" s="33"/>
      <c r="Y669" s="33"/>
      <c r="Z669" s="33"/>
      <c r="AA669" s="33"/>
      <c r="AB669" s="33"/>
      <c r="AC669" s="33"/>
      <c r="AD669" s="593"/>
    </row>
    <row r="670" spans="18:30" x14ac:dyDescent="0.25">
      <c r="R670" s="33"/>
      <c r="S670" s="33"/>
      <c r="T670" s="33"/>
      <c r="U670" s="33"/>
      <c r="V670" s="33"/>
      <c r="W670" s="33"/>
      <c r="X670" s="33"/>
      <c r="Y670" s="33"/>
      <c r="Z670" s="33"/>
      <c r="AA670" s="33"/>
      <c r="AB670" s="33"/>
      <c r="AC670" s="33"/>
      <c r="AD670" s="593"/>
    </row>
    <row r="671" spans="18:30" x14ac:dyDescent="0.25">
      <c r="R671" s="33"/>
      <c r="S671" s="33"/>
      <c r="T671" s="33"/>
      <c r="U671" s="33"/>
      <c r="V671" s="33"/>
      <c r="W671" s="33"/>
      <c r="X671" s="33"/>
      <c r="Y671" s="33"/>
      <c r="Z671" s="33"/>
      <c r="AA671" s="33"/>
      <c r="AB671" s="33"/>
      <c r="AC671" s="33"/>
      <c r="AD671" s="593"/>
    </row>
    <row r="672" spans="18:30" x14ac:dyDescent="0.25">
      <c r="R672" s="33"/>
      <c r="S672" s="33"/>
      <c r="T672" s="33"/>
      <c r="U672" s="33"/>
      <c r="V672" s="33"/>
      <c r="W672" s="33"/>
      <c r="X672" s="33"/>
      <c r="Y672" s="33"/>
      <c r="Z672" s="33"/>
      <c r="AA672" s="33"/>
      <c r="AB672" s="33"/>
      <c r="AC672" s="33"/>
      <c r="AD672" s="593"/>
    </row>
    <row r="673" spans="18:30" x14ac:dyDescent="0.25">
      <c r="R673" s="33"/>
      <c r="S673" s="33"/>
      <c r="T673" s="33"/>
      <c r="U673" s="33"/>
      <c r="V673" s="33"/>
      <c r="W673" s="33"/>
      <c r="X673" s="33"/>
      <c r="Y673" s="33"/>
      <c r="Z673" s="33"/>
      <c r="AA673" s="33"/>
      <c r="AB673" s="33"/>
      <c r="AC673" s="33"/>
      <c r="AD673" s="593"/>
    </row>
    <row r="674" spans="18:30" x14ac:dyDescent="0.25">
      <c r="R674" s="33"/>
      <c r="S674" s="33"/>
      <c r="T674" s="33"/>
      <c r="U674" s="33"/>
      <c r="V674" s="33"/>
      <c r="W674" s="33"/>
      <c r="X674" s="33"/>
      <c r="Y674" s="33"/>
      <c r="Z674" s="33"/>
      <c r="AA674" s="33"/>
      <c r="AB674" s="33"/>
      <c r="AC674" s="33"/>
      <c r="AD674" s="593"/>
    </row>
    <row r="675" spans="18:30" x14ac:dyDescent="0.25">
      <c r="R675" s="33"/>
      <c r="S675" s="33"/>
      <c r="T675" s="33"/>
      <c r="U675" s="33"/>
      <c r="V675" s="33"/>
      <c r="W675" s="33"/>
      <c r="X675" s="33"/>
      <c r="Y675" s="33"/>
      <c r="Z675" s="33"/>
      <c r="AA675" s="33"/>
      <c r="AB675" s="33"/>
      <c r="AC675" s="33"/>
      <c r="AD675" s="593"/>
    </row>
    <row r="676" spans="18:30" x14ac:dyDescent="0.25">
      <c r="R676" s="33"/>
      <c r="S676" s="33"/>
      <c r="T676" s="33"/>
      <c r="U676" s="33"/>
      <c r="V676" s="33"/>
      <c r="W676" s="33"/>
      <c r="X676" s="33"/>
      <c r="Y676" s="33"/>
      <c r="Z676" s="33"/>
      <c r="AA676" s="33"/>
      <c r="AB676" s="33"/>
      <c r="AC676" s="33"/>
      <c r="AD676" s="593"/>
    </row>
    <row r="677" spans="18:30" x14ac:dyDescent="0.25">
      <c r="R677" s="33"/>
      <c r="S677" s="33"/>
      <c r="T677" s="33"/>
      <c r="U677" s="33"/>
      <c r="V677" s="33"/>
      <c r="W677" s="33"/>
      <c r="X677" s="33"/>
      <c r="Y677" s="33"/>
      <c r="Z677" s="33"/>
      <c r="AA677" s="33"/>
      <c r="AB677" s="33"/>
      <c r="AC677" s="33"/>
      <c r="AD677" s="593"/>
    </row>
    <row r="678" spans="18:30" x14ac:dyDescent="0.25">
      <c r="R678" s="33"/>
      <c r="S678" s="33"/>
      <c r="T678" s="33"/>
      <c r="U678" s="33"/>
      <c r="V678" s="33"/>
      <c r="W678" s="33"/>
      <c r="X678" s="33"/>
      <c r="Y678" s="33"/>
      <c r="Z678" s="33"/>
      <c r="AA678" s="33"/>
      <c r="AB678" s="33"/>
      <c r="AC678" s="33"/>
      <c r="AD678" s="593"/>
    </row>
    <row r="679" spans="18:30" x14ac:dyDescent="0.25">
      <c r="R679" s="33"/>
      <c r="S679" s="33"/>
      <c r="T679" s="33"/>
      <c r="U679" s="33"/>
      <c r="V679" s="33"/>
      <c r="W679" s="33"/>
      <c r="X679" s="33"/>
      <c r="Y679" s="33"/>
      <c r="Z679" s="33"/>
      <c r="AA679" s="33"/>
      <c r="AB679" s="33"/>
      <c r="AC679" s="33"/>
      <c r="AD679" s="593"/>
    </row>
    <row r="680" spans="18:30" x14ac:dyDescent="0.25">
      <c r="R680" s="33"/>
      <c r="S680" s="33"/>
      <c r="T680" s="33"/>
      <c r="U680" s="33"/>
      <c r="V680" s="33"/>
      <c r="W680" s="33"/>
      <c r="X680" s="33"/>
      <c r="Y680" s="33"/>
      <c r="Z680" s="33"/>
      <c r="AA680" s="33"/>
      <c r="AB680" s="33"/>
      <c r="AC680" s="33"/>
      <c r="AD680" s="593"/>
    </row>
    <row r="681" spans="18:30" x14ac:dyDescent="0.25">
      <c r="R681" s="33"/>
      <c r="S681" s="33"/>
      <c r="T681" s="33"/>
      <c r="U681" s="33"/>
      <c r="V681" s="33"/>
      <c r="W681" s="33"/>
      <c r="X681" s="33"/>
      <c r="Y681" s="33"/>
      <c r="Z681" s="33"/>
      <c r="AA681" s="33"/>
      <c r="AB681" s="33"/>
      <c r="AC681" s="33"/>
      <c r="AD681" s="593"/>
    </row>
    <row r="682" spans="18:30" x14ac:dyDescent="0.25">
      <c r="R682" s="33"/>
      <c r="S682" s="33"/>
      <c r="T682" s="33"/>
      <c r="U682" s="33"/>
      <c r="V682" s="33"/>
      <c r="W682" s="33"/>
      <c r="X682" s="33"/>
      <c r="Y682" s="33"/>
      <c r="Z682" s="33"/>
      <c r="AA682" s="33"/>
      <c r="AB682" s="33"/>
      <c r="AC682" s="33"/>
      <c r="AD682" s="593"/>
    </row>
    <row r="683" spans="18:30" x14ac:dyDescent="0.25">
      <c r="R683" s="33"/>
      <c r="S683" s="33"/>
      <c r="T683" s="33"/>
      <c r="U683" s="33"/>
      <c r="V683" s="33"/>
      <c r="W683" s="33"/>
      <c r="X683" s="33"/>
      <c r="Y683" s="33"/>
      <c r="Z683" s="33"/>
      <c r="AA683" s="33"/>
      <c r="AB683" s="33"/>
      <c r="AC683" s="33"/>
      <c r="AD683" s="593"/>
    </row>
    <row r="684" spans="18:30" x14ac:dyDescent="0.25">
      <c r="R684" s="33"/>
      <c r="S684" s="33"/>
      <c r="T684" s="33"/>
      <c r="U684" s="33"/>
      <c r="V684" s="33"/>
      <c r="W684" s="33"/>
      <c r="X684" s="33"/>
      <c r="Y684" s="33"/>
      <c r="Z684" s="33"/>
      <c r="AA684" s="33"/>
      <c r="AB684" s="33"/>
      <c r="AC684" s="33"/>
      <c r="AD684" s="593"/>
    </row>
    <row r="685" spans="18:30" x14ac:dyDescent="0.25">
      <c r="R685" s="33"/>
      <c r="S685" s="33"/>
      <c r="T685" s="33"/>
      <c r="U685" s="33"/>
      <c r="V685" s="33"/>
      <c r="W685" s="33"/>
      <c r="X685" s="33"/>
      <c r="Y685" s="33"/>
      <c r="Z685" s="33"/>
      <c r="AA685" s="33"/>
      <c r="AB685" s="33"/>
      <c r="AC685" s="33"/>
      <c r="AD685" s="593"/>
    </row>
    <row r="686" spans="18:30" x14ac:dyDescent="0.25">
      <c r="R686" s="33"/>
      <c r="S686" s="33"/>
      <c r="T686" s="33"/>
      <c r="U686" s="33"/>
      <c r="V686" s="33"/>
      <c r="W686" s="33"/>
      <c r="X686" s="33"/>
      <c r="Y686" s="33"/>
      <c r="Z686" s="33"/>
      <c r="AA686" s="33"/>
      <c r="AB686" s="33"/>
      <c r="AC686" s="33"/>
      <c r="AD686" s="593"/>
    </row>
    <row r="687" spans="18:30" x14ac:dyDescent="0.25">
      <c r="R687" s="33"/>
      <c r="S687" s="33"/>
      <c r="T687" s="33"/>
      <c r="U687" s="33"/>
      <c r="V687" s="33"/>
      <c r="W687" s="33"/>
      <c r="X687" s="33"/>
      <c r="Y687" s="33"/>
      <c r="Z687" s="33"/>
      <c r="AA687" s="33"/>
      <c r="AB687" s="33"/>
      <c r="AC687" s="33"/>
      <c r="AD687" s="593"/>
    </row>
    <row r="688" spans="18:30" x14ac:dyDescent="0.25">
      <c r="R688" s="33"/>
      <c r="S688" s="33"/>
      <c r="T688" s="33"/>
      <c r="U688" s="33"/>
      <c r="V688" s="33"/>
      <c r="W688" s="33"/>
      <c r="X688" s="33"/>
      <c r="Y688" s="33"/>
      <c r="Z688" s="33"/>
      <c r="AA688" s="33"/>
      <c r="AB688" s="33"/>
      <c r="AC688" s="33"/>
      <c r="AD688" s="593"/>
    </row>
    <row r="689" spans="18:30" x14ac:dyDescent="0.25">
      <c r="R689" s="33"/>
      <c r="S689" s="33"/>
      <c r="T689" s="33"/>
      <c r="U689" s="33"/>
      <c r="V689" s="33"/>
      <c r="W689" s="33"/>
      <c r="X689" s="33"/>
      <c r="Y689" s="33"/>
      <c r="Z689" s="33"/>
      <c r="AA689" s="33"/>
      <c r="AB689" s="33"/>
      <c r="AC689" s="33"/>
      <c r="AD689" s="593"/>
    </row>
    <row r="690" spans="18:30" x14ac:dyDescent="0.25">
      <c r="R690" s="33"/>
      <c r="S690" s="33"/>
      <c r="T690" s="33"/>
      <c r="U690" s="33"/>
      <c r="V690" s="33"/>
      <c r="W690" s="33"/>
      <c r="X690" s="33"/>
      <c r="Y690" s="33"/>
      <c r="Z690" s="33"/>
      <c r="AA690" s="33"/>
      <c r="AB690" s="33"/>
      <c r="AC690" s="33"/>
      <c r="AD690" s="593"/>
    </row>
    <row r="691" spans="18:30" x14ac:dyDescent="0.25">
      <c r="R691" s="33"/>
      <c r="S691" s="33"/>
      <c r="T691" s="33"/>
      <c r="U691" s="33"/>
      <c r="V691" s="33"/>
      <c r="W691" s="33"/>
      <c r="X691" s="33"/>
      <c r="Y691" s="33"/>
      <c r="Z691" s="33"/>
      <c r="AA691" s="33"/>
      <c r="AB691" s="33"/>
      <c r="AC691" s="33"/>
      <c r="AD691" s="593"/>
    </row>
    <row r="692" spans="18:30" x14ac:dyDescent="0.25">
      <c r="R692" s="33"/>
      <c r="S692" s="33"/>
      <c r="T692" s="33"/>
      <c r="U692" s="33"/>
      <c r="V692" s="33"/>
      <c r="W692" s="33"/>
      <c r="X692" s="33"/>
      <c r="Y692" s="33"/>
      <c r="Z692" s="33"/>
      <c r="AA692" s="33"/>
      <c r="AB692" s="33"/>
      <c r="AC692" s="33"/>
      <c r="AD692" s="593"/>
    </row>
    <row r="693" spans="18:30" x14ac:dyDescent="0.25">
      <c r="R693" s="33"/>
      <c r="S693" s="33"/>
      <c r="T693" s="33"/>
      <c r="U693" s="33"/>
      <c r="V693" s="33"/>
      <c r="W693" s="33"/>
      <c r="X693" s="33"/>
      <c r="Y693" s="33"/>
      <c r="Z693" s="33"/>
      <c r="AA693" s="33"/>
      <c r="AB693" s="33"/>
      <c r="AC693" s="33"/>
      <c r="AD693" s="593"/>
    </row>
    <row r="694" spans="18:30" x14ac:dyDescent="0.25">
      <c r="R694" s="33"/>
      <c r="S694" s="33"/>
      <c r="T694" s="33"/>
      <c r="U694" s="33"/>
      <c r="V694" s="33"/>
      <c r="W694" s="33"/>
      <c r="X694" s="33"/>
      <c r="Y694" s="33"/>
      <c r="Z694" s="33"/>
      <c r="AA694" s="33"/>
      <c r="AB694" s="33"/>
      <c r="AC694" s="33"/>
      <c r="AD694" s="593"/>
    </row>
    <row r="695" spans="18:30" x14ac:dyDescent="0.25">
      <c r="R695" s="33"/>
      <c r="S695" s="33"/>
      <c r="T695" s="33"/>
      <c r="U695" s="33"/>
      <c r="V695" s="33"/>
      <c r="W695" s="33"/>
      <c r="X695" s="33"/>
      <c r="Y695" s="33"/>
      <c r="Z695" s="33"/>
      <c r="AA695" s="33"/>
      <c r="AB695" s="33"/>
      <c r="AC695" s="33"/>
      <c r="AD695" s="593"/>
    </row>
    <row r="696" spans="18:30" x14ac:dyDescent="0.25">
      <c r="R696" s="33"/>
      <c r="S696" s="33"/>
      <c r="T696" s="33"/>
      <c r="U696" s="33"/>
      <c r="V696" s="33"/>
      <c r="W696" s="33"/>
      <c r="X696" s="33"/>
      <c r="Y696" s="33"/>
      <c r="Z696" s="33"/>
      <c r="AA696" s="33"/>
      <c r="AB696" s="33"/>
      <c r="AC696" s="33"/>
      <c r="AD696" s="593"/>
    </row>
    <row r="697" spans="18:30" x14ac:dyDescent="0.25">
      <c r="R697" s="33"/>
      <c r="S697" s="33"/>
      <c r="T697" s="33"/>
      <c r="U697" s="33"/>
      <c r="V697" s="33"/>
      <c r="W697" s="33"/>
      <c r="X697" s="33"/>
      <c r="Y697" s="33"/>
      <c r="Z697" s="33"/>
      <c r="AA697" s="33"/>
      <c r="AB697" s="33"/>
      <c r="AC697" s="33"/>
      <c r="AD697" s="593"/>
    </row>
    <row r="698" spans="18:30" x14ac:dyDescent="0.25">
      <c r="R698" s="33"/>
      <c r="S698" s="33"/>
      <c r="T698" s="33"/>
      <c r="U698" s="33"/>
      <c r="V698" s="33"/>
      <c r="W698" s="33"/>
      <c r="X698" s="33"/>
      <c r="Y698" s="33"/>
      <c r="Z698" s="33"/>
      <c r="AA698" s="33"/>
      <c r="AB698" s="33"/>
      <c r="AC698" s="33"/>
      <c r="AD698" s="593"/>
    </row>
    <row r="699" spans="18:30" x14ac:dyDescent="0.25">
      <c r="R699" s="33"/>
      <c r="S699" s="33"/>
      <c r="T699" s="33"/>
      <c r="U699" s="33"/>
      <c r="V699" s="33"/>
      <c r="W699" s="33"/>
      <c r="X699" s="33"/>
      <c r="Y699" s="33"/>
      <c r="Z699" s="33"/>
      <c r="AA699" s="33"/>
      <c r="AB699" s="33"/>
      <c r="AC699" s="33"/>
      <c r="AD699" s="593"/>
    </row>
    <row r="700" spans="18:30" x14ac:dyDescent="0.25">
      <c r="R700" s="33"/>
      <c r="S700" s="33"/>
      <c r="T700" s="33"/>
      <c r="U700" s="33"/>
      <c r="V700" s="33"/>
      <c r="W700" s="33"/>
      <c r="X700" s="33"/>
      <c r="Y700" s="33"/>
      <c r="Z700" s="33"/>
      <c r="AA700" s="33"/>
      <c r="AB700" s="33"/>
      <c r="AC700" s="33"/>
      <c r="AD700" s="593"/>
    </row>
    <row r="701" spans="18:30" x14ac:dyDescent="0.25">
      <c r="R701" s="33"/>
      <c r="S701" s="33"/>
      <c r="T701" s="33"/>
      <c r="U701" s="33"/>
      <c r="V701" s="33"/>
      <c r="W701" s="33"/>
      <c r="X701" s="33"/>
      <c r="Y701" s="33"/>
      <c r="Z701" s="33"/>
      <c r="AA701" s="33"/>
      <c r="AB701" s="33"/>
      <c r="AC701" s="33"/>
      <c r="AD701" s="593"/>
    </row>
    <row r="702" spans="18:30" x14ac:dyDescent="0.25">
      <c r="R702" s="33"/>
      <c r="S702" s="33"/>
      <c r="T702" s="33"/>
      <c r="U702" s="33"/>
      <c r="V702" s="33"/>
      <c r="W702" s="33"/>
      <c r="X702" s="33"/>
      <c r="Y702" s="33"/>
      <c r="Z702" s="33"/>
      <c r="AA702" s="33"/>
      <c r="AB702" s="33"/>
      <c r="AC702" s="33"/>
      <c r="AD702" s="593"/>
    </row>
    <row r="703" spans="18:30" x14ac:dyDescent="0.25">
      <c r="R703" s="33"/>
      <c r="S703" s="33"/>
      <c r="T703" s="33"/>
      <c r="U703" s="33"/>
      <c r="V703" s="33"/>
      <c r="W703" s="33"/>
      <c r="X703" s="33"/>
      <c r="Y703" s="33"/>
      <c r="Z703" s="33"/>
      <c r="AA703" s="33"/>
      <c r="AB703" s="33"/>
      <c r="AC703" s="33"/>
      <c r="AD703" s="593"/>
    </row>
    <row r="704" spans="18:30" x14ac:dyDescent="0.25">
      <c r="R704" s="33"/>
      <c r="S704" s="33"/>
      <c r="T704" s="33"/>
      <c r="U704" s="33"/>
      <c r="V704" s="33"/>
      <c r="W704" s="33"/>
      <c r="X704" s="33"/>
      <c r="Y704" s="33"/>
      <c r="Z704" s="33"/>
      <c r="AA704" s="33"/>
      <c r="AB704" s="33"/>
      <c r="AC704" s="33"/>
      <c r="AD704" s="593"/>
    </row>
    <row r="705" spans="18:30" x14ac:dyDescent="0.25">
      <c r="R705" s="33"/>
      <c r="S705" s="33"/>
      <c r="T705" s="33"/>
      <c r="U705" s="33"/>
      <c r="V705" s="33"/>
      <c r="W705" s="33"/>
      <c r="X705" s="33"/>
      <c r="Y705" s="33"/>
      <c r="Z705" s="33"/>
      <c r="AA705" s="33"/>
      <c r="AB705" s="33"/>
      <c r="AC705" s="33"/>
      <c r="AD705" s="593"/>
    </row>
    <row r="706" spans="18:30" x14ac:dyDescent="0.25">
      <c r="R706" s="33"/>
      <c r="S706" s="33"/>
      <c r="T706" s="33"/>
      <c r="U706" s="33"/>
      <c r="V706" s="33"/>
      <c r="W706" s="33"/>
      <c r="X706" s="33"/>
      <c r="Y706" s="33"/>
      <c r="Z706" s="33"/>
      <c r="AA706" s="33"/>
      <c r="AB706" s="33"/>
      <c r="AC706" s="33"/>
      <c r="AD706" s="593"/>
    </row>
    <row r="707" spans="18:30" x14ac:dyDescent="0.25">
      <c r="R707" s="33"/>
      <c r="S707" s="33"/>
      <c r="T707" s="33"/>
      <c r="U707" s="33"/>
      <c r="V707" s="33"/>
      <c r="W707" s="33"/>
      <c r="X707" s="33"/>
      <c r="Y707" s="33"/>
      <c r="Z707" s="33"/>
      <c r="AA707" s="33"/>
      <c r="AB707" s="33"/>
      <c r="AC707" s="33"/>
      <c r="AD707" s="593"/>
    </row>
    <row r="708" spans="18:30" x14ac:dyDescent="0.25">
      <c r="R708" s="33"/>
      <c r="S708" s="33"/>
      <c r="T708" s="33"/>
      <c r="U708" s="33"/>
      <c r="V708" s="33"/>
      <c r="W708" s="33"/>
      <c r="X708" s="33"/>
      <c r="Y708" s="33"/>
      <c r="Z708" s="33"/>
      <c r="AA708" s="33"/>
      <c r="AB708" s="33"/>
      <c r="AC708" s="33"/>
      <c r="AD708" s="593"/>
    </row>
    <row r="709" spans="18:30" x14ac:dyDescent="0.25">
      <c r="R709" s="33"/>
      <c r="S709" s="33"/>
      <c r="T709" s="33"/>
      <c r="U709" s="33"/>
      <c r="V709" s="33"/>
      <c r="W709" s="33"/>
      <c r="X709" s="33"/>
      <c r="Y709" s="33"/>
      <c r="Z709" s="33"/>
      <c r="AA709" s="33"/>
      <c r="AB709" s="33"/>
      <c r="AC709" s="33"/>
      <c r="AD709" s="593"/>
    </row>
    <row r="710" spans="18:30" x14ac:dyDescent="0.25">
      <c r="R710" s="33"/>
      <c r="S710" s="33"/>
      <c r="T710" s="33"/>
      <c r="U710" s="33"/>
      <c r="V710" s="33"/>
      <c r="W710" s="33"/>
      <c r="X710" s="33"/>
      <c r="Y710" s="33"/>
      <c r="Z710" s="33"/>
      <c r="AA710" s="33"/>
      <c r="AB710" s="33"/>
      <c r="AC710" s="33"/>
      <c r="AD710" s="593"/>
    </row>
    <row r="711" spans="18:30" x14ac:dyDescent="0.25">
      <c r="R711" s="33"/>
      <c r="S711" s="33"/>
      <c r="T711" s="33"/>
      <c r="U711" s="33"/>
      <c r="V711" s="33"/>
      <c r="W711" s="33"/>
      <c r="X711" s="33"/>
      <c r="Y711" s="33"/>
      <c r="Z711" s="33"/>
      <c r="AA711" s="33"/>
      <c r="AB711" s="33"/>
      <c r="AC711" s="33"/>
      <c r="AD711" s="593"/>
    </row>
    <row r="712" spans="18:30" x14ac:dyDescent="0.25">
      <c r="R712" s="33"/>
      <c r="S712" s="33"/>
      <c r="T712" s="33"/>
      <c r="U712" s="33"/>
      <c r="V712" s="33"/>
      <c r="W712" s="33"/>
      <c r="X712" s="33"/>
      <c r="Y712" s="33"/>
      <c r="Z712" s="33"/>
      <c r="AA712" s="33"/>
      <c r="AB712" s="33"/>
      <c r="AC712" s="33"/>
      <c r="AD712" s="593"/>
    </row>
    <row r="713" spans="18:30" x14ac:dyDescent="0.25">
      <c r="R713" s="33"/>
      <c r="S713" s="33"/>
      <c r="T713" s="33"/>
      <c r="U713" s="33"/>
      <c r="V713" s="33"/>
      <c r="W713" s="33"/>
      <c r="X713" s="33"/>
      <c r="Y713" s="33"/>
      <c r="Z713" s="33"/>
      <c r="AA713" s="33"/>
      <c r="AB713" s="33"/>
      <c r="AC713" s="33"/>
      <c r="AD713" s="593"/>
    </row>
    <row r="714" spans="18:30" x14ac:dyDescent="0.25">
      <c r="R714" s="33"/>
      <c r="S714" s="33"/>
      <c r="T714" s="33"/>
      <c r="U714" s="33"/>
      <c r="V714" s="33"/>
      <c r="W714" s="33"/>
      <c r="X714" s="33"/>
      <c r="Y714" s="33"/>
      <c r="Z714" s="33"/>
      <c r="AA714" s="33"/>
      <c r="AB714" s="33"/>
      <c r="AC714" s="33"/>
      <c r="AD714" s="593"/>
    </row>
    <row r="715" spans="18:30" x14ac:dyDescent="0.25">
      <c r="R715" s="33"/>
      <c r="S715" s="33"/>
      <c r="T715" s="33"/>
      <c r="U715" s="33"/>
      <c r="V715" s="33"/>
      <c r="W715" s="33"/>
      <c r="X715" s="33"/>
      <c r="Y715" s="33"/>
      <c r="Z715" s="33"/>
      <c r="AA715" s="33"/>
      <c r="AB715" s="33"/>
      <c r="AC715" s="33"/>
      <c r="AD715" s="593"/>
    </row>
    <row r="716" spans="18:30" x14ac:dyDescent="0.25">
      <c r="R716" s="33"/>
      <c r="S716" s="33"/>
      <c r="T716" s="33"/>
      <c r="U716" s="33"/>
      <c r="V716" s="33"/>
      <c r="W716" s="33"/>
      <c r="X716" s="33"/>
      <c r="Y716" s="33"/>
      <c r="Z716" s="33"/>
      <c r="AA716" s="33"/>
      <c r="AB716" s="33"/>
      <c r="AC716" s="33"/>
      <c r="AD716" s="593"/>
    </row>
    <row r="717" spans="18:30" x14ac:dyDescent="0.25">
      <c r="R717" s="33"/>
      <c r="S717" s="33"/>
      <c r="T717" s="33"/>
      <c r="U717" s="33"/>
      <c r="V717" s="33"/>
      <c r="W717" s="33"/>
      <c r="X717" s="33"/>
      <c r="Y717" s="33"/>
      <c r="Z717" s="33"/>
      <c r="AA717" s="33"/>
      <c r="AB717" s="33"/>
      <c r="AC717" s="33"/>
      <c r="AD717" s="593"/>
    </row>
    <row r="718" spans="18:30" x14ac:dyDescent="0.25">
      <c r="R718" s="33"/>
      <c r="S718" s="33"/>
      <c r="T718" s="33"/>
      <c r="U718" s="33"/>
      <c r="V718" s="33"/>
      <c r="W718" s="33"/>
      <c r="X718" s="33"/>
      <c r="Y718" s="33"/>
      <c r="Z718" s="33"/>
      <c r="AA718" s="33"/>
      <c r="AB718" s="33"/>
      <c r="AC718" s="33"/>
      <c r="AD718" s="593"/>
    </row>
    <row r="719" spans="18:30" x14ac:dyDescent="0.25">
      <c r="R719" s="33"/>
      <c r="S719" s="33"/>
      <c r="T719" s="33"/>
      <c r="U719" s="33"/>
      <c r="V719" s="33"/>
      <c r="W719" s="33"/>
      <c r="X719" s="33"/>
      <c r="Y719" s="33"/>
      <c r="Z719" s="33"/>
      <c r="AA719" s="33"/>
      <c r="AB719" s="33"/>
      <c r="AC719" s="33"/>
      <c r="AD719" s="593"/>
    </row>
    <row r="720" spans="18:30" x14ac:dyDescent="0.25">
      <c r="R720" s="33"/>
      <c r="S720" s="33"/>
      <c r="T720" s="33"/>
      <c r="U720" s="33"/>
      <c r="V720" s="33"/>
      <c r="W720" s="33"/>
      <c r="X720" s="33"/>
      <c r="Y720" s="33"/>
      <c r="Z720" s="33"/>
      <c r="AA720" s="33"/>
      <c r="AB720" s="33"/>
      <c r="AC720" s="33"/>
      <c r="AD720" s="593"/>
    </row>
    <row r="721" spans="18:30" x14ac:dyDescent="0.25">
      <c r="R721" s="33"/>
      <c r="S721" s="33"/>
      <c r="T721" s="33"/>
      <c r="U721" s="33"/>
      <c r="V721" s="33"/>
      <c r="W721" s="33"/>
      <c r="X721" s="33"/>
      <c r="Y721" s="33"/>
      <c r="Z721" s="33"/>
      <c r="AA721" s="33"/>
      <c r="AB721" s="33"/>
      <c r="AC721" s="33"/>
      <c r="AD721" s="593"/>
    </row>
    <row r="722" spans="18:30" x14ac:dyDescent="0.25">
      <c r="R722" s="33"/>
      <c r="S722" s="33"/>
      <c r="T722" s="33"/>
      <c r="U722" s="33"/>
      <c r="V722" s="33"/>
      <c r="W722" s="33"/>
      <c r="X722" s="33"/>
      <c r="Y722" s="33"/>
      <c r="Z722" s="33"/>
      <c r="AA722" s="33"/>
      <c r="AB722" s="33"/>
      <c r="AC722" s="33"/>
      <c r="AD722" s="593"/>
    </row>
    <row r="723" spans="18:30" x14ac:dyDescent="0.25">
      <c r="R723" s="33"/>
      <c r="S723" s="33"/>
      <c r="T723" s="33"/>
      <c r="U723" s="33"/>
      <c r="V723" s="33"/>
      <c r="W723" s="33"/>
      <c r="X723" s="33"/>
      <c r="Y723" s="33"/>
      <c r="Z723" s="33"/>
      <c r="AA723" s="33"/>
      <c r="AB723" s="33"/>
      <c r="AC723" s="33"/>
      <c r="AD723" s="593"/>
    </row>
    <row r="724" spans="18:30" x14ac:dyDescent="0.25">
      <c r="R724" s="33"/>
      <c r="S724" s="33"/>
      <c r="T724" s="33"/>
      <c r="U724" s="33"/>
      <c r="V724" s="33"/>
      <c r="W724" s="33"/>
      <c r="X724" s="33"/>
      <c r="Y724" s="33"/>
      <c r="Z724" s="33"/>
      <c r="AA724" s="33"/>
      <c r="AB724" s="33"/>
      <c r="AC724" s="33"/>
      <c r="AD724" s="593"/>
    </row>
    <row r="725" spans="18:30" x14ac:dyDescent="0.25">
      <c r="R725" s="33"/>
      <c r="S725" s="33"/>
      <c r="T725" s="33"/>
      <c r="U725" s="33"/>
      <c r="V725" s="33"/>
      <c r="W725" s="33"/>
      <c r="X725" s="33"/>
      <c r="Y725" s="33"/>
      <c r="Z725" s="33"/>
      <c r="AA725" s="33"/>
      <c r="AB725" s="33"/>
      <c r="AC725" s="33"/>
      <c r="AD725" s="593"/>
    </row>
    <row r="726" spans="18:30" x14ac:dyDescent="0.25">
      <c r="R726" s="33"/>
      <c r="S726" s="33"/>
      <c r="T726" s="33"/>
      <c r="U726" s="33"/>
      <c r="V726" s="33"/>
      <c r="W726" s="33"/>
      <c r="X726" s="33"/>
      <c r="Y726" s="33"/>
      <c r="Z726" s="33"/>
      <c r="AA726" s="33"/>
      <c r="AB726" s="33"/>
      <c r="AC726" s="33"/>
      <c r="AD726" s="593"/>
    </row>
    <row r="727" spans="18:30" x14ac:dyDescent="0.25">
      <c r="R727" s="33"/>
      <c r="S727" s="33"/>
      <c r="T727" s="33"/>
      <c r="U727" s="33"/>
      <c r="V727" s="33"/>
      <c r="W727" s="33"/>
      <c r="X727" s="33"/>
      <c r="Y727" s="33"/>
      <c r="Z727" s="33"/>
      <c r="AA727" s="33"/>
      <c r="AB727" s="33"/>
      <c r="AC727" s="33"/>
      <c r="AD727" s="593"/>
    </row>
    <row r="728" spans="18:30" x14ac:dyDescent="0.25">
      <c r="R728" s="33"/>
      <c r="S728" s="33"/>
      <c r="T728" s="33"/>
      <c r="U728" s="33"/>
      <c r="V728" s="33"/>
      <c r="W728" s="33"/>
      <c r="X728" s="33"/>
      <c r="Y728" s="33"/>
      <c r="Z728" s="33"/>
      <c r="AA728" s="33"/>
      <c r="AB728" s="33"/>
      <c r="AC728" s="33"/>
      <c r="AD728" s="593"/>
    </row>
    <row r="729" spans="18:30" x14ac:dyDescent="0.25">
      <c r="R729" s="33"/>
      <c r="S729" s="33"/>
      <c r="T729" s="33"/>
      <c r="U729" s="33"/>
      <c r="V729" s="33"/>
      <c r="W729" s="33"/>
      <c r="X729" s="33"/>
      <c r="Y729" s="33"/>
      <c r="Z729" s="33"/>
      <c r="AA729" s="33"/>
      <c r="AB729" s="33"/>
      <c r="AC729" s="33"/>
      <c r="AD729" s="593"/>
    </row>
    <row r="730" spans="18:30" x14ac:dyDescent="0.25">
      <c r="R730" s="33"/>
      <c r="S730" s="33"/>
      <c r="T730" s="33"/>
      <c r="U730" s="33"/>
      <c r="V730" s="33"/>
      <c r="W730" s="33"/>
      <c r="X730" s="33"/>
      <c r="Y730" s="33"/>
      <c r="Z730" s="33"/>
      <c r="AA730" s="33"/>
      <c r="AB730" s="33"/>
      <c r="AC730" s="33"/>
      <c r="AD730" s="593"/>
    </row>
    <row r="731" spans="18:30" x14ac:dyDescent="0.25">
      <c r="R731" s="33"/>
      <c r="S731" s="33"/>
      <c r="T731" s="33"/>
      <c r="U731" s="33"/>
      <c r="V731" s="33"/>
      <c r="W731" s="33"/>
      <c r="X731" s="33"/>
      <c r="Y731" s="33"/>
      <c r="Z731" s="33"/>
      <c r="AA731" s="33"/>
      <c r="AB731" s="33"/>
      <c r="AC731" s="33"/>
      <c r="AD731" s="593"/>
    </row>
    <row r="732" spans="18:30" x14ac:dyDescent="0.25">
      <c r="R732" s="33"/>
      <c r="S732" s="33"/>
      <c r="T732" s="33"/>
      <c r="U732" s="33"/>
      <c r="V732" s="33"/>
      <c r="W732" s="33"/>
      <c r="X732" s="33"/>
      <c r="Y732" s="33"/>
      <c r="Z732" s="33"/>
      <c r="AA732" s="33"/>
      <c r="AB732" s="33"/>
      <c r="AC732" s="33"/>
      <c r="AD732" s="593"/>
    </row>
    <row r="733" spans="18:30" x14ac:dyDescent="0.25">
      <c r="R733" s="33"/>
      <c r="S733" s="33"/>
      <c r="T733" s="33"/>
      <c r="U733" s="33"/>
      <c r="V733" s="33"/>
      <c r="W733" s="33"/>
      <c r="X733" s="33"/>
      <c r="Y733" s="33"/>
      <c r="Z733" s="33"/>
      <c r="AA733" s="33"/>
      <c r="AB733" s="33"/>
      <c r="AC733" s="33"/>
      <c r="AD733" s="593"/>
    </row>
    <row r="734" spans="18:30" x14ac:dyDescent="0.25">
      <c r="R734" s="33"/>
      <c r="S734" s="33"/>
      <c r="T734" s="33"/>
      <c r="U734" s="33"/>
      <c r="V734" s="33"/>
      <c r="W734" s="33"/>
      <c r="X734" s="33"/>
      <c r="Y734" s="33"/>
      <c r="Z734" s="33"/>
      <c r="AA734" s="33"/>
      <c r="AB734" s="33"/>
      <c r="AC734" s="33"/>
      <c r="AD734" s="593"/>
    </row>
    <row r="735" spans="18:30" x14ac:dyDescent="0.25">
      <c r="R735" s="33"/>
      <c r="S735" s="33"/>
      <c r="T735" s="33"/>
      <c r="U735" s="33"/>
      <c r="V735" s="33"/>
      <c r="W735" s="33"/>
      <c r="X735" s="33"/>
      <c r="Y735" s="33"/>
      <c r="Z735" s="33"/>
      <c r="AA735" s="33"/>
      <c r="AB735" s="33"/>
      <c r="AC735" s="33"/>
      <c r="AD735" s="593"/>
    </row>
    <row r="736" spans="18:30" x14ac:dyDescent="0.25">
      <c r="R736" s="33"/>
      <c r="S736" s="33"/>
      <c r="T736" s="33"/>
      <c r="U736" s="33"/>
      <c r="V736" s="33"/>
      <c r="W736" s="33"/>
      <c r="X736" s="33"/>
      <c r="Y736" s="33"/>
      <c r="Z736" s="33"/>
      <c r="AA736" s="33"/>
      <c r="AB736" s="33"/>
      <c r="AC736" s="33"/>
      <c r="AD736" s="593"/>
    </row>
    <row r="737" spans="18:30" x14ac:dyDescent="0.25">
      <c r="R737" s="33"/>
      <c r="S737" s="33"/>
      <c r="T737" s="33"/>
      <c r="U737" s="33"/>
      <c r="V737" s="33"/>
      <c r="W737" s="33"/>
      <c r="X737" s="33"/>
      <c r="Y737" s="33"/>
      <c r="Z737" s="33"/>
      <c r="AA737" s="33"/>
      <c r="AB737" s="33"/>
      <c r="AC737" s="33"/>
      <c r="AD737" s="593"/>
    </row>
    <row r="738" spans="18:30" x14ac:dyDescent="0.25">
      <c r="R738" s="33"/>
      <c r="S738" s="33"/>
      <c r="T738" s="33"/>
      <c r="U738" s="33"/>
      <c r="V738" s="33"/>
      <c r="W738" s="33"/>
      <c r="X738" s="33"/>
      <c r="Y738" s="33"/>
      <c r="Z738" s="33"/>
      <c r="AA738" s="33"/>
      <c r="AB738" s="33"/>
      <c r="AC738" s="33"/>
      <c r="AD738" s="593"/>
    </row>
    <row r="739" spans="18:30" x14ac:dyDescent="0.25">
      <c r="R739" s="33"/>
      <c r="S739" s="33"/>
      <c r="T739" s="33"/>
      <c r="U739" s="33"/>
      <c r="V739" s="33"/>
      <c r="W739" s="33"/>
      <c r="X739" s="33"/>
      <c r="Y739" s="33"/>
      <c r="Z739" s="33"/>
      <c r="AA739" s="33"/>
      <c r="AB739" s="33"/>
      <c r="AC739" s="33"/>
      <c r="AD739" s="593"/>
    </row>
    <row r="740" spans="18:30" x14ac:dyDescent="0.25">
      <c r="R740" s="33"/>
      <c r="S740" s="33"/>
      <c r="T740" s="33"/>
      <c r="U740" s="33"/>
      <c r="V740" s="33"/>
      <c r="W740" s="33"/>
      <c r="X740" s="33"/>
      <c r="Y740" s="33"/>
      <c r="Z740" s="33"/>
      <c r="AA740" s="33"/>
      <c r="AB740" s="33"/>
      <c r="AC740" s="33"/>
      <c r="AD740" s="593"/>
    </row>
    <row r="741" spans="18:30" x14ac:dyDescent="0.25">
      <c r="R741" s="33"/>
      <c r="S741" s="33"/>
      <c r="T741" s="33"/>
      <c r="U741" s="33"/>
      <c r="V741" s="33"/>
      <c r="W741" s="33"/>
      <c r="X741" s="33"/>
      <c r="Y741" s="33"/>
      <c r="Z741" s="33"/>
      <c r="AA741" s="33"/>
      <c r="AB741" s="33"/>
      <c r="AC741" s="33"/>
      <c r="AD741" s="593"/>
    </row>
    <row r="742" spans="18:30" x14ac:dyDescent="0.25">
      <c r="R742" s="33"/>
      <c r="S742" s="33"/>
      <c r="T742" s="33"/>
      <c r="U742" s="33"/>
      <c r="V742" s="33"/>
      <c r="W742" s="33"/>
      <c r="X742" s="33"/>
      <c r="Y742" s="33"/>
      <c r="Z742" s="33"/>
      <c r="AA742" s="33"/>
      <c r="AB742" s="33"/>
      <c r="AC742" s="33"/>
      <c r="AD742" s="593"/>
    </row>
    <row r="743" spans="18:30" x14ac:dyDescent="0.25">
      <c r="R743" s="33"/>
      <c r="S743" s="33"/>
      <c r="T743" s="33"/>
      <c r="U743" s="33"/>
      <c r="V743" s="33"/>
      <c r="W743" s="33"/>
      <c r="X743" s="33"/>
      <c r="Y743" s="33"/>
      <c r="Z743" s="33"/>
      <c r="AA743" s="33"/>
      <c r="AB743" s="33"/>
      <c r="AC743" s="33"/>
      <c r="AD743" s="593"/>
    </row>
    <row r="744" spans="18:30" x14ac:dyDescent="0.25">
      <c r="R744" s="33"/>
      <c r="S744" s="33"/>
      <c r="T744" s="33"/>
      <c r="U744" s="33"/>
      <c r="V744" s="33"/>
      <c r="W744" s="33"/>
      <c r="X744" s="33"/>
      <c r="Y744" s="33"/>
      <c r="Z744" s="33"/>
      <c r="AA744" s="33"/>
      <c r="AB744" s="33"/>
      <c r="AC744" s="33"/>
      <c r="AD744" s="593"/>
    </row>
    <row r="745" spans="18:30" x14ac:dyDescent="0.25">
      <c r="R745" s="33"/>
      <c r="S745" s="33"/>
      <c r="T745" s="33"/>
      <c r="U745" s="33"/>
      <c r="V745" s="33"/>
      <c r="W745" s="33"/>
      <c r="X745" s="33"/>
      <c r="Y745" s="33"/>
      <c r="Z745" s="33"/>
      <c r="AA745" s="33"/>
      <c r="AB745" s="33"/>
      <c r="AC745" s="33"/>
      <c r="AD745" s="593"/>
    </row>
    <row r="746" spans="18:30" x14ac:dyDescent="0.25">
      <c r="R746" s="33"/>
      <c r="S746" s="33"/>
      <c r="T746" s="33"/>
      <c r="U746" s="33"/>
      <c r="V746" s="33"/>
      <c r="W746" s="33"/>
      <c r="X746" s="33"/>
      <c r="Y746" s="33"/>
      <c r="Z746" s="33"/>
      <c r="AA746" s="33"/>
      <c r="AB746" s="33"/>
      <c r="AC746" s="33"/>
      <c r="AD746" s="593"/>
    </row>
    <row r="747" spans="18:30" x14ac:dyDescent="0.25">
      <c r="R747" s="33"/>
      <c r="S747" s="33"/>
      <c r="T747" s="33"/>
      <c r="U747" s="33"/>
      <c r="V747" s="33"/>
      <c r="W747" s="33"/>
      <c r="X747" s="33"/>
      <c r="Y747" s="33"/>
      <c r="Z747" s="33"/>
      <c r="AA747" s="33"/>
      <c r="AB747" s="33"/>
      <c r="AC747" s="33"/>
      <c r="AD747" s="593"/>
    </row>
    <row r="748" spans="18:30" x14ac:dyDescent="0.25">
      <c r="R748" s="33"/>
      <c r="S748" s="33"/>
      <c r="T748" s="33"/>
      <c r="U748" s="33"/>
      <c r="V748" s="33"/>
      <c r="W748" s="33"/>
      <c r="X748" s="33"/>
      <c r="Y748" s="33"/>
      <c r="Z748" s="33"/>
      <c r="AA748" s="33"/>
      <c r="AB748" s="33"/>
      <c r="AC748" s="33"/>
      <c r="AD748" s="593"/>
    </row>
    <row r="749" spans="18:30" x14ac:dyDescent="0.25">
      <c r="R749" s="33"/>
      <c r="S749" s="33"/>
      <c r="T749" s="33"/>
      <c r="U749" s="33"/>
      <c r="V749" s="33"/>
      <c r="W749" s="33"/>
      <c r="X749" s="33"/>
      <c r="Y749" s="33"/>
      <c r="Z749" s="33"/>
      <c r="AA749" s="33"/>
      <c r="AB749" s="33"/>
      <c r="AC749" s="33"/>
      <c r="AD749" s="593"/>
    </row>
    <row r="750" spans="18:30" x14ac:dyDescent="0.25">
      <c r="R750" s="33"/>
      <c r="S750" s="33"/>
      <c r="T750" s="33"/>
      <c r="U750" s="33"/>
      <c r="V750" s="33"/>
      <c r="W750" s="33"/>
      <c r="X750" s="33"/>
      <c r="Y750" s="33"/>
      <c r="Z750" s="33"/>
      <c r="AA750" s="33"/>
      <c r="AB750" s="33"/>
      <c r="AC750" s="33"/>
      <c r="AD750" s="593"/>
    </row>
    <row r="751" spans="18:30" x14ac:dyDescent="0.25">
      <c r="R751" s="33"/>
      <c r="S751" s="33"/>
      <c r="T751" s="33"/>
      <c r="U751" s="33"/>
      <c r="V751" s="33"/>
      <c r="W751" s="33"/>
      <c r="X751" s="33"/>
      <c r="Y751" s="33"/>
      <c r="Z751" s="33"/>
      <c r="AA751" s="33"/>
      <c r="AB751" s="33"/>
      <c r="AC751" s="33"/>
      <c r="AD751" s="593"/>
    </row>
    <row r="752" spans="18:30" x14ac:dyDescent="0.25">
      <c r="R752" s="33"/>
      <c r="S752" s="33"/>
      <c r="T752" s="33"/>
      <c r="U752" s="33"/>
      <c r="V752" s="33"/>
      <c r="W752" s="33"/>
      <c r="X752" s="33"/>
      <c r="Y752" s="33"/>
      <c r="Z752" s="33"/>
      <c r="AA752" s="33"/>
      <c r="AB752" s="33"/>
      <c r="AC752" s="33"/>
      <c r="AD752" s="593"/>
    </row>
    <row r="753" spans="18:30" x14ac:dyDescent="0.25">
      <c r="R753" s="33"/>
      <c r="S753" s="33"/>
      <c r="T753" s="33"/>
      <c r="U753" s="33"/>
      <c r="V753" s="33"/>
      <c r="W753" s="33"/>
      <c r="X753" s="33"/>
      <c r="Y753" s="33"/>
      <c r="Z753" s="33"/>
      <c r="AA753" s="33"/>
      <c r="AB753" s="33"/>
      <c r="AC753" s="33"/>
      <c r="AD753" s="593"/>
    </row>
    <row r="754" spans="18:30" x14ac:dyDescent="0.25">
      <c r="R754" s="33"/>
      <c r="S754" s="33"/>
      <c r="T754" s="33"/>
      <c r="U754" s="33"/>
      <c r="V754" s="33"/>
      <c r="W754" s="33"/>
      <c r="X754" s="33"/>
      <c r="Y754" s="33"/>
      <c r="Z754" s="33"/>
      <c r="AA754" s="33"/>
      <c r="AB754" s="33"/>
      <c r="AC754" s="33"/>
      <c r="AD754" s="593"/>
    </row>
    <row r="755" spans="18:30" x14ac:dyDescent="0.25">
      <c r="R755" s="33"/>
      <c r="S755" s="33"/>
      <c r="T755" s="33"/>
      <c r="U755" s="33"/>
      <c r="V755" s="33"/>
      <c r="W755" s="33"/>
      <c r="X755" s="33"/>
      <c r="Y755" s="33"/>
      <c r="Z755" s="33"/>
      <c r="AA755" s="33"/>
      <c r="AB755" s="33"/>
      <c r="AC755" s="33"/>
      <c r="AD755" s="593"/>
    </row>
    <row r="756" spans="18:30" x14ac:dyDescent="0.25">
      <c r="R756" s="33"/>
      <c r="S756" s="33"/>
      <c r="T756" s="33"/>
      <c r="U756" s="33"/>
      <c r="V756" s="33"/>
      <c r="W756" s="33"/>
      <c r="X756" s="33"/>
      <c r="Y756" s="33"/>
      <c r="Z756" s="33"/>
      <c r="AA756" s="33"/>
      <c r="AB756" s="33"/>
      <c r="AC756" s="33"/>
      <c r="AD756" s="593"/>
    </row>
    <row r="757" spans="18:30" x14ac:dyDescent="0.25">
      <c r="R757" s="33"/>
      <c r="S757" s="33"/>
      <c r="T757" s="33"/>
      <c r="U757" s="33"/>
      <c r="V757" s="33"/>
      <c r="W757" s="33"/>
      <c r="X757" s="33"/>
      <c r="Y757" s="33"/>
      <c r="Z757" s="33"/>
      <c r="AA757" s="33"/>
      <c r="AB757" s="33"/>
      <c r="AC757" s="33"/>
      <c r="AD757" s="593"/>
    </row>
    <row r="758" spans="18:30" x14ac:dyDescent="0.25">
      <c r="R758" s="33"/>
      <c r="S758" s="33"/>
      <c r="T758" s="33"/>
      <c r="U758" s="33"/>
      <c r="V758" s="33"/>
      <c r="W758" s="33"/>
      <c r="X758" s="33"/>
      <c r="Y758" s="33"/>
      <c r="Z758" s="33"/>
      <c r="AA758" s="33"/>
      <c r="AB758" s="33"/>
      <c r="AC758" s="33"/>
      <c r="AD758" s="593"/>
    </row>
    <row r="759" spans="18:30" x14ac:dyDescent="0.25">
      <c r="R759" s="33"/>
      <c r="S759" s="33"/>
      <c r="T759" s="33"/>
      <c r="U759" s="33"/>
      <c r="V759" s="33"/>
      <c r="W759" s="33"/>
      <c r="X759" s="33"/>
      <c r="Y759" s="33"/>
      <c r="Z759" s="33"/>
      <c r="AA759" s="33"/>
      <c r="AB759" s="33"/>
      <c r="AC759" s="33"/>
      <c r="AD759" s="593"/>
    </row>
    <row r="760" spans="18:30" x14ac:dyDescent="0.25">
      <c r="R760" s="33"/>
      <c r="S760" s="33"/>
      <c r="T760" s="33"/>
      <c r="U760" s="33"/>
      <c r="V760" s="33"/>
      <c r="W760" s="33"/>
      <c r="X760" s="33"/>
      <c r="Y760" s="33"/>
      <c r="Z760" s="33"/>
      <c r="AA760" s="33"/>
      <c r="AB760" s="33"/>
      <c r="AC760" s="33"/>
      <c r="AD760" s="593"/>
    </row>
    <row r="761" spans="18:30" x14ac:dyDescent="0.25">
      <c r="R761" s="33"/>
      <c r="S761" s="33"/>
      <c r="T761" s="33"/>
      <c r="U761" s="33"/>
      <c r="V761" s="33"/>
      <c r="W761" s="33"/>
      <c r="X761" s="33"/>
      <c r="Y761" s="33"/>
      <c r="Z761" s="33"/>
      <c r="AA761" s="33"/>
      <c r="AB761" s="33"/>
      <c r="AC761" s="33"/>
      <c r="AD761" s="593"/>
    </row>
    <row r="762" spans="18:30" x14ac:dyDescent="0.25">
      <c r="R762" s="33"/>
      <c r="S762" s="33"/>
      <c r="T762" s="33"/>
      <c r="U762" s="33"/>
      <c r="V762" s="33"/>
      <c r="W762" s="33"/>
      <c r="X762" s="33"/>
      <c r="Y762" s="33"/>
      <c r="Z762" s="33"/>
      <c r="AA762" s="33"/>
      <c r="AB762" s="33"/>
      <c r="AC762" s="33"/>
      <c r="AD762" s="593"/>
    </row>
    <row r="763" spans="18:30" x14ac:dyDescent="0.25">
      <c r="R763" s="33"/>
      <c r="S763" s="33"/>
      <c r="T763" s="33"/>
      <c r="U763" s="33"/>
      <c r="V763" s="33"/>
      <c r="W763" s="33"/>
      <c r="X763" s="33"/>
      <c r="Y763" s="33"/>
      <c r="Z763" s="33"/>
      <c r="AA763" s="33"/>
      <c r="AB763" s="33"/>
      <c r="AC763" s="33"/>
      <c r="AD763" s="593"/>
    </row>
    <row r="764" spans="18:30" x14ac:dyDescent="0.25">
      <c r="R764" s="33"/>
      <c r="S764" s="33"/>
      <c r="T764" s="33"/>
      <c r="U764" s="33"/>
      <c r="V764" s="33"/>
      <c r="W764" s="33"/>
      <c r="X764" s="33"/>
      <c r="Y764" s="33"/>
      <c r="Z764" s="33"/>
      <c r="AA764" s="33"/>
      <c r="AB764" s="33"/>
      <c r="AC764" s="33"/>
      <c r="AD764" s="593"/>
    </row>
    <row r="765" spans="18:30" x14ac:dyDescent="0.25">
      <c r="R765" s="33"/>
      <c r="S765" s="33"/>
      <c r="T765" s="33"/>
      <c r="U765" s="33"/>
      <c r="V765" s="33"/>
      <c r="W765" s="33"/>
      <c r="X765" s="33"/>
      <c r="Y765" s="33"/>
      <c r="Z765" s="33"/>
      <c r="AA765" s="33"/>
      <c r="AB765" s="33"/>
      <c r="AC765" s="33"/>
      <c r="AD765" s="593"/>
    </row>
    <row r="766" spans="18:30" x14ac:dyDescent="0.25">
      <c r="R766" s="33"/>
      <c r="S766" s="33"/>
      <c r="T766" s="33"/>
      <c r="U766" s="33"/>
      <c r="V766" s="33"/>
      <c r="W766" s="33"/>
      <c r="X766" s="33"/>
      <c r="Y766" s="33"/>
      <c r="Z766" s="33"/>
      <c r="AA766" s="33"/>
      <c r="AB766" s="33"/>
      <c r="AC766" s="33"/>
      <c r="AD766" s="593"/>
    </row>
    <row r="767" spans="18:30" x14ac:dyDescent="0.25">
      <c r="R767" s="33"/>
      <c r="S767" s="33"/>
      <c r="T767" s="33"/>
      <c r="U767" s="33"/>
      <c r="V767" s="33"/>
      <c r="W767" s="33"/>
      <c r="X767" s="33"/>
      <c r="Y767" s="33"/>
      <c r="Z767" s="33"/>
      <c r="AA767" s="33"/>
      <c r="AB767" s="33"/>
      <c r="AC767" s="33"/>
      <c r="AD767" s="593"/>
    </row>
    <row r="768" spans="18:30" x14ac:dyDescent="0.25">
      <c r="R768" s="33"/>
      <c r="S768" s="33"/>
      <c r="T768" s="33"/>
      <c r="U768" s="33"/>
      <c r="V768" s="33"/>
      <c r="W768" s="33"/>
      <c r="X768" s="33"/>
      <c r="Y768" s="33"/>
      <c r="Z768" s="33"/>
      <c r="AA768" s="33"/>
      <c r="AB768" s="33"/>
      <c r="AC768" s="33"/>
      <c r="AD768" s="593"/>
    </row>
    <row r="769" spans="18:30" x14ac:dyDescent="0.25">
      <c r="R769" s="33"/>
      <c r="S769" s="33"/>
      <c r="T769" s="33"/>
      <c r="U769" s="33"/>
      <c r="V769" s="33"/>
      <c r="W769" s="33"/>
      <c r="X769" s="33"/>
      <c r="Y769" s="33"/>
      <c r="Z769" s="33"/>
      <c r="AA769" s="33"/>
      <c r="AB769" s="33"/>
      <c r="AC769" s="33"/>
      <c r="AD769" s="593"/>
    </row>
    <row r="770" spans="18:30" x14ac:dyDescent="0.25">
      <c r="R770" s="33"/>
      <c r="S770" s="33"/>
      <c r="T770" s="33"/>
      <c r="U770" s="33"/>
      <c r="V770" s="33"/>
      <c r="W770" s="33"/>
      <c r="X770" s="33"/>
      <c r="Y770" s="33"/>
      <c r="Z770" s="33"/>
      <c r="AA770" s="33"/>
      <c r="AB770" s="33"/>
      <c r="AC770" s="33"/>
      <c r="AD770" s="593"/>
    </row>
    <row r="771" spans="18:30" x14ac:dyDescent="0.25">
      <c r="R771" s="33"/>
      <c r="S771" s="33"/>
      <c r="T771" s="33"/>
      <c r="U771" s="33"/>
      <c r="V771" s="33"/>
      <c r="W771" s="33"/>
      <c r="X771" s="33"/>
      <c r="Y771" s="33"/>
      <c r="Z771" s="33"/>
      <c r="AA771" s="33"/>
      <c r="AB771" s="33"/>
      <c r="AC771" s="33"/>
      <c r="AD771" s="593"/>
    </row>
    <row r="772" spans="18:30" x14ac:dyDescent="0.25">
      <c r="R772" s="33"/>
      <c r="S772" s="33"/>
      <c r="T772" s="33"/>
      <c r="U772" s="33"/>
      <c r="V772" s="33"/>
      <c r="W772" s="33"/>
      <c r="X772" s="33"/>
      <c r="Y772" s="33"/>
      <c r="Z772" s="33"/>
      <c r="AA772" s="33"/>
      <c r="AB772" s="33"/>
      <c r="AC772" s="33"/>
      <c r="AD772" s="593"/>
    </row>
    <row r="773" spans="18:30" x14ac:dyDescent="0.25">
      <c r="R773" s="33"/>
      <c r="S773" s="33"/>
      <c r="T773" s="33"/>
      <c r="U773" s="33"/>
      <c r="V773" s="33"/>
      <c r="W773" s="33"/>
      <c r="X773" s="33"/>
      <c r="Y773" s="33"/>
      <c r="Z773" s="33"/>
      <c r="AA773" s="33"/>
      <c r="AB773" s="33"/>
      <c r="AC773" s="33"/>
      <c r="AD773" s="593"/>
    </row>
    <row r="774" spans="18:30" x14ac:dyDescent="0.25">
      <c r="R774" s="33"/>
      <c r="S774" s="33"/>
      <c r="T774" s="33"/>
      <c r="U774" s="33"/>
      <c r="V774" s="33"/>
      <c r="W774" s="33"/>
      <c r="X774" s="33"/>
      <c r="Y774" s="33"/>
      <c r="Z774" s="33"/>
      <c r="AA774" s="33"/>
      <c r="AB774" s="33"/>
      <c r="AC774" s="33"/>
      <c r="AD774" s="593"/>
    </row>
    <row r="775" spans="18:30" x14ac:dyDescent="0.25">
      <c r="R775" s="33"/>
      <c r="S775" s="33"/>
      <c r="T775" s="33"/>
      <c r="U775" s="33"/>
      <c r="V775" s="33"/>
      <c r="W775" s="33"/>
      <c r="X775" s="33"/>
      <c r="Y775" s="33"/>
      <c r="Z775" s="33"/>
      <c r="AA775" s="33"/>
      <c r="AB775" s="33"/>
      <c r="AC775" s="33"/>
      <c r="AD775" s="593"/>
    </row>
    <row r="776" spans="18:30" x14ac:dyDescent="0.25">
      <c r="R776" s="33"/>
      <c r="S776" s="33"/>
      <c r="T776" s="33"/>
      <c r="U776" s="33"/>
      <c r="V776" s="33"/>
      <c r="W776" s="33"/>
      <c r="X776" s="33"/>
      <c r="Y776" s="33"/>
      <c r="Z776" s="33"/>
      <c r="AA776" s="33"/>
      <c r="AB776" s="33"/>
      <c r="AC776" s="33"/>
      <c r="AD776" s="593"/>
    </row>
    <row r="777" spans="18:30" x14ac:dyDescent="0.25">
      <c r="R777" s="33"/>
      <c r="S777" s="33"/>
      <c r="T777" s="33"/>
      <c r="U777" s="33"/>
      <c r="V777" s="33"/>
      <c r="W777" s="33"/>
      <c r="X777" s="33"/>
      <c r="Y777" s="33"/>
      <c r="Z777" s="33"/>
      <c r="AA777" s="33"/>
      <c r="AB777" s="33"/>
      <c r="AC777" s="33"/>
      <c r="AD777" s="593"/>
    </row>
    <row r="778" spans="18:30" x14ac:dyDescent="0.25">
      <c r="R778" s="33"/>
      <c r="S778" s="33"/>
      <c r="T778" s="33"/>
      <c r="U778" s="33"/>
      <c r="V778" s="33"/>
      <c r="W778" s="33"/>
      <c r="X778" s="33"/>
      <c r="Y778" s="33"/>
      <c r="Z778" s="33"/>
      <c r="AA778" s="33"/>
      <c r="AB778" s="33"/>
      <c r="AC778" s="33"/>
      <c r="AD778" s="593"/>
    </row>
    <row r="779" spans="18:30" x14ac:dyDescent="0.25">
      <c r="R779" s="33"/>
      <c r="S779" s="33"/>
      <c r="T779" s="33"/>
      <c r="U779" s="33"/>
      <c r="V779" s="33"/>
      <c r="W779" s="33"/>
      <c r="X779" s="33"/>
      <c r="Y779" s="33"/>
      <c r="Z779" s="33"/>
      <c r="AA779" s="33"/>
      <c r="AB779" s="33"/>
      <c r="AC779" s="33"/>
      <c r="AD779" s="593"/>
    </row>
    <row r="780" spans="18:30" x14ac:dyDescent="0.25">
      <c r="R780" s="33"/>
      <c r="S780" s="33"/>
      <c r="T780" s="33"/>
      <c r="U780" s="33"/>
      <c r="V780" s="33"/>
      <c r="W780" s="33"/>
      <c r="X780" s="33"/>
      <c r="Y780" s="33"/>
      <c r="Z780" s="33"/>
      <c r="AA780" s="33"/>
      <c r="AB780" s="33"/>
      <c r="AC780" s="33"/>
      <c r="AD780" s="593"/>
    </row>
    <row r="781" spans="18:30" x14ac:dyDescent="0.25">
      <c r="R781" s="33"/>
      <c r="S781" s="33"/>
      <c r="T781" s="33"/>
      <c r="U781" s="33"/>
      <c r="V781" s="33"/>
      <c r="W781" s="33"/>
      <c r="X781" s="33"/>
      <c r="Y781" s="33"/>
      <c r="Z781" s="33"/>
      <c r="AA781" s="33"/>
      <c r="AB781" s="33"/>
      <c r="AC781" s="33"/>
      <c r="AD781" s="593"/>
    </row>
    <row r="782" spans="18:30" x14ac:dyDescent="0.25">
      <c r="R782" s="33"/>
      <c r="S782" s="33"/>
      <c r="T782" s="33"/>
      <c r="U782" s="33"/>
      <c r="V782" s="33"/>
      <c r="W782" s="33"/>
      <c r="X782" s="33"/>
      <c r="Y782" s="33"/>
      <c r="Z782" s="33"/>
      <c r="AA782" s="33"/>
      <c r="AB782" s="33"/>
      <c r="AC782" s="33"/>
      <c r="AD782" s="593"/>
    </row>
    <row r="783" spans="18:30" x14ac:dyDescent="0.25">
      <c r="R783" s="33"/>
      <c r="S783" s="33"/>
      <c r="T783" s="33"/>
      <c r="U783" s="33"/>
      <c r="V783" s="33"/>
      <c r="W783" s="33"/>
      <c r="X783" s="33"/>
      <c r="Y783" s="33"/>
      <c r="Z783" s="33"/>
      <c r="AA783" s="33"/>
      <c r="AB783" s="33"/>
      <c r="AC783" s="33"/>
      <c r="AD783" s="593"/>
    </row>
    <row r="784" spans="18:30" x14ac:dyDescent="0.25">
      <c r="R784" s="33"/>
      <c r="S784" s="33"/>
      <c r="T784" s="33"/>
      <c r="U784" s="33"/>
      <c r="V784" s="33"/>
      <c r="W784" s="33"/>
      <c r="X784" s="33"/>
      <c r="Y784" s="33"/>
      <c r="Z784" s="33"/>
      <c r="AA784" s="33"/>
      <c r="AB784" s="33"/>
      <c r="AC784" s="33"/>
      <c r="AD784" s="593"/>
    </row>
    <row r="785" spans="18:30" x14ac:dyDescent="0.25">
      <c r="R785" s="33"/>
      <c r="S785" s="33"/>
      <c r="T785" s="33"/>
      <c r="U785" s="33"/>
      <c r="V785" s="33"/>
      <c r="W785" s="33"/>
      <c r="X785" s="33"/>
      <c r="Y785" s="33"/>
      <c r="Z785" s="33"/>
      <c r="AA785" s="33"/>
      <c r="AB785" s="33"/>
      <c r="AC785" s="33"/>
      <c r="AD785" s="593"/>
    </row>
    <row r="786" spans="18:30" x14ac:dyDescent="0.25">
      <c r="R786" s="33"/>
      <c r="S786" s="33"/>
      <c r="T786" s="33"/>
      <c r="U786" s="33"/>
      <c r="V786" s="33"/>
      <c r="W786" s="33"/>
      <c r="X786" s="33"/>
      <c r="Y786" s="33"/>
      <c r="Z786" s="33"/>
      <c r="AA786" s="33"/>
      <c r="AB786" s="33"/>
      <c r="AC786" s="33"/>
      <c r="AD786" s="593"/>
    </row>
    <row r="787" spans="18:30" x14ac:dyDescent="0.25">
      <c r="R787" s="33"/>
      <c r="S787" s="33"/>
      <c r="T787" s="33"/>
      <c r="U787" s="33"/>
      <c r="V787" s="33"/>
      <c r="W787" s="33"/>
      <c r="X787" s="33"/>
      <c r="Y787" s="33"/>
      <c r="Z787" s="33"/>
      <c r="AA787" s="33"/>
      <c r="AB787" s="33"/>
      <c r="AC787" s="33"/>
      <c r="AD787" s="593"/>
    </row>
    <row r="788" spans="18:30" x14ac:dyDescent="0.25">
      <c r="R788" s="33"/>
      <c r="S788" s="33"/>
      <c r="T788" s="33"/>
      <c r="U788" s="33"/>
      <c r="V788" s="33"/>
      <c r="W788" s="33"/>
      <c r="X788" s="33"/>
      <c r="Y788" s="33"/>
      <c r="Z788" s="33"/>
      <c r="AA788" s="33"/>
      <c r="AB788" s="33"/>
      <c r="AC788" s="33"/>
      <c r="AD788" s="593"/>
    </row>
    <row r="789" spans="18:30" x14ac:dyDescent="0.25">
      <c r="R789" s="33"/>
      <c r="S789" s="33"/>
      <c r="T789" s="33"/>
      <c r="U789" s="33"/>
      <c r="V789" s="33"/>
      <c r="W789" s="33"/>
      <c r="X789" s="33"/>
      <c r="Y789" s="33"/>
      <c r="Z789" s="33"/>
      <c r="AA789" s="33"/>
      <c r="AB789" s="33"/>
      <c r="AC789" s="33"/>
      <c r="AD789" s="593"/>
    </row>
    <row r="790" spans="18:30" x14ac:dyDescent="0.25">
      <c r="R790" s="33"/>
      <c r="S790" s="33"/>
      <c r="T790" s="33"/>
      <c r="U790" s="33"/>
      <c r="V790" s="33"/>
      <c r="W790" s="33"/>
      <c r="X790" s="33"/>
      <c r="Y790" s="33"/>
      <c r="Z790" s="33"/>
      <c r="AA790" s="33"/>
      <c r="AB790" s="33"/>
      <c r="AC790" s="33"/>
      <c r="AD790" s="593"/>
    </row>
    <row r="791" spans="18:30" x14ac:dyDescent="0.25">
      <c r="R791" s="33"/>
      <c r="S791" s="33"/>
      <c r="T791" s="33"/>
      <c r="U791" s="33"/>
      <c r="V791" s="33"/>
      <c r="W791" s="33"/>
      <c r="X791" s="33"/>
      <c r="Y791" s="33"/>
      <c r="Z791" s="33"/>
      <c r="AA791" s="33"/>
      <c r="AB791" s="33"/>
      <c r="AC791" s="33"/>
      <c r="AD791" s="593"/>
    </row>
    <row r="792" spans="18:30" x14ac:dyDescent="0.25">
      <c r="R792" s="33"/>
      <c r="S792" s="33"/>
      <c r="T792" s="33"/>
      <c r="U792" s="33"/>
      <c r="V792" s="33"/>
      <c r="W792" s="33"/>
      <c r="X792" s="33"/>
      <c r="Y792" s="33"/>
      <c r="Z792" s="33"/>
      <c r="AA792" s="33"/>
      <c r="AB792" s="33"/>
      <c r="AC792" s="33"/>
      <c r="AD792" s="593"/>
    </row>
    <row r="793" spans="18:30" x14ac:dyDescent="0.25">
      <c r="R793" s="33"/>
      <c r="S793" s="33"/>
      <c r="T793" s="33"/>
      <c r="U793" s="33"/>
      <c r="V793" s="33"/>
      <c r="W793" s="33"/>
      <c r="X793" s="33"/>
      <c r="Y793" s="33"/>
      <c r="Z793" s="33"/>
      <c r="AA793" s="33"/>
      <c r="AB793" s="33"/>
      <c r="AC793" s="33"/>
      <c r="AD793" s="593"/>
    </row>
    <row r="794" spans="18:30" x14ac:dyDescent="0.25">
      <c r="R794" s="33"/>
      <c r="S794" s="33"/>
      <c r="T794" s="33"/>
      <c r="U794" s="33"/>
      <c r="V794" s="33"/>
      <c r="W794" s="33"/>
      <c r="X794" s="33"/>
      <c r="Y794" s="33"/>
      <c r="Z794" s="33"/>
      <c r="AA794" s="33"/>
      <c r="AB794" s="33"/>
      <c r="AC794" s="33"/>
      <c r="AD794" s="593"/>
    </row>
    <row r="795" spans="18:30" x14ac:dyDescent="0.25">
      <c r="R795" s="33"/>
      <c r="S795" s="33"/>
      <c r="T795" s="33"/>
      <c r="U795" s="33"/>
      <c r="V795" s="33"/>
      <c r="W795" s="33"/>
      <c r="X795" s="33"/>
      <c r="Y795" s="33"/>
      <c r="Z795" s="33"/>
      <c r="AA795" s="33"/>
      <c r="AB795" s="33"/>
      <c r="AC795" s="33"/>
      <c r="AD795" s="593"/>
    </row>
    <row r="796" spans="18:30" x14ac:dyDescent="0.25">
      <c r="R796" s="33"/>
      <c r="S796" s="33"/>
      <c r="T796" s="33"/>
      <c r="U796" s="33"/>
      <c r="V796" s="33"/>
      <c r="W796" s="33"/>
      <c r="X796" s="33"/>
      <c r="Y796" s="33"/>
      <c r="Z796" s="33"/>
      <c r="AA796" s="33"/>
      <c r="AB796" s="33"/>
      <c r="AC796" s="33"/>
      <c r="AD796" s="593"/>
    </row>
    <row r="797" spans="18:30" x14ac:dyDescent="0.25">
      <c r="R797" s="33"/>
      <c r="S797" s="33"/>
      <c r="T797" s="33"/>
      <c r="U797" s="33"/>
      <c r="V797" s="33"/>
      <c r="W797" s="33"/>
      <c r="X797" s="33"/>
      <c r="Y797" s="33"/>
      <c r="Z797" s="33"/>
      <c r="AA797" s="33"/>
      <c r="AB797" s="33"/>
      <c r="AC797" s="33"/>
      <c r="AD797" s="593"/>
    </row>
    <row r="798" spans="18:30" x14ac:dyDescent="0.25">
      <c r="R798" s="33"/>
      <c r="S798" s="33"/>
      <c r="T798" s="33"/>
      <c r="U798" s="33"/>
      <c r="V798" s="33"/>
      <c r="W798" s="33"/>
      <c r="X798" s="33"/>
      <c r="Y798" s="33"/>
      <c r="Z798" s="33"/>
      <c r="AA798" s="33"/>
      <c r="AB798" s="33"/>
      <c r="AC798" s="33"/>
      <c r="AD798" s="593"/>
    </row>
    <row r="799" spans="18:30" x14ac:dyDescent="0.25">
      <c r="R799" s="33"/>
      <c r="S799" s="33"/>
      <c r="T799" s="33"/>
      <c r="U799" s="33"/>
      <c r="V799" s="33"/>
      <c r="W799" s="33"/>
      <c r="X799" s="33"/>
      <c r="Y799" s="33"/>
      <c r="Z799" s="33"/>
      <c r="AA799" s="33"/>
      <c r="AB799" s="33"/>
      <c r="AC799" s="33"/>
      <c r="AD799" s="593"/>
    </row>
    <row r="800" spans="18:30" x14ac:dyDescent="0.25">
      <c r="R800" s="33"/>
      <c r="S800" s="33"/>
      <c r="T800" s="33"/>
      <c r="U800" s="33"/>
      <c r="V800" s="33"/>
      <c r="W800" s="33"/>
      <c r="X800" s="33"/>
      <c r="Y800" s="33"/>
      <c r="Z800" s="33"/>
      <c r="AA800" s="33"/>
      <c r="AB800" s="33"/>
      <c r="AC800" s="33"/>
      <c r="AD800" s="593"/>
    </row>
    <row r="801" spans="18:30" x14ac:dyDescent="0.25">
      <c r="R801" s="33"/>
      <c r="S801" s="33"/>
      <c r="T801" s="33"/>
      <c r="U801" s="33"/>
      <c r="V801" s="33"/>
      <c r="W801" s="33"/>
      <c r="X801" s="33"/>
      <c r="Y801" s="33"/>
      <c r="Z801" s="33"/>
      <c r="AA801" s="33"/>
      <c r="AB801" s="33"/>
      <c r="AC801" s="33"/>
      <c r="AD801" s="593"/>
    </row>
    <row r="802" spans="18:30" x14ac:dyDescent="0.25">
      <c r="R802" s="33"/>
      <c r="S802" s="33"/>
      <c r="T802" s="33"/>
      <c r="U802" s="33"/>
      <c r="V802" s="33"/>
      <c r="W802" s="33"/>
      <c r="X802" s="33"/>
      <c r="Y802" s="33"/>
      <c r="Z802" s="33"/>
      <c r="AA802" s="33"/>
      <c r="AB802" s="33"/>
      <c r="AC802" s="33"/>
      <c r="AD802" s="593"/>
    </row>
    <row r="803" spans="18:30" x14ac:dyDescent="0.25">
      <c r="R803" s="33"/>
      <c r="S803" s="33"/>
      <c r="T803" s="33"/>
      <c r="U803" s="33"/>
      <c r="V803" s="33"/>
      <c r="W803" s="33"/>
      <c r="X803" s="33"/>
      <c r="Y803" s="33"/>
      <c r="Z803" s="33"/>
      <c r="AA803" s="33"/>
      <c r="AB803" s="33"/>
      <c r="AC803" s="33"/>
      <c r="AD803" s="593"/>
    </row>
    <row r="804" spans="18:30" x14ac:dyDescent="0.25">
      <c r="R804" s="33"/>
      <c r="S804" s="33"/>
      <c r="T804" s="33"/>
      <c r="U804" s="33"/>
      <c r="V804" s="33"/>
      <c r="W804" s="33"/>
      <c r="X804" s="33"/>
      <c r="Y804" s="33"/>
      <c r="Z804" s="33"/>
      <c r="AA804" s="33"/>
      <c r="AB804" s="33"/>
      <c r="AC804" s="33"/>
      <c r="AD804" s="593"/>
    </row>
    <row r="805" spans="18:30" x14ac:dyDescent="0.25">
      <c r="R805" s="33"/>
      <c r="S805" s="33"/>
      <c r="T805" s="33"/>
      <c r="U805" s="33"/>
      <c r="V805" s="33"/>
      <c r="W805" s="33"/>
      <c r="X805" s="33"/>
      <c r="Y805" s="33"/>
      <c r="Z805" s="33"/>
      <c r="AA805" s="33"/>
      <c r="AB805" s="33"/>
      <c r="AC805" s="33"/>
      <c r="AD805" s="593"/>
    </row>
    <row r="806" spans="18:30" x14ac:dyDescent="0.25">
      <c r="R806" s="33"/>
      <c r="S806" s="33"/>
      <c r="T806" s="33"/>
      <c r="U806" s="33"/>
      <c r="V806" s="33"/>
      <c r="W806" s="33"/>
      <c r="X806" s="33"/>
      <c r="Y806" s="33"/>
      <c r="Z806" s="33"/>
      <c r="AA806" s="33"/>
      <c r="AB806" s="33"/>
      <c r="AC806" s="33"/>
      <c r="AD806" s="593"/>
    </row>
    <row r="807" spans="18:30" x14ac:dyDescent="0.25">
      <c r="R807" s="33"/>
      <c r="S807" s="33"/>
      <c r="T807" s="33"/>
      <c r="U807" s="33"/>
      <c r="V807" s="33"/>
      <c r="W807" s="33"/>
      <c r="X807" s="33"/>
      <c r="Y807" s="33"/>
      <c r="Z807" s="33"/>
      <c r="AA807" s="33"/>
      <c r="AB807" s="33"/>
      <c r="AC807" s="33"/>
      <c r="AD807" s="593"/>
    </row>
    <row r="808" spans="18:30" x14ac:dyDescent="0.25">
      <c r="R808" s="33"/>
      <c r="S808" s="33"/>
      <c r="T808" s="33"/>
      <c r="U808" s="33"/>
      <c r="V808" s="33"/>
      <c r="W808" s="33"/>
      <c r="X808" s="33"/>
      <c r="Y808" s="33"/>
      <c r="Z808" s="33"/>
      <c r="AA808" s="33"/>
      <c r="AB808" s="33"/>
      <c r="AC808" s="33"/>
      <c r="AD808" s="593"/>
    </row>
    <row r="809" spans="18:30" x14ac:dyDescent="0.25">
      <c r="R809" s="33"/>
      <c r="S809" s="33"/>
      <c r="T809" s="33"/>
      <c r="U809" s="33"/>
      <c r="V809" s="33"/>
      <c r="W809" s="33"/>
      <c r="X809" s="33"/>
      <c r="Y809" s="33"/>
      <c r="Z809" s="33"/>
      <c r="AA809" s="33"/>
      <c r="AB809" s="33"/>
      <c r="AC809" s="33"/>
      <c r="AD809" s="593"/>
    </row>
    <row r="810" spans="18:30" x14ac:dyDescent="0.25">
      <c r="R810" s="33"/>
      <c r="S810" s="33"/>
      <c r="T810" s="33"/>
      <c r="U810" s="33"/>
      <c r="V810" s="33"/>
      <c r="W810" s="33"/>
      <c r="X810" s="33"/>
      <c r="Y810" s="33"/>
      <c r="Z810" s="33"/>
      <c r="AA810" s="33"/>
      <c r="AB810" s="33"/>
      <c r="AC810" s="33"/>
      <c r="AD810" s="593"/>
    </row>
    <row r="811" spans="18:30" x14ac:dyDescent="0.25">
      <c r="R811" s="33"/>
      <c r="S811" s="33"/>
      <c r="T811" s="33"/>
      <c r="U811" s="33"/>
      <c r="V811" s="33"/>
      <c r="W811" s="33"/>
      <c r="X811" s="33"/>
      <c r="Y811" s="33"/>
      <c r="Z811" s="33"/>
      <c r="AA811" s="33"/>
      <c r="AB811" s="33"/>
      <c r="AC811" s="33"/>
      <c r="AD811" s="593"/>
    </row>
    <row r="812" spans="18:30" x14ac:dyDescent="0.25">
      <c r="R812" s="33"/>
      <c r="S812" s="33"/>
      <c r="T812" s="33"/>
      <c r="U812" s="33"/>
      <c r="V812" s="33"/>
      <c r="W812" s="33"/>
      <c r="X812" s="33"/>
      <c r="Y812" s="33"/>
      <c r="Z812" s="33"/>
      <c r="AA812" s="33"/>
      <c r="AB812" s="33"/>
      <c r="AC812" s="33"/>
      <c r="AD812" s="593"/>
    </row>
    <row r="813" spans="18:30" x14ac:dyDescent="0.25">
      <c r="R813" s="33"/>
      <c r="S813" s="33"/>
      <c r="T813" s="33"/>
      <c r="U813" s="33"/>
      <c r="V813" s="33"/>
      <c r="W813" s="33"/>
      <c r="X813" s="33"/>
      <c r="Y813" s="33"/>
      <c r="Z813" s="33"/>
      <c r="AA813" s="33"/>
      <c r="AB813" s="33"/>
      <c r="AC813" s="33"/>
      <c r="AD813" s="593"/>
    </row>
    <row r="814" spans="18:30" x14ac:dyDescent="0.25">
      <c r="R814" s="33"/>
      <c r="S814" s="33"/>
      <c r="T814" s="33"/>
      <c r="U814" s="33"/>
      <c r="V814" s="33"/>
      <c r="W814" s="33"/>
      <c r="X814" s="33"/>
      <c r="Y814" s="33"/>
      <c r="Z814" s="33"/>
      <c r="AA814" s="33"/>
      <c r="AB814" s="33"/>
      <c r="AC814" s="33"/>
      <c r="AD814" s="593"/>
    </row>
    <row r="815" spans="18:30" x14ac:dyDescent="0.25">
      <c r="R815" s="33"/>
      <c r="S815" s="33"/>
      <c r="T815" s="33"/>
      <c r="U815" s="33"/>
      <c r="V815" s="33"/>
      <c r="W815" s="33"/>
      <c r="X815" s="33"/>
      <c r="Y815" s="33"/>
      <c r="Z815" s="33"/>
      <c r="AA815" s="33"/>
      <c r="AB815" s="33"/>
      <c r="AC815" s="33"/>
      <c r="AD815" s="593"/>
    </row>
    <row r="816" spans="18:30" x14ac:dyDescent="0.25">
      <c r="R816" s="33"/>
      <c r="S816" s="33"/>
      <c r="T816" s="33"/>
      <c r="U816" s="33"/>
      <c r="V816" s="33"/>
      <c r="W816" s="33"/>
      <c r="X816" s="33"/>
      <c r="Y816" s="33"/>
      <c r="Z816" s="33"/>
      <c r="AA816" s="33"/>
      <c r="AB816" s="33"/>
      <c r="AC816" s="33"/>
      <c r="AD816" s="593"/>
    </row>
    <row r="817" spans="18:30" x14ac:dyDescent="0.25">
      <c r="R817" s="33"/>
      <c r="S817" s="33"/>
      <c r="T817" s="33"/>
      <c r="U817" s="33"/>
      <c r="V817" s="33"/>
      <c r="W817" s="33"/>
      <c r="X817" s="33"/>
      <c r="Y817" s="33"/>
      <c r="Z817" s="33"/>
      <c r="AA817" s="33"/>
      <c r="AB817" s="33"/>
      <c r="AC817" s="33"/>
      <c r="AD817" s="593"/>
    </row>
    <row r="818" spans="18:30" x14ac:dyDescent="0.25">
      <c r="R818" s="33"/>
      <c r="S818" s="33"/>
      <c r="T818" s="33"/>
      <c r="U818" s="33"/>
      <c r="V818" s="33"/>
      <c r="W818" s="33"/>
      <c r="X818" s="33"/>
      <c r="Y818" s="33"/>
      <c r="Z818" s="33"/>
      <c r="AA818" s="33"/>
      <c r="AB818" s="33"/>
      <c r="AC818" s="33"/>
      <c r="AD818" s="593"/>
    </row>
    <row r="819" spans="18:30" x14ac:dyDescent="0.25">
      <c r="R819" s="33"/>
      <c r="S819" s="33"/>
      <c r="T819" s="33"/>
      <c r="U819" s="33"/>
      <c r="V819" s="33"/>
      <c r="W819" s="33"/>
      <c r="X819" s="33"/>
      <c r="Y819" s="33"/>
      <c r="Z819" s="33"/>
      <c r="AA819" s="33"/>
      <c r="AB819" s="33"/>
      <c r="AC819" s="33"/>
      <c r="AD819" s="593"/>
    </row>
    <row r="820" spans="18:30" x14ac:dyDescent="0.25">
      <c r="R820" s="33"/>
      <c r="S820" s="33"/>
      <c r="T820" s="33"/>
      <c r="U820" s="33"/>
      <c r="V820" s="33"/>
      <c r="W820" s="33"/>
      <c r="X820" s="33"/>
      <c r="Y820" s="33"/>
      <c r="Z820" s="33"/>
      <c r="AA820" s="33"/>
      <c r="AB820" s="33"/>
      <c r="AC820" s="33"/>
      <c r="AD820" s="593"/>
    </row>
    <row r="821" spans="18:30" x14ac:dyDescent="0.25">
      <c r="R821" s="33"/>
      <c r="S821" s="33"/>
      <c r="T821" s="33"/>
      <c r="U821" s="33"/>
      <c r="V821" s="33"/>
      <c r="W821" s="33"/>
      <c r="X821" s="33"/>
      <c r="Y821" s="33"/>
      <c r="Z821" s="33"/>
      <c r="AA821" s="33"/>
      <c r="AB821" s="33"/>
      <c r="AC821" s="33"/>
      <c r="AD821" s="593"/>
    </row>
    <row r="822" spans="18:30" x14ac:dyDescent="0.25">
      <c r="R822" s="33"/>
      <c r="S822" s="33"/>
      <c r="T822" s="33"/>
      <c r="U822" s="33"/>
      <c r="V822" s="33"/>
      <c r="W822" s="33"/>
      <c r="X822" s="33"/>
      <c r="Y822" s="33"/>
      <c r="Z822" s="33"/>
      <c r="AA822" s="33"/>
      <c r="AB822" s="33"/>
      <c r="AC822" s="33"/>
      <c r="AD822" s="593"/>
    </row>
    <row r="823" spans="18:30" x14ac:dyDescent="0.25">
      <c r="R823" s="33"/>
      <c r="S823" s="33"/>
      <c r="T823" s="33"/>
      <c r="U823" s="33"/>
      <c r="V823" s="33"/>
      <c r="W823" s="33"/>
      <c r="X823" s="33"/>
      <c r="Y823" s="33"/>
      <c r="Z823" s="33"/>
      <c r="AA823" s="33"/>
      <c r="AB823" s="33"/>
      <c r="AC823" s="33"/>
      <c r="AD823" s="593"/>
    </row>
    <row r="824" spans="18:30" x14ac:dyDescent="0.25">
      <c r="R824" s="33"/>
      <c r="S824" s="33"/>
      <c r="T824" s="33"/>
      <c r="U824" s="33"/>
      <c r="V824" s="33"/>
      <c r="W824" s="33"/>
      <c r="X824" s="33"/>
      <c r="Y824" s="33"/>
      <c r="Z824" s="33"/>
      <c r="AA824" s="33"/>
      <c r="AB824" s="33"/>
      <c r="AC824" s="33"/>
      <c r="AD824" s="593"/>
    </row>
    <row r="825" spans="18:30" x14ac:dyDescent="0.25">
      <c r="R825" s="33"/>
      <c r="S825" s="33"/>
      <c r="T825" s="33"/>
      <c r="U825" s="33"/>
      <c r="V825" s="33"/>
      <c r="W825" s="33"/>
      <c r="X825" s="33"/>
      <c r="Y825" s="33"/>
      <c r="Z825" s="33"/>
      <c r="AA825" s="33"/>
      <c r="AB825" s="33"/>
      <c r="AC825" s="33"/>
      <c r="AD825" s="593"/>
    </row>
    <row r="826" spans="18:30" x14ac:dyDescent="0.25">
      <c r="R826" s="33"/>
      <c r="S826" s="33"/>
      <c r="T826" s="33"/>
      <c r="U826" s="33"/>
      <c r="V826" s="33"/>
      <c r="W826" s="33"/>
      <c r="X826" s="33"/>
      <c r="Y826" s="33"/>
      <c r="Z826" s="33"/>
      <c r="AA826" s="33"/>
      <c r="AB826" s="33"/>
      <c r="AC826" s="33"/>
      <c r="AD826" s="593"/>
    </row>
    <row r="827" spans="18:30" x14ac:dyDescent="0.25">
      <c r="R827" s="33"/>
      <c r="S827" s="33"/>
      <c r="T827" s="33"/>
      <c r="U827" s="33"/>
      <c r="V827" s="33"/>
      <c r="W827" s="33"/>
      <c r="X827" s="33"/>
      <c r="Y827" s="33"/>
      <c r="Z827" s="33"/>
      <c r="AA827" s="33"/>
      <c r="AB827" s="33"/>
      <c r="AC827" s="33"/>
      <c r="AD827" s="593"/>
    </row>
    <row r="828" spans="18:30" x14ac:dyDescent="0.25">
      <c r="R828" s="33"/>
      <c r="S828" s="33"/>
      <c r="T828" s="33"/>
      <c r="U828" s="33"/>
      <c r="V828" s="33"/>
      <c r="W828" s="33"/>
      <c r="X828" s="33"/>
      <c r="Y828" s="33"/>
      <c r="Z828" s="33"/>
      <c r="AA828" s="33"/>
      <c r="AB828" s="33"/>
      <c r="AC828" s="33"/>
      <c r="AD828" s="593"/>
    </row>
    <row r="829" spans="18:30" x14ac:dyDescent="0.25">
      <c r="R829" s="33"/>
      <c r="S829" s="33"/>
      <c r="T829" s="33"/>
      <c r="U829" s="33"/>
      <c r="V829" s="33"/>
      <c r="W829" s="33"/>
      <c r="X829" s="33"/>
      <c r="Y829" s="33"/>
      <c r="Z829" s="33"/>
      <c r="AA829" s="33"/>
      <c r="AB829" s="33"/>
      <c r="AC829" s="33"/>
      <c r="AD829" s="593"/>
    </row>
    <row r="830" spans="18:30" x14ac:dyDescent="0.25">
      <c r="R830" s="33"/>
      <c r="S830" s="33"/>
      <c r="T830" s="33"/>
      <c r="U830" s="33"/>
      <c r="V830" s="33"/>
      <c r="W830" s="33"/>
      <c r="X830" s="33"/>
      <c r="Y830" s="33"/>
      <c r="Z830" s="33"/>
      <c r="AA830" s="33"/>
      <c r="AB830" s="33"/>
      <c r="AC830" s="33"/>
      <c r="AD830" s="593"/>
    </row>
    <row r="831" spans="18:30" x14ac:dyDescent="0.25">
      <c r="R831" s="33"/>
      <c r="S831" s="33"/>
      <c r="T831" s="33"/>
      <c r="U831" s="33"/>
      <c r="V831" s="33"/>
      <c r="W831" s="33"/>
      <c r="X831" s="33"/>
      <c r="Y831" s="33"/>
      <c r="Z831" s="33"/>
      <c r="AA831" s="33"/>
      <c r="AB831" s="33"/>
      <c r="AC831" s="33"/>
      <c r="AD831" s="593"/>
    </row>
    <row r="832" spans="18:30" x14ac:dyDescent="0.25">
      <c r="R832" s="33"/>
      <c r="S832" s="33"/>
      <c r="T832" s="33"/>
      <c r="U832" s="33"/>
      <c r="V832" s="33"/>
      <c r="W832" s="33"/>
      <c r="X832" s="33"/>
      <c r="Y832" s="33"/>
      <c r="Z832" s="33"/>
      <c r="AA832" s="33"/>
      <c r="AB832" s="33"/>
      <c r="AC832" s="33"/>
      <c r="AD832" s="593"/>
    </row>
    <row r="833" spans="18:30" x14ac:dyDescent="0.25">
      <c r="R833" s="33"/>
      <c r="S833" s="33"/>
      <c r="T833" s="33"/>
      <c r="U833" s="33"/>
      <c r="V833" s="33"/>
      <c r="W833" s="33"/>
      <c r="X833" s="33"/>
      <c r="Y833" s="33"/>
      <c r="Z833" s="33"/>
      <c r="AA833" s="33"/>
      <c r="AB833" s="33"/>
      <c r="AC833" s="33"/>
      <c r="AD833" s="593"/>
    </row>
    <row r="834" spans="18:30" x14ac:dyDescent="0.25">
      <c r="R834" s="33"/>
      <c r="S834" s="33"/>
      <c r="T834" s="33"/>
      <c r="U834" s="33"/>
      <c r="V834" s="33"/>
      <c r="W834" s="33"/>
      <c r="X834" s="33"/>
      <c r="Y834" s="33"/>
      <c r="Z834" s="33"/>
      <c r="AA834" s="33"/>
      <c r="AB834" s="33"/>
      <c r="AC834" s="33"/>
      <c r="AD834" s="593"/>
    </row>
    <row r="835" spans="18:30" x14ac:dyDescent="0.25">
      <c r="R835" s="33"/>
      <c r="S835" s="33"/>
      <c r="T835" s="33"/>
      <c r="U835" s="33"/>
      <c r="V835" s="33"/>
      <c r="W835" s="33"/>
      <c r="X835" s="33"/>
      <c r="Y835" s="33"/>
      <c r="Z835" s="33"/>
      <c r="AA835" s="33"/>
      <c r="AB835" s="33"/>
      <c r="AC835" s="33"/>
      <c r="AD835" s="593"/>
    </row>
    <row r="836" spans="18:30" x14ac:dyDescent="0.25">
      <c r="R836" s="33"/>
      <c r="S836" s="33"/>
      <c r="T836" s="33"/>
      <c r="U836" s="33"/>
      <c r="V836" s="33"/>
      <c r="W836" s="33"/>
      <c r="X836" s="33"/>
      <c r="Y836" s="33"/>
      <c r="Z836" s="33"/>
      <c r="AA836" s="33"/>
      <c r="AB836" s="33"/>
      <c r="AC836" s="33"/>
      <c r="AD836" s="593"/>
    </row>
    <row r="837" spans="18:30" x14ac:dyDescent="0.25">
      <c r="R837" s="33"/>
      <c r="S837" s="33"/>
      <c r="T837" s="33"/>
      <c r="U837" s="33"/>
      <c r="V837" s="33"/>
      <c r="W837" s="33"/>
      <c r="X837" s="33"/>
      <c r="Y837" s="33"/>
      <c r="Z837" s="33"/>
      <c r="AA837" s="33"/>
      <c r="AB837" s="33"/>
      <c r="AC837" s="33"/>
      <c r="AD837" s="593"/>
    </row>
    <row r="838" spans="18:30" x14ac:dyDescent="0.25">
      <c r="R838" s="33"/>
      <c r="S838" s="33"/>
      <c r="T838" s="33"/>
      <c r="U838" s="33"/>
      <c r="V838" s="33"/>
      <c r="W838" s="33"/>
      <c r="X838" s="33"/>
      <c r="Y838" s="33"/>
      <c r="Z838" s="33"/>
      <c r="AA838" s="33"/>
      <c r="AB838" s="33"/>
      <c r="AC838" s="33"/>
      <c r="AD838" s="593"/>
    </row>
    <row r="839" spans="18:30" x14ac:dyDescent="0.25">
      <c r="R839" s="33"/>
      <c r="S839" s="33"/>
      <c r="T839" s="33"/>
      <c r="U839" s="33"/>
      <c r="V839" s="33"/>
      <c r="W839" s="33"/>
      <c r="X839" s="33"/>
      <c r="Y839" s="33"/>
      <c r="Z839" s="33"/>
      <c r="AA839" s="33"/>
      <c r="AB839" s="33"/>
      <c r="AC839" s="33"/>
      <c r="AD839" s="593"/>
    </row>
    <row r="840" spans="18:30" x14ac:dyDescent="0.25">
      <c r="R840" s="33"/>
      <c r="S840" s="33"/>
      <c r="T840" s="33"/>
      <c r="U840" s="33"/>
      <c r="V840" s="33"/>
      <c r="W840" s="33"/>
      <c r="X840" s="33"/>
      <c r="Y840" s="33"/>
      <c r="Z840" s="33"/>
      <c r="AA840" s="33"/>
      <c r="AB840" s="33"/>
      <c r="AC840" s="33"/>
      <c r="AD840" s="593"/>
    </row>
    <row r="841" spans="18:30" x14ac:dyDescent="0.25">
      <c r="R841" s="33"/>
      <c r="S841" s="33"/>
      <c r="T841" s="33"/>
      <c r="U841" s="33"/>
      <c r="V841" s="33"/>
      <c r="W841" s="33"/>
      <c r="X841" s="33"/>
      <c r="Y841" s="33"/>
      <c r="Z841" s="33"/>
      <c r="AA841" s="33"/>
      <c r="AB841" s="33"/>
      <c r="AC841" s="33"/>
      <c r="AD841" s="593"/>
    </row>
    <row r="842" spans="18:30" x14ac:dyDescent="0.25">
      <c r="R842" s="33"/>
      <c r="S842" s="33"/>
      <c r="T842" s="33"/>
      <c r="U842" s="33"/>
      <c r="V842" s="33"/>
      <c r="W842" s="33"/>
      <c r="X842" s="33"/>
      <c r="Y842" s="33"/>
      <c r="Z842" s="33"/>
      <c r="AA842" s="33"/>
      <c r="AB842" s="33"/>
      <c r="AC842" s="33"/>
      <c r="AD842" s="593"/>
    </row>
    <row r="843" spans="18:30" x14ac:dyDescent="0.25">
      <c r="R843" s="33"/>
      <c r="S843" s="33"/>
      <c r="T843" s="33"/>
      <c r="U843" s="33"/>
      <c r="V843" s="33"/>
      <c r="W843" s="33"/>
      <c r="X843" s="33"/>
      <c r="Y843" s="33"/>
      <c r="Z843" s="33"/>
      <c r="AA843" s="33"/>
      <c r="AB843" s="33"/>
      <c r="AC843" s="33"/>
      <c r="AD843" s="593"/>
    </row>
    <row r="844" spans="18:30" x14ac:dyDescent="0.25">
      <c r="R844" s="33"/>
      <c r="S844" s="33"/>
      <c r="T844" s="33"/>
      <c r="U844" s="33"/>
      <c r="V844" s="33"/>
      <c r="W844" s="33"/>
      <c r="X844" s="33"/>
      <c r="Y844" s="33"/>
      <c r="Z844" s="33"/>
      <c r="AA844" s="33"/>
      <c r="AB844" s="33"/>
      <c r="AC844" s="33"/>
      <c r="AD844" s="593"/>
    </row>
    <row r="845" spans="18:30" x14ac:dyDescent="0.25">
      <c r="R845" s="33"/>
      <c r="S845" s="33"/>
      <c r="T845" s="33"/>
      <c r="U845" s="33"/>
      <c r="V845" s="33"/>
      <c r="W845" s="33"/>
      <c r="X845" s="33"/>
      <c r="Y845" s="33"/>
      <c r="Z845" s="33"/>
      <c r="AA845" s="33"/>
      <c r="AB845" s="33"/>
      <c r="AC845" s="33"/>
      <c r="AD845" s="593"/>
    </row>
    <row r="846" spans="18:30" x14ac:dyDescent="0.25">
      <c r="R846" s="33"/>
      <c r="S846" s="33"/>
      <c r="T846" s="33"/>
      <c r="U846" s="33"/>
      <c r="V846" s="33"/>
      <c r="W846" s="33"/>
      <c r="X846" s="33"/>
      <c r="Y846" s="33"/>
      <c r="Z846" s="33"/>
      <c r="AA846" s="33"/>
      <c r="AB846" s="33"/>
      <c r="AC846" s="33"/>
      <c r="AD846" s="593"/>
    </row>
    <row r="847" spans="18:30" x14ac:dyDescent="0.25">
      <c r="R847" s="33"/>
      <c r="S847" s="33"/>
      <c r="T847" s="33"/>
      <c r="U847" s="33"/>
      <c r="V847" s="33"/>
      <c r="W847" s="33"/>
      <c r="X847" s="33"/>
      <c r="Y847" s="33"/>
      <c r="Z847" s="33"/>
      <c r="AA847" s="33"/>
      <c r="AB847" s="33"/>
      <c r="AC847" s="33"/>
      <c r="AD847" s="593"/>
    </row>
    <row r="848" spans="18:30" x14ac:dyDescent="0.25">
      <c r="R848" s="33"/>
      <c r="S848" s="33"/>
      <c r="T848" s="33"/>
      <c r="U848" s="33"/>
      <c r="V848" s="33"/>
      <c r="W848" s="33"/>
      <c r="X848" s="33"/>
      <c r="Y848" s="33"/>
      <c r="Z848" s="33"/>
      <c r="AA848" s="33"/>
      <c r="AB848" s="33"/>
      <c r="AC848" s="33"/>
      <c r="AD848" s="593"/>
    </row>
    <row r="849" spans="18:30" x14ac:dyDescent="0.25">
      <c r="R849" s="33"/>
      <c r="S849" s="33"/>
      <c r="T849" s="33"/>
      <c r="U849" s="33"/>
      <c r="V849" s="33"/>
      <c r="W849" s="33"/>
      <c r="X849" s="33"/>
      <c r="Y849" s="33"/>
      <c r="Z849" s="33"/>
      <c r="AA849" s="33"/>
      <c r="AB849" s="33"/>
      <c r="AC849" s="33"/>
      <c r="AD849" s="593"/>
    </row>
    <row r="850" spans="18:30" x14ac:dyDescent="0.25">
      <c r="R850" s="33"/>
      <c r="S850" s="33"/>
      <c r="T850" s="33"/>
      <c r="U850" s="33"/>
      <c r="V850" s="33"/>
      <c r="W850" s="33"/>
      <c r="X850" s="33"/>
      <c r="Y850" s="33"/>
      <c r="Z850" s="33"/>
      <c r="AA850" s="33"/>
      <c r="AB850" s="33"/>
      <c r="AC850" s="33"/>
      <c r="AD850" s="593"/>
    </row>
    <row r="851" spans="18:30" x14ac:dyDescent="0.25">
      <c r="R851" s="33"/>
      <c r="S851" s="33"/>
      <c r="T851" s="33"/>
      <c r="U851" s="33"/>
      <c r="V851" s="33"/>
      <c r="W851" s="33"/>
      <c r="X851" s="33"/>
      <c r="Y851" s="33"/>
      <c r="Z851" s="33"/>
      <c r="AA851" s="33"/>
      <c r="AB851" s="33"/>
      <c r="AC851" s="33"/>
      <c r="AD851" s="593"/>
    </row>
    <row r="852" spans="18:30" x14ac:dyDescent="0.25">
      <c r="R852" s="33"/>
      <c r="S852" s="33"/>
      <c r="T852" s="33"/>
      <c r="U852" s="33"/>
      <c r="V852" s="33"/>
      <c r="W852" s="33"/>
      <c r="X852" s="33"/>
      <c r="Y852" s="33"/>
      <c r="Z852" s="33"/>
      <c r="AA852" s="33"/>
      <c r="AB852" s="33"/>
      <c r="AC852" s="33"/>
      <c r="AD852" s="593"/>
    </row>
    <row r="853" spans="18:30" x14ac:dyDescent="0.25">
      <c r="R853" s="33"/>
      <c r="S853" s="33"/>
      <c r="T853" s="33"/>
      <c r="U853" s="33"/>
      <c r="V853" s="33"/>
      <c r="W853" s="33"/>
      <c r="X853" s="33"/>
      <c r="Y853" s="33"/>
      <c r="Z853" s="33"/>
      <c r="AA853" s="33"/>
      <c r="AB853" s="33"/>
      <c r="AC853" s="33"/>
      <c r="AD853" s="593"/>
    </row>
    <row r="854" spans="18:30" x14ac:dyDescent="0.25">
      <c r="R854" s="33"/>
      <c r="S854" s="33"/>
      <c r="T854" s="33"/>
      <c r="U854" s="33"/>
      <c r="V854" s="33"/>
      <c r="W854" s="33"/>
      <c r="X854" s="33"/>
      <c r="Y854" s="33"/>
      <c r="Z854" s="33"/>
      <c r="AA854" s="33"/>
      <c r="AB854" s="33"/>
      <c r="AC854" s="33"/>
      <c r="AD854" s="593"/>
    </row>
    <row r="855" spans="18:30" x14ac:dyDescent="0.25">
      <c r="R855" s="33"/>
      <c r="S855" s="33"/>
      <c r="T855" s="33"/>
      <c r="U855" s="33"/>
      <c r="V855" s="33"/>
      <c r="W855" s="33"/>
      <c r="X855" s="33"/>
      <c r="Y855" s="33"/>
      <c r="Z855" s="33"/>
      <c r="AA855" s="33"/>
      <c r="AB855" s="33"/>
      <c r="AC855" s="33"/>
      <c r="AD855" s="593"/>
    </row>
    <row r="856" spans="18:30" x14ac:dyDescent="0.25">
      <c r="R856" s="33"/>
      <c r="S856" s="33"/>
      <c r="T856" s="33"/>
      <c r="U856" s="33"/>
      <c r="V856" s="33"/>
      <c r="W856" s="33"/>
      <c r="X856" s="33"/>
      <c r="Y856" s="33"/>
      <c r="Z856" s="33"/>
      <c r="AA856" s="33"/>
      <c r="AB856" s="33"/>
      <c r="AC856" s="33"/>
      <c r="AD856" s="593"/>
    </row>
    <row r="857" spans="18:30" x14ac:dyDescent="0.25">
      <c r="R857" s="33"/>
      <c r="S857" s="33"/>
      <c r="T857" s="33"/>
      <c r="U857" s="33"/>
      <c r="V857" s="33"/>
      <c r="W857" s="33"/>
      <c r="X857" s="33"/>
      <c r="Y857" s="33"/>
      <c r="Z857" s="33"/>
      <c r="AA857" s="33"/>
      <c r="AB857" s="33"/>
      <c r="AC857" s="33"/>
      <c r="AD857" s="593"/>
    </row>
    <row r="858" spans="18:30" x14ac:dyDescent="0.25">
      <c r="R858" s="33"/>
      <c r="S858" s="33"/>
      <c r="T858" s="33"/>
      <c r="U858" s="33"/>
      <c r="V858" s="33"/>
      <c r="W858" s="33"/>
      <c r="X858" s="33"/>
      <c r="Y858" s="33"/>
      <c r="Z858" s="33"/>
      <c r="AA858" s="33"/>
      <c r="AB858" s="33"/>
      <c r="AC858" s="33"/>
      <c r="AD858" s="593"/>
    </row>
    <row r="859" spans="18:30" x14ac:dyDescent="0.25">
      <c r="R859" s="33"/>
      <c r="S859" s="33"/>
      <c r="T859" s="33"/>
      <c r="U859" s="33"/>
      <c r="V859" s="33"/>
      <c r="W859" s="33"/>
      <c r="X859" s="33"/>
      <c r="Y859" s="33"/>
      <c r="Z859" s="33"/>
      <c r="AA859" s="33"/>
      <c r="AB859" s="33"/>
      <c r="AC859" s="33"/>
      <c r="AD859" s="593"/>
    </row>
    <row r="860" spans="18:30" x14ac:dyDescent="0.25">
      <c r="R860" s="33"/>
      <c r="S860" s="33"/>
      <c r="T860" s="33"/>
      <c r="U860" s="33"/>
      <c r="V860" s="33"/>
      <c r="W860" s="33"/>
      <c r="X860" s="33"/>
      <c r="Y860" s="33"/>
      <c r="Z860" s="33"/>
      <c r="AA860" s="33"/>
      <c r="AB860" s="33"/>
      <c r="AC860" s="33"/>
      <c r="AD860" s="593"/>
    </row>
    <row r="861" spans="18:30" x14ac:dyDescent="0.25">
      <c r="R861" s="33"/>
      <c r="S861" s="33"/>
      <c r="T861" s="33"/>
      <c r="U861" s="33"/>
      <c r="V861" s="33"/>
      <c r="W861" s="33"/>
      <c r="X861" s="33"/>
      <c r="Y861" s="33"/>
      <c r="Z861" s="33"/>
      <c r="AA861" s="33"/>
      <c r="AB861" s="33"/>
      <c r="AC861" s="33"/>
      <c r="AD861" s="593"/>
    </row>
    <row r="862" spans="18:30" x14ac:dyDescent="0.25">
      <c r="R862" s="33"/>
      <c r="S862" s="33"/>
      <c r="T862" s="33"/>
      <c r="U862" s="33"/>
      <c r="V862" s="33"/>
      <c r="W862" s="33"/>
      <c r="X862" s="33"/>
      <c r="Y862" s="33"/>
      <c r="Z862" s="33"/>
      <c r="AA862" s="33"/>
      <c r="AB862" s="33"/>
      <c r="AC862" s="33"/>
      <c r="AD862" s="593"/>
    </row>
    <row r="863" spans="18:30" x14ac:dyDescent="0.25">
      <c r="R863" s="33"/>
      <c r="S863" s="33"/>
      <c r="T863" s="33"/>
      <c r="U863" s="33"/>
      <c r="V863" s="33"/>
      <c r="W863" s="33"/>
      <c r="X863" s="33"/>
      <c r="Y863" s="33"/>
      <c r="Z863" s="33"/>
      <c r="AA863" s="33"/>
      <c r="AB863" s="33"/>
      <c r="AC863" s="33"/>
      <c r="AD863" s="593"/>
    </row>
    <row r="864" spans="18:30" x14ac:dyDescent="0.25">
      <c r="R864" s="33"/>
      <c r="S864" s="33"/>
      <c r="T864" s="33"/>
      <c r="U864" s="33"/>
      <c r="V864" s="33"/>
      <c r="W864" s="33"/>
      <c r="X864" s="33"/>
      <c r="Y864" s="33"/>
      <c r="Z864" s="33"/>
      <c r="AA864" s="33"/>
      <c r="AB864" s="33"/>
      <c r="AC864" s="33"/>
      <c r="AD864" s="593"/>
    </row>
    <row r="865" spans="18:30" x14ac:dyDescent="0.25">
      <c r="R865" s="33"/>
      <c r="S865" s="33"/>
      <c r="T865" s="33"/>
      <c r="U865" s="33"/>
      <c r="V865" s="33"/>
      <c r="W865" s="33"/>
      <c r="X865" s="33"/>
      <c r="Y865" s="33"/>
      <c r="Z865" s="33"/>
      <c r="AA865" s="33"/>
      <c r="AB865" s="33"/>
      <c r="AC865" s="33"/>
      <c r="AD865" s="593"/>
    </row>
    <row r="866" spans="18:30" x14ac:dyDescent="0.25">
      <c r="R866" s="33"/>
      <c r="S866" s="33"/>
      <c r="T866" s="33"/>
      <c r="U866" s="33"/>
      <c r="V866" s="33"/>
      <c r="W866" s="33"/>
      <c r="X866" s="33"/>
      <c r="Y866" s="33"/>
      <c r="Z866" s="33"/>
      <c r="AA866" s="33"/>
      <c r="AB866" s="33"/>
      <c r="AC866" s="33"/>
      <c r="AD866" s="593"/>
    </row>
    <row r="867" spans="18:30" x14ac:dyDescent="0.25">
      <c r="R867" s="33"/>
      <c r="S867" s="33"/>
      <c r="T867" s="33"/>
      <c r="U867" s="33"/>
      <c r="V867" s="33"/>
      <c r="W867" s="33"/>
      <c r="X867" s="33"/>
      <c r="Y867" s="33"/>
      <c r="Z867" s="33"/>
      <c r="AA867" s="33"/>
      <c r="AB867" s="33"/>
      <c r="AC867" s="33"/>
      <c r="AD867" s="593"/>
    </row>
    <row r="868" spans="18:30" x14ac:dyDescent="0.25">
      <c r="R868" s="33"/>
      <c r="S868" s="33"/>
      <c r="T868" s="33"/>
      <c r="U868" s="33"/>
      <c r="V868" s="33"/>
      <c r="W868" s="33"/>
      <c r="X868" s="33"/>
      <c r="Y868" s="33"/>
      <c r="Z868" s="33"/>
      <c r="AA868" s="33"/>
      <c r="AB868" s="33"/>
      <c r="AC868" s="33"/>
      <c r="AD868" s="593"/>
    </row>
    <row r="869" spans="18:30" x14ac:dyDescent="0.25">
      <c r="R869" s="33"/>
      <c r="S869" s="33"/>
      <c r="T869" s="33"/>
      <c r="U869" s="33"/>
      <c r="V869" s="33"/>
      <c r="W869" s="33"/>
      <c r="X869" s="33"/>
      <c r="Y869" s="33"/>
      <c r="Z869" s="33"/>
      <c r="AA869" s="33"/>
      <c r="AB869" s="33"/>
      <c r="AC869" s="33"/>
      <c r="AD869" s="593"/>
    </row>
    <row r="870" spans="18:30" x14ac:dyDescent="0.25">
      <c r="R870" s="33"/>
      <c r="S870" s="33"/>
      <c r="T870" s="33"/>
      <c r="U870" s="33"/>
      <c r="V870" s="33"/>
      <c r="W870" s="33"/>
      <c r="X870" s="33"/>
      <c r="Y870" s="33"/>
      <c r="Z870" s="33"/>
      <c r="AA870" s="33"/>
      <c r="AB870" s="33"/>
      <c r="AC870" s="33"/>
      <c r="AD870" s="593"/>
    </row>
    <row r="871" spans="18:30" x14ac:dyDescent="0.25">
      <c r="R871" s="33"/>
      <c r="S871" s="33"/>
      <c r="T871" s="33"/>
      <c r="U871" s="33"/>
      <c r="V871" s="33"/>
      <c r="W871" s="33"/>
      <c r="X871" s="33"/>
      <c r="Y871" s="33"/>
      <c r="Z871" s="33"/>
      <c r="AA871" s="33"/>
      <c r="AB871" s="33"/>
      <c r="AC871" s="33"/>
      <c r="AD871" s="593"/>
    </row>
    <row r="872" spans="18:30" x14ac:dyDescent="0.25">
      <c r="R872" s="33"/>
      <c r="S872" s="33"/>
      <c r="T872" s="33"/>
      <c r="U872" s="33"/>
      <c r="V872" s="33"/>
      <c r="W872" s="33"/>
      <c r="X872" s="33"/>
      <c r="Y872" s="33"/>
      <c r="Z872" s="33"/>
      <c r="AA872" s="33"/>
      <c r="AB872" s="33"/>
      <c r="AC872" s="33"/>
      <c r="AD872" s="593"/>
    </row>
    <row r="873" spans="18:30" x14ac:dyDescent="0.25">
      <c r="R873" s="33"/>
      <c r="S873" s="33"/>
      <c r="T873" s="33"/>
      <c r="U873" s="33"/>
      <c r="V873" s="33"/>
      <c r="W873" s="33"/>
      <c r="X873" s="33"/>
      <c r="Y873" s="33"/>
      <c r="Z873" s="33"/>
      <c r="AA873" s="33"/>
      <c r="AB873" s="33"/>
      <c r="AC873" s="33"/>
      <c r="AD873" s="593"/>
    </row>
    <row r="874" spans="18:30" x14ac:dyDescent="0.25">
      <c r="R874" s="33"/>
      <c r="S874" s="33"/>
      <c r="T874" s="33"/>
      <c r="U874" s="33"/>
      <c r="V874" s="33"/>
      <c r="W874" s="33"/>
      <c r="X874" s="33"/>
      <c r="Y874" s="33"/>
      <c r="Z874" s="33"/>
      <c r="AA874" s="33"/>
      <c r="AB874" s="33"/>
      <c r="AC874" s="33"/>
      <c r="AD874" s="593"/>
    </row>
    <row r="875" spans="18:30" x14ac:dyDescent="0.25">
      <c r="R875" s="33"/>
      <c r="S875" s="33"/>
      <c r="T875" s="33"/>
      <c r="U875" s="33"/>
      <c r="V875" s="33"/>
      <c r="W875" s="33"/>
      <c r="X875" s="33"/>
      <c r="Y875" s="33"/>
      <c r="Z875" s="33"/>
      <c r="AA875" s="33"/>
      <c r="AB875" s="33"/>
      <c r="AC875" s="33"/>
      <c r="AD875" s="593"/>
    </row>
    <row r="876" spans="18:30" x14ac:dyDescent="0.25">
      <c r="R876" s="33"/>
      <c r="S876" s="33"/>
      <c r="T876" s="33"/>
      <c r="U876" s="33"/>
      <c r="V876" s="33"/>
      <c r="W876" s="33"/>
      <c r="X876" s="33"/>
      <c r="Y876" s="33"/>
      <c r="Z876" s="33"/>
      <c r="AA876" s="33"/>
      <c r="AB876" s="33"/>
      <c r="AC876" s="33"/>
      <c r="AD876" s="593"/>
    </row>
    <row r="877" spans="18:30" x14ac:dyDescent="0.25">
      <c r="R877" s="33"/>
      <c r="S877" s="33"/>
      <c r="T877" s="33"/>
      <c r="U877" s="33"/>
      <c r="V877" s="33"/>
      <c r="W877" s="33"/>
      <c r="X877" s="33"/>
      <c r="Y877" s="33"/>
      <c r="Z877" s="33"/>
      <c r="AA877" s="33"/>
      <c r="AB877" s="33"/>
      <c r="AC877" s="33"/>
      <c r="AD877" s="593"/>
    </row>
    <row r="878" spans="18:30" x14ac:dyDescent="0.25">
      <c r="R878" s="33"/>
      <c r="S878" s="33"/>
      <c r="T878" s="33"/>
      <c r="U878" s="33"/>
      <c r="V878" s="33"/>
      <c r="W878" s="33"/>
      <c r="X878" s="33"/>
      <c r="Y878" s="33"/>
      <c r="Z878" s="33"/>
      <c r="AA878" s="33"/>
      <c r="AB878" s="33"/>
      <c r="AC878" s="33"/>
      <c r="AD878" s="593"/>
    </row>
    <row r="879" spans="18:30" x14ac:dyDescent="0.25">
      <c r="R879" s="33"/>
      <c r="S879" s="33"/>
      <c r="T879" s="33"/>
      <c r="U879" s="33"/>
      <c r="V879" s="33"/>
      <c r="W879" s="33"/>
      <c r="X879" s="33"/>
      <c r="Y879" s="33"/>
      <c r="Z879" s="33"/>
      <c r="AA879" s="33"/>
      <c r="AB879" s="33"/>
      <c r="AC879" s="33"/>
      <c r="AD879" s="593"/>
    </row>
    <row r="880" spans="18:30" x14ac:dyDescent="0.25">
      <c r="R880" s="33"/>
      <c r="S880" s="33"/>
      <c r="T880" s="33"/>
      <c r="U880" s="33"/>
      <c r="V880" s="33"/>
      <c r="W880" s="33"/>
      <c r="X880" s="33"/>
      <c r="Y880" s="33"/>
      <c r="Z880" s="33"/>
      <c r="AA880" s="33"/>
      <c r="AB880" s="33"/>
      <c r="AC880" s="33"/>
      <c r="AD880" s="593"/>
    </row>
    <row r="881" spans="18:30" x14ac:dyDescent="0.25">
      <c r="R881" s="33"/>
      <c r="S881" s="33"/>
      <c r="T881" s="33"/>
      <c r="U881" s="33"/>
      <c r="V881" s="33"/>
      <c r="W881" s="33"/>
      <c r="X881" s="33"/>
      <c r="Y881" s="33"/>
      <c r="Z881" s="33"/>
      <c r="AA881" s="33"/>
      <c r="AB881" s="33"/>
      <c r="AC881" s="33"/>
      <c r="AD881" s="593"/>
    </row>
    <row r="882" spans="18:30" x14ac:dyDescent="0.25">
      <c r="R882" s="33"/>
      <c r="S882" s="33"/>
      <c r="T882" s="33"/>
      <c r="U882" s="33"/>
      <c r="V882" s="33"/>
      <c r="W882" s="33"/>
      <c r="X882" s="33"/>
      <c r="Y882" s="33"/>
      <c r="Z882" s="33"/>
      <c r="AA882" s="33"/>
      <c r="AB882" s="33"/>
      <c r="AC882" s="33"/>
      <c r="AD882" s="593"/>
    </row>
    <row r="883" spans="18:30" x14ac:dyDescent="0.25">
      <c r="R883" s="33"/>
      <c r="S883" s="33"/>
      <c r="T883" s="33"/>
      <c r="U883" s="33"/>
      <c r="V883" s="33"/>
      <c r="W883" s="33"/>
      <c r="X883" s="33"/>
      <c r="Y883" s="33"/>
      <c r="Z883" s="33"/>
      <c r="AA883" s="33"/>
      <c r="AB883" s="33"/>
      <c r="AC883" s="33"/>
      <c r="AD883" s="593"/>
    </row>
    <row r="884" spans="18:30" x14ac:dyDescent="0.25">
      <c r="R884" s="33"/>
      <c r="S884" s="33"/>
      <c r="T884" s="33"/>
      <c r="U884" s="33"/>
      <c r="V884" s="33"/>
      <c r="W884" s="33"/>
      <c r="X884" s="33"/>
      <c r="Y884" s="33"/>
      <c r="Z884" s="33"/>
      <c r="AA884" s="33"/>
      <c r="AB884" s="33"/>
      <c r="AC884" s="33"/>
      <c r="AD884" s="593"/>
    </row>
    <row r="885" spans="18:30" x14ac:dyDescent="0.25">
      <c r="R885" s="33"/>
      <c r="S885" s="33"/>
      <c r="T885" s="33"/>
      <c r="U885" s="33"/>
      <c r="V885" s="33"/>
      <c r="W885" s="33"/>
      <c r="X885" s="33"/>
      <c r="Y885" s="33"/>
      <c r="Z885" s="33"/>
      <c r="AA885" s="33"/>
      <c r="AB885" s="33"/>
      <c r="AC885" s="33"/>
      <c r="AD885" s="593"/>
    </row>
    <row r="886" spans="18:30" x14ac:dyDescent="0.25">
      <c r="R886" s="33"/>
      <c r="S886" s="33"/>
      <c r="T886" s="33"/>
      <c r="U886" s="33"/>
      <c r="V886" s="33"/>
      <c r="W886" s="33"/>
      <c r="X886" s="33"/>
      <c r="Y886" s="33"/>
      <c r="Z886" s="33"/>
      <c r="AA886" s="33"/>
      <c r="AB886" s="33"/>
      <c r="AC886" s="33"/>
      <c r="AD886" s="593"/>
    </row>
    <row r="887" spans="18:30" x14ac:dyDescent="0.25">
      <c r="R887" s="33"/>
      <c r="S887" s="33"/>
      <c r="T887" s="33"/>
      <c r="U887" s="33"/>
      <c r="V887" s="33"/>
      <c r="W887" s="33"/>
      <c r="X887" s="33"/>
      <c r="Y887" s="33"/>
      <c r="Z887" s="33"/>
      <c r="AA887" s="33"/>
      <c r="AB887" s="33"/>
      <c r="AC887" s="33"/>
      <c r="AD887" s="593"/>
    </row>
    <row r="888" spans="18:30" x14ac:dyDescent="0.25">
      <c r="R888" s="33"/>
      <c r="S888" s="33"/>
      <c r="T888" s="33"/>
      <c r="U888" s="33"/>
      <c r="V888" s="33"/>
      <c r="W888" s="33"/>
      <c r="X888" s="33"/>
      <c r="Y888" s="33"/>
      <c r="Z888" s="33"/>
      <c r="AA888" s="33"/>
      <c r="AB888" s="33"/>
      <c r="AC888" s="33"/>
      <c r="AD888" s="593"/>
    </row>
    <row r="889" spans="18:30" x14ac:dyDescent="0.25">
      <c r="R889" s="33"/>
      <c r="S889" s="33"/>
      <c r="T889" s="33"/>
      <c r="U889" s="33"/>
      <c r="V889" s="33"/>
      <c r="W889" s="33"/>
      <c r="X889" s="33"/>
      <c r="Y889" s="33"/>
      <c r="Z889" s="33"/>
      <c r="AA889" s="33"/>
      <c r="AB889" s="33"/>
      <c r="AC889" s="33"/>
      <c r="AD889" s="593"/>
    </row>
    <row r="890" spans="18:30" x14ac:dyDescent="0.25">
      <c r="R890" s="33"/>
      <c r="S890" s="33"/>
      <c r="T890" s="33"/>
      <c r="U890" s="33"/>
      <c r="V890" s="33"/>
      <c r="W890" s="33"/>
      <c r="X890" s="33"/>
      <c r="Y890" s="33"/>
      <c r="Z890" s="33"/>
      <c r="AA890" s="33"/>
      <c r="AB890" s="33"/>
      <c r="AC890" s="33"/>
      <c r="AD890" s="593"/>
    </row>
    <row r="891" spans="18:30" x14ac:dyDescent="0.25">
      <c r="R891" s="33"/>
      <c r="S891" s="33"/>
      <c r="T891" s="33"/>
      <c r="U891" s="33"/>
      <c r="V891" s="33"/>
      <c r="W891" s="33"/>
      <c r="X891" s="33"/>
      <c r="Y891" s="33"/>
      <c r="Z891" s="33"/>
      <c r="AA891" s="33"/>
      <c r="AB891" s="33"/>
      <c r="AC891" s="33"/>
      <c r="AD891" s="593"/>
    </row>
    <row r="892" spans="18:30" x14ac:dyDescent="0.25">
      <c r="R892" s="33"/>
      <c r="S892" s="33"/>
      <c r="T892" s="33"/>
      <c r="U892" s="33"/>
      <c r="V892" s="33"/>
      <c r="W892" s="33"/>
      <c r="X892" s="33"/>
      <c r="Y892" s="33"/>
      <c r="Z892" s="33"/>
      <c r="AA892" s="33"/>
      <c r="AB892" s="33"/>
      <c r="AC892" s="33"/>
      <c r="AD892" s="593"/>
    </row>
    <row r="893" spans="18:30" x14ac:dyDescent="0.25">
      <c r="R893" s="33"/>
      <c r="S893" s="33"/>
      <c r="T893" s="33"/>
      <c r="U893" s="33"/>
      <c r="V893" s="33"/>
      <c r="W893" s="33"/>
      <c r="X893" s="33"/>
      <c r="Y893" s="33"/>
      <c r="Z893" s="33"/>
      <c r="AA893" s="33"/>
      <c r="AB893" s="33"/>
      <c r="AC893" s="33"/>
      <c r="AD893" s="593"/>
    </row>
    <row r="894" spans="18:30" x14ac:dyDescent="0.25">
      <c r="R894" s="33"/>
      <c r="S894" s="33"/>
      <c r="T894" s="33"/>
      <c r="U894" s="33"/>
      <c r="V894" s="33"/>
      <c r="W894" s="33"/>
      <c r="X894" s="33"/>
      <c r="Y894" s="33"/>
      <c r="Z894" s="33"/>
      <c r="AA894" s="33"/>
      <c r="AB894" s="33"/>
      <c r="AC894" s="33"/>
      <c r="AD894" s="593"/>
    </row>
    <row r="895" spans="18:30" x14ac:dyDescent="0.25">
      <c r="R895" s="33"/>
      <c r="S895" s="33"/>
      <c r="T895" s="33"/>
      <c r="U895" s="33"/>
      <c r="V895" s="33"/>
      <c r="W895" s="33"/>
      <c r="X895" s="33"/>
      <c r="Y895" s="33"/>
      <c r="Z895" s="33"/>
      <c r="AA895" s="33"/>
      <c r="AB895" s="33"/>
      <c r="AC895" s="33"/>
      <c r="AD895" s="593"/>
    </row>
    <row r="896" spans="18:30" x14ac:dyDescent="0.25">
      <c r="R896" s="33"/>
      <c r="S896" s="33"/>
      <c r="T896" s="33"/>
      <c r="U896" s="33"/>
      <c r="V896" s="33"/>
      <c r="W896" s="33"/>
      <c r="X896" s="33"/>
      <c r="Y896" s="33"/>
      <c r="Z896" s="33"/>
      <c r="AA896" s="33"/>
      <c r="AB896" s="33"/>
      <c r="AC896" s="33"/>
      <c r="AD896" s="593"/>
    </row>
    <row r="897" spans="18:30" x14ac:dyDescent="0.25">
      <c r="R897" s="33"/>
      <c r="S897" s="33"/>
      <c r="T897" s="33"/>
      <c r="U897" s="33"/>
      <c r="V897" s="33"/>
      <c r="W897" s="33"/>
      <c r="X897" s="33"/>
      <c r="Y897" s="33"/>
      <c r="Z897" s="33"/>
      <c r="AA897" s="33"/>
      <c r="AB897" s="33"/>
      <c r="AC897" s="33"/>
      <c r="AD897" s="593"/>
    </row>
    <row r="898" spans="18:30" x14ac:dyDescent="0.25">
      <c r="R898" s="33"/>
      <c r="S898" s="33"/>
      <c r="T898" s="33"/>
      <c r="U898" s="33"/>
      <c r="V898" s="33"/>
      <c r="W898" s="33"/>
      <c r="X898" s="33"/>
      <c r="Y898" s="33"/>
      <c r="Z898" s="33"/>
      <c r="AA898" s="33"/>
      <c r="AB898" s="33"/>
      <c r="AC898" s="33"/>
      <c r="AD898" s="593"/>
    </row>
    <row r="899" spans="18:30" x14ac:dyDescent="0.25">
      <c r="R899" s="33"/>
      <c r="S899" s="33"/>
      <c r="T899" s="33"/>
      <c r="U899" s="33"/>
      <c r="V899" s="33"/>
      <c r="W899" s="33"/>
      <c r="X899" s="33"/>
      <c r="Y899" s="33"/>
      <c r="Z899" s="33"/>
      <c r="AA899" s="33"/>
      <c r="AB899" s="33"/>
      <c r="AC899" s="33"/>
      <c r="AD899" s="593"/>
    </row>
    <row r="900" spans="18:30" x14ac:dyDescent="0.25">
      <c r="R900" s="33"/>
      <c r="S900" s="33"/>
      <c r="T900" s="33"/>
      <c r="U900" s="33"/>
      <c r="V900" s="33"/>
      <c r="W900" s="33"/>
      <c r="X900" s="33"/>
      <c r="Y900" s="33"/>
      <c r="Z900" s="33"/>
      <c r="AA900" s="33"/>
      <c r="AB900" s="33"/>
      <c r="AC900" s="33"/>
      <c r="AD900" s="593"/>
    </row>
    <row r="901" spans="18:30" x14ac:dyDescent="0.25">
      <c r="R901" s="33"/>
      <c r="S901" s="33"/>
      <c r="T901" s="33"/>
      <c r="U901" s="33"/>
      <c r="V901" s="33"/>
      <c r="W901" s="33"/>
      <c r="X901" s="33"/>
      <c r="Y901" s="33"/>
      <c r="Z901" s="33"/>
      <c r="AA901" s="33"/>
      <c r="AB901" s="33"/>
      <c r="AC901" s="33"/>
      <c r="AD901" s="593"/>
    </row>
    <row r="902" spans="18:30" x14ac:dyDescent="0.25">
      <c r="R902" s="33"/>
      <c r="S902" s="33"/>
      <c r="T902" s="33"/>
      <c r="U902" s="33"/>
      <c r="V902" s="33"/>
      <c r="W902" s="33"/>
      <c r="X902" s="33"/>
      <c r="Y902" s="33"/>
      <c r="Z902" s="33"/>
      <c r="AA902" s="33"/>
      <c r="AB902" s="33"/>
      <c r="AC902" s="33"/>
      <c r="AD902" s="593"/>
    </row>
    <row r="903" spans="18:30" x14ac:dyDescent="0.25">
      <c r="R903" s="33"/>
      <c r="S903" s="33"/>
      <c r="T903" s="33"/>
      <c r="U903" s="33"/>
      <c r="V903" s="33"/>
      <c r="W903" s="33"/>
      <c r="X903" s="33"/>
      <c r="Y903" s="33"/>
      <c r="Z903" s="33"/>
      <c r="AA903" s="33"/>
      <c r="AB903" s="33"/>
      <c r="AC903" s="33"/>
      <c r="AD903" s="593"/>
    </row>
    <row r="904" spans="18:30" x14ac:dyDescent="0.25">
      <c r="R904" s="33"/>
      <c r="S904" s="33"/>
      <c r="T904" s="33"/>
      <c r="U904" s="33"/>
      <c r="V904" s="33"/>
      <c r="W904" s="33"/>
      <c r="X904" s="33"/>
      <c r="Y904" s="33"/>
      <c r="Z904" s="33"/>
      <c r="AA904" s="33"/>
      <c r="AB904" s="33"/>
      <c r="AC904" s="33"/>
      <c r="AD904" s="593"/>
    </row>
    <row r="905" spans="18:30" x14ac:dyDescent="0.25">
      <c r="R905" s="33"/>
      <c r="S905" s="33"/>
      <c r="T905" s="33"/>
      <c r="U905" s="33"/>
      <c r="V905" s="33"/>
      <c r="W905" s="33"/>
      <c r="X905" s="33"/>
      <c r="Y905" s="33"/>
      <c r="Z905" s="33"/>
      <c r="AA905" s="33"/>
      <c r="AB905" s="33"/>
      <c r="AC905" s="33"/>
      <c r="AD905" s="593"/>
    </row>
    <row r="906" spans="18:30" x14ac:dyDescent="0.25">
      <c r="R906" s="33"/>
      <c r="S906" s="33"/>
      <c r="T906" s="33"/>
      <c r="U906" s="33"/>
      <c r="V906" s="33"/>
      <c r="W906" s="33"/>
      <c r="X906" s="33"/>
      <c r="Y906" s="33"/>
      <c r="Z906" s="33"/>
      <c r="AA906" s="33"/>
      <c r="AB906" s="33"/>
      <c r="AC906" s="33"/>
      <c r="AD906" s="593"/>
    </row>
    <row r="907" spans="18:30" x14ac:dyDescent="0.25">
      <c r="R907" s="33"/>
      <c r="S907" s="33"/>
      <c r="T907" s="33"/>
      <c r="U907" s="33"/>
      <c r="V907" s="33"/>
      <c r="W907" s="33"/>
      <c r="X907" s="33"/>
      <c r="Y907" s="33"/>
      <c r="Z907" s="33"/>
      <c r="AA907" s="33"/>
      <c r="AB907" s="33"/>
      <c r="AC907" s="33"/>
      <c r="AD907" s="593"/>
    </row>
    <row r="908" spans="18:30" x14ac:dyDescent="0.25">
      <c r="R908" s="33"/>
      <c r="S908" s="33"/>
      <c r="T908" s="33"/>
      <c r="U908" s="33"/>
      <c r="V908" s="33"/>
      <c r="W908" s="33"/>
      <c r="X908" s="33"/>
      <c r="Y908" s="33"/>
      <c r="Z908" s="33"/>
      <c r="AA908" s="33"/>
      <c r="AB908" s="33"/>
      <c r="AC908" s="33"/>
      <c r="AD908" s="593"/>
    </row>
    <row r="909" spans="18:30" x14ac:dyDescent="0.25">
      <c r="R909" s="33"/>
      <c r="S909" s="33"/>
      <c r="T909" s="33"/>
      <c r="U909" s="33"/>
      <c r="V909" s="33"/>
      <c r="W909" s="33"/>
      <c r="X909" s="33"/>
      <c r="Y909" s="33"/>
      <c r="Z909" s="33"/>
      <c r="AA909" s="33"/>
      <c r="AB909" s="33"/>
      <c r="AC909" s="33"/>
      <c r="AD909" s="593"/>
    </row>
    <row r="910" spans="18:30" x14ac:dyDescent="0.25">
      <c r="R910" s="33"/>
      <c r="S910" s="33"/>
      <c r="T910" s="33"/>
      <c r="U910" s="33"/>
      <c r="V910" s="33"/>
      <c r="W910" s="33"/>
      <c r="X910" s="33"/>
      <c r="Y910" s="33"/>
      <c r="Z910" s="33"/>
      <c r="AA910" s="33"/>
      <c r="AB910" s="33"/>
      <c r="AC910" s="33"/>
      <c r="AD910" s="593"/>
    </row>
    <row r="911" spans="18:30" x14ac:dyDescent="0.25">
      <c r="R911" s="33"/>
      <c r="S911" s="33"/>
      <c r="T911" s="33"/>
      <c r="U911" s="33"/>
      <c r="V911" s="33"/>
      <c r="W911" s="33"/>
      <c r="X911" s="33"/>
      <c r="Y911" s="33"/>
      <c r="Z911" s="33"/>
      <c r="AA911" s="33"/>
      <c r="AB911" s="33"/>
      <c r="AC911" s="33"/>
      <c r="AD911" s="593"/>
    </row>
    <row r="912" spans="18:30" x14ac:dyDescent="0.25">
      <c r="R912" s="33"/>
      <c r="S912" s="33"/>
      <c r="T912" s="33"/>
      <c r="U912" s="33"/>
      <c r="V912" s="33"/>
      <c r="W912" s="33"/>
      <c r="X912" s="33"/>
      <c r="Y912" s="33"/>
      <c r="Z912" s="33"/>
      <c r="AA912" s="33"/>
      <c r="AB912" s="33"/>
      <c r="AC912" s="33"/>
      <c r="AD912" s="593"/>
    </row>
    <row r="913" spans="18:30" x14ac:dyDescent="0.25">
      <c r="R913" s="33"/>
      <c r="S913" s="33"/>
      <c r="T913" s="33"/>
      <c r="U913" s="33"/>
      <c r="V913" s="33"/>
      <c r="W913" s="33"/>
      <c r="X913" s="33"/>
      <c r="Y913" s="33"/>
      <c r="Z913" s="33"/>
      <c r="AA913" s="33"/>
      <c r="AB913" s="33"/>
      <c r="AC913" s="33"/>
      <c r="AD913" s="593"/>
    </row>
    <row r="914" spans="18:30" x14ac:dyDescent="0.25">
      <c r="R914" s="33"/>
      <c r="S914" s="33"/>
      <c r="T914" s="33"/>
      <c r="U914" s="33"/>
      <c r="V914" s="33"/>
      <c r="W914" s="33"/>
      <c r="X914" s="33"/>
      <c r="Y914" s="33"/>
      <c r="Z914" s="33"/>
      <c r="AA914" s="33"/>
      <c r="AB914" s="33"/>
      <c r="AC914" s="33"/>
      <c r="AD914" s="593"/>
    </row>
    <row r="915" spans="18:30" x14ac:dyDescent="0.25">
      <c r="R915" s="33"/>
      <c r="S915" s="33"/>
      <c r="T915" s="33"/>
      <c r="U915" s="33"/>
      <c r="V915" s="33"/>
      <c r="W915" s="33"/>
      <c r="X915" s="33"/>
      <c r="Y915" s="33"/>
      <c r="Z915" s="33"/>
      <c r="AA915" s="33"/>
      <c r="AB915" s="33"/>
      <c r="AC915" s="33"/>
      <c r="AD915" s="593"/>
    </row>
    <row r="916" spans="18:30" x14ac:dyDescent="0.25">
      <c r="R916" s="33"/>
      <c r="S916" s="33"/>
      <c r="T916" s="33"/>
      <c r="U916" s="33"/>
      <c r="V916" s="33"/>
      <c r="W916" s="33"/>
      <c r="X916" s="33"/>
      <c r="Y916" s="33"/>
      <c r="Z916" s="33"/>
      <c r="AA916" s="33"/>
      <c r="AB916" s="33"/>
      <c r="AC916" s="33"/>
      <c r="AD916" s="593"/>
    </row>
    <row r="917" spans="18:30" x14ac:dyDescent="0.25">
      <c r="R917" s="33"/>
      <c r="S917" s="33"/>
      <c r="T917" s="33"/>
      <c r="U917" s="33"/>
      <c r="V917" s="33"/>
      <c r="W917" s="33"/>
      <c r="X917" s="33"/>
      <c r="Y917" s="33"/>
      <c r="Z917" s="33"/>
      <c r="AA917" s="33"/>
      <c r="AB917" s="33"/>
      <c r="AC917" s="33"/>
      <c r="AD917" s="593"/>
    </row>
    <row r="918" spans="18:30" x14ac:dyDescent="0.25">
      <c r="R918" s="33"/>
      <c r="S918" s="33"/>
      <c r="T918" s="33"/>
      <c r="U918" s="33"/>
      <c r="V918" s="33"/>
      <c r="W918" s="33"/>
      <c r="X918" s="33"/>
      <c r="Y918" s="33"/>
      <c r="Z918" s="33"/>
      <c r="AA918" s="33"/>
      <c r="AB918" s="33"/>
      <c r="AC918" s="33"/>
      <c r="AD918" s="593"/>
    </row>
    <row r="919" spans="18:30" x14ac:dyDescent="0.25">
      <c r="R919" s="33"/>
      <c r="S919" s="33"/>
      <c r="T919" s="33"/>
      <c r="U919" s="33"/>
      <c r="V919" s="33"/>
      <c r="W919" s="33"/>
      <c r="X919" s="33"/>
      <c r="Y919" s="33"/>
      <c r="Z919" s="33"/>
      <c r="AA919" s="33"/>
      <c r="AB919" s="33"/>
      <c r="AC919" s="33"/>
      <c r="AD919" s="593"/>
    </row>
    <row r="920" spans="18:30" x14ac:dyDescent="0.25">
      <c r="R920" s="33"/>
      <c r="S920" s="33"/>
      <c r="T920" s="33"/>
      <c r="U920" s="33"/>
      <c r="V920" s="33"/>
      <c r="W920" s="33"/>
      <c r="X920" s="33"/>
      <c r="Y920" s="33"/>
      <c r="Z920" s="33"/>
      <c r="AA920" s="33"/>
      <c r="AB920" s="33"/>
      <c r="AC920" s="33"/>
      <c r="AD920" s="593"/>
    </row>
    <row r="921" spans="18:30" x14ac:dyDescent="0.25">
      <c r="R921" s="33"/>
      <c r="S921" s="33"/>
      <c r="T921" s="33"/>
      <c r="U921" s="33"/>
      <c r="V921" s="33"/>
      <c r="W921" s="33"/>
      <c r="X921" s="33"/>
      <c r="Y921" s="33"/>
      <c r="Z921" s="33"/>
      <c r="AA921" s="33"/>
      <c r="AB921" s="33"/>
      <c r="AC921" s="33"/>
      <c r="AD921" s="593"/>
    </row>
    <row r="922" spans="18:30" x14ac:dyDescent="0.25">
      <c r="R922" s="33"/>
      <c r="S922" s="33"/>
      <c r="T922" s="33"/>
      <c r="U922" s="33"/>
      <c r="V922" s="33"/>
      <c r="W922" s="33"/>
      <c r="X922" s="33"/>
      <c r="Y922" s="33"/>
      <c r="Z922" s="33"/>
      <c r="AA922" s="33"/>
      <c r="AB922" s="33"/>
      <c r="AC922" s="33"/>
      <c r="AD922" s="593"/>
    </row>
    <row r="923" spans="18:30" x14ac:dyDescent="0.25">
      <c r="R923" s="33"/>
      <c r="S923" s="33"/>
      <c r="T923" s="33"/>
      <c r="U923" s="33"/>
      <c r="V923" s="33"/>
      <c r="W923" s="33"/>
      <c r="X923" s="33"/>
      <c r="Y923" s="33"/>
      <c r="Z923" s="33"/>
      <c r="AA923" s="33"/>
      <c r="AB923" s="33"/>
      <c r="AC923" s="33"/>
      <c r="AD923" s="593"/>
    </row>
    <row r="924" spans="18:30" x14ac:dyDescent="0.25">
      <c r="R924" s="33"/>
      <c r="S924" s="33"/>
      <c r="T924" s="33"/>
      <c r="U924" s="33"/>
      <c r="V924" s="33"/>
      <c r="W924" s="33"/>
      <c r="X924" s="33"/>
      <c r="Y924" s="33"/>
      <c r="Z924" s="33"/>
      <c r="AA924" s="33"/>
      <c r="AB924" s="33"/>
      <c r="AC924" s="33"/>
      <c r="AD924" s="593"/>
    </row>
    <row r="925" spans="18:30" x14ac:dyDescent="0.25">
      <c r="R925" s="33"/>
      <c r="S925" s="33"/>
      <c r="T925" s="33"/>
      <c r="U925" s="33"/>
      <c r="V925" s="33"/>
      <c r="W925" s="33"/>
      <c r="X925" s="33"/>
      <c r="Y925" s="33"/>
      <c r="Z925" s="33"/>
      <c r="AA925" s="33"/>
      <c r="AB925" s="33"/>
      <c r="AC925" s="33"/>
      <c r="AD925" s="593"/>
    </row>
    <row r="926" spans="18:30" x14ac:dyDescent="0.25">
      <c r="R926" s="33"/>
      <c r="S926" s="33"/>
      <c r="T926" s="33"/>
      <c r="U926" s="33"/>
      <c r="V926" s="33"/>
      <c r="W926" s="33"/>
      <c r="X926" s="33"/>
      <c r="Y926" s="33"/>
      <c r="Z926" s="33"/>
      <c r="AA926" s="33"/>
      <c r="AB926" s="33"/>
      <c r="AC926" s="33"/>
      <c r="AD926" s="593"/>
    </row>
    <row r="927" spans="18:30" x14ac:dyDescent="0.25">
      <c r="R927" s="33"/>
      <c r="S927" s="33"/>
      <c r="T927" s="33"/>
      <c r="U927" s="33"/>
      <c r="V927" s="33"/>
      <c r="W927" s="33"/>
      <c r="X927" s="33"/>
      <c r="Y927" s="33"/>
      <c r="Z927" s="33"/>
      <c r="AA927" s="33"/>
      <c r="AB927" s="33"/>
      <c r="AC927" s="33"/>
      <c r="AD927" s="593"/>
    </row>
    <row r="928" spans="18:30" x14ac:dyDescent="0.25">
      <c r="R928" s="33"/>
      <c r="S928" s="33"/>
      <c r="T928" s="33"/>
      <c r="U928" s="33"/>
      <c r="V928" s="33"/>
      <c r="W928" s="33"/>
      <c r="X928" s="33"/>
      <c r="Y928" s="33"/>
      <c r="Z928" s="33"/>
      <c r="AA928" s="33"/>
      <c r="AB928" s="33"/>
      <c r="AC928" s="33"/>
      <c r="AD928" s="593"/>
    </row>
    <row r="929" spans="18:30" x14ac:dyDescent="0.25">
      <c r="R929" s="33"/>
      <c r="S929" s="33"/>
      <c r="T929" s="33"/>
      <c r="U929" s="33"/>
      <c r="V929" s="33"/>
      <c r="W929" s="33"/>
      <c r="X929" s="33"/>
      <c r="Y929" s="33"/>
      <c r="Z929" s="33"/>
      <c r="AA929" s="33"/>
      <c r="AB929" s="33"/>
      <c r="AC929" s="33"/>
      <c r="AD929" s="593"/>
    </row>
    <row r="930" spans="18:30" x14ac:dyDescent="0.25">
      <c r="R930" s="33"/>
      <c r="S930" s="33"/>
      <c r="T930" s="33"/>
      <c r="U930" s="33"/>
      <c r="V930" s="33"/>
      <c r="W930" s="33"/>
      <c r="X930" s="33"/>
      <c r="Y930" s="33"/>
      <c r="Z930" s="33"/>
      <c r="AA930" s="33"/>
      <c r="AB930" s="33"/>
      <c r="AC930" s="33"/>
      <c r="AD930" s="593"/>
    </row>
    <row r="931" spans="18:30" x14ac:dyDescent="0.25">
      <c r="R931" s="33"/>
      <c r="S931" s="33"/>
      <c r="T931" s="33"/>
      <c r="U931" s="33"/>
      <c r="V931" s="33"/>
      <c r="W931" s="33"/>
      <c r="X931" s="33"/>
      <c r="Y931" s="33"/>
      <c r="Z931" s="33"/>
      <c r="AA931" s="33"/>
      <c r="AB931" s="33"/>
      <c r="AC931" s="33"/>
      <c r="AD931" s="593"/>
    </row>
    <row r="932" spans="18:30" x14ac:dyDescent="0.25">
      <c r="R932" s="33"/>
      <c r="S932" s="33"/>
      <c r="T932" s="33"/>
      <c r="U932" s="33"/>
      <c r="V932" s="33"/>
      <c r="W932" s="33"/>
      <c r="X932" s="33"/>
      <c r="Y932" s="33"/>
      <c r="Z932" s="33"/>
      <c r="AA932" s="33"/>
      <c r="AB932" s="33"/>
      <c r="AC932" s="33"/>
      <c r="AD932" s="593"/>
    </row>
    <row r="933" spans="18:30" x14ac:dyDescent="0.25">
      <c r="R933" s="33"/>
      <c r="S933" s="33"/>
      <c r="T933" s="33"/>
      <c r="U933" s="33"/>
      <c r="V933" s="33"/>
      <c r="W933" s="33"/>
      <c r="X933" s="33"/>
      <c r="Y933" s="33"/>
      <c r="Z933" s="33"/>
      <c r="AA933" s="33"/>
      <c r="AB933" s="33"/>
      <c r="AC933" s="33"/>
      <c r="AD933" s="593"/>
    </row>
    <row r="934" spans="18:30" x14ac:dyDescent="0.25">
      <c r="R934" s="33"/>
      <c r="S934" s="33"/>
      <c r="T934" s="33"/>
      <c r="U934" s="33"/>
      <c r="V934" s="33"/>
      <c r="W934" s="33"/>
      <c r="X934" s="33"/>
      <c r="Y934" s="33"/>
      <c r="Z934" s="33"/>
      <c r="AA934" s="33"/>
      <c r="AB934" s="33"/>
      <c r="AC934" s="33"/>
      <c r="AD934" s="593"/>
    </row>
    <row r="935" spans="18:30" x14ac:dyDescent="0.25">
      <c r="R935" s="33"/>
      <c r="S935" s="33"/>
      <c r="T935" s="33"/>
      <c r="U935" s="33"/>
      <c r="V935" s="33"/>
      <c r="W935" s="33"/>
      <c r="X935" s="33"/>
      <c r="Y935" s="33"/>
      <c r="Z935" s="33"/>
      <c r="AA935" s="33"/>
      <c r="AB935" s="33"/>
      <c r="AC935" s="33"/>
      <c r="AD935" s="593"/>
    </row>
    <row r="936" spans="18:30" x14ac:dyDescent="0.25">
      <c r="R936" s="33"/>
      <c r="S936" s="33"/>
      <c r="T936" s="33"/>
      <c r="U936" s="33"/>
      <c r="V936" s="33"/>
      <c r="W936" s="33"/>
      <c r="X936" s="33"/>
      <c r="Y936" s="33"/>
      <c r="Z936" s="33"/>
      <c r="AA936" s="33"/>
      <c r="AB936" s="33"/>
      <c r="AC936" s="33"/>
      <c r="AD936" s="593"/>
    </row>
    <row r="937" spans="18:30" x14ac:dyDescent="0.25">
      <c r="R937" s="33"/>
      <c r="S937" s="33"/>
      <c r="T937" s="33"/>
      <c r="U937" s="33"/>
      <c r="V937" s="33"/>
      <c r="W937" s="33"/>
      <c r="X937" s="33"/>
      <c r="Y937" s="33"/>
      <c r="Z937" s="33"/>
      <c r="AA937" s="33"/>
      <c r="AB937" s="33"/>
      <c r="AC937" s="33"/>
      <c r="AD937" s="593"/>
    </row>
    <row r="938" spans="18:30" x14ac:dyDescent="0.25">
      <c r="R938" s="33"/>
      <c r="S938" s="33"/>
      <c r="T938" s="33"/>
      <c r="U938" s="33"/>
      <c r="V938" s="33"/>
      <c r="W938" s="33"/>
      <c r="X938" s="33"/>
      <c r="Y938" s="33"/>
      <c r="Z938" s="33"/>
      <c r="AA938" s="33"/>
      <c r="AB938" s="33"/>
      <c r="AC938" s="33"/>
      <c r="AD938" s="593"/>
    </row>
    <row r="939" spans="18:30" x14ac:dyDescent="0.25">
      <c r="R939" s="33"/>
      <c r="S939" s="33"/>
      <c r="T939" s="33"/>
      <c r="U939" s="33"/>
      <c r="V939" s="33"/>
      <c r="W939" s="33"/>
      <c r="X939" s="33"/>
      <c r="Y939" s="33"/>
      <c r="Z939" s="33"/>
      <c r="AA939" s="33"/>
      <c r="AB939" s="33"/>
      <c r="AC939" s="33"/>
      <c r="AD939" s="593"/>
    </row>
    <row r="940" spans="18:30" x14ac:dyDescent="0.25">
      <c r="R940" s="33"/>
      <c r="S940" s="33"/>
      <c r="T940" s="33"/>
      <c r="U940" s="33"/>
      <c r="V940" s="33"/>
      <c r="W940" s="33"/>
      <c r="X940" s="33"/>
      <c r="Y940" s="33"/>
      <c r="Z940" s="33"/>
      <c r="AA940" s="33"/>
      <c r="AB940" s="33"/>
      <c r="AC940" s="33"/>
      <c r="AD940" s="593"/>
    </row>
    <row r="941" spans="18:30" x14ac:dyDescent="0.25">
      <c r="R941" s="33"/>
      <c r="S941" s="33"/>
      <c r="T941" s="33"/>
      <c r="U941" s="33"/>
      <c r="V941" s="33"/>
      <c r="W941" s="33"/>
      <c r="X941" s="33"/>
      <c r="Y941" s="33"/>
      <c r="Z941" s="33"/>
      <c r="AA941" s="33"/>
      <c r="AB941" s="33"/>
      <c r="AC941" s="33"/>
      <c r="AD941" s="593"/>
    </row>
    <row r="942" spans="18:30" x14ac:dyDescent="0.25">
      <c r="R942" s="33"/>
      <c r="S942" s="33"/>
      <c r="T942" s="33"/>
      <c r="U942" s="33"/>
      <c r="V942" s="33"/>
      <c r="W942" s="33"/>
      <c r="X942" s="33"/>
      <c r="Y942" s="33"/>
      <c r="Z942" s="33"/>
      <c r="AA942" s="33"/>
      <c r="AB942" s="33"/>
      <c r="AC942" s="33"/>
      <c r="AD942" s="593"/>
    </row>
    <row r="943" spans="18:30" x14ac:dyDescent="0.25">
      <c r="R943" s="33"/>
      <c r="S943" s="33"/>
      <c r="T943" s="33"/>
      <c r="U943" s="33"/>
      <c r="V943" s="33"/>
      <c r="W943" s="33"/>
      <c r="X943" s="33"/>
      <c r="Y943" s="33"/>
      <c r="Z943" s="33"/>
      <c r="AA943" s="33"/>
      <c r="AB943" s="33"/>
      <c r="AC943" s="33"/>
      <c r="AD943" s="593"/>
    </row>
    <row r="944" spans="18:30" x14ac:dyDescent="0.25">
      <c r="R944" s="33"/>
      <c r="S944" s="33"/>
      <c r="T944" s="33"/>
      <c r="U944" s="33"/>
      <c r="V944" s="33"/>
      <c r="W944" s="33"/>
      <c r="X944" s="33"/>
      <c r="Y944" s="33"/>
      <c r="Z944" s="33"/>
      <c r="AA944" s="33"/>
      <c r="AB944" s="33"/>
      <c r="AC944" s="33"/>
      <c r="AD944" s="593"/>
    </row>
    <row r="945" spans="18:30" x14ac:dyDescent="0.25">
      <c r="R945" s="33"/>
      <c r="S945" s="33"/>
      <c r="T945" s="33"/>
      <c r="U945" s="33"/>
      <c r="V945" s="33"/>
      <c r="W945" s="33"/>
      <c r="X945" s="33"/>
      <c r="Y945" s="33"/>
      <c r="Z945" s="33"/>
      <c r="AA945" s="33"/>
      <c r="AB945" s="33"/>
      <c r="AC945" s="33"/>
      <c r="AD945" s="593"/>
    </row>
    <row r="946" spans="18:30" x14ac:dyDescent="0.25">
      <c r="R946" s="33"/>
      <c r="S946" s="33"/>
      <c r="T946" s="33"/>
      <c r="U946" s="33"/>
      <c r="V946" s="33"/>
      <c r="W946" s="33"/>
      <c r="X946" s="33"/>
      <c r="Y946" s="33"/>
      <c r="Z946" s="33"/>
      <c r="AA946" s="33"/>
      <c r="AB946" s="33"/>
      <c r="AC946" s="33"/>
      <c r="AD946" s="593"/>
    </row>
    <row r="947" spans="18:30" x14ac:dyDescent="0.25">
      <c r="R947" s="33"/>
      <c r="S947" s="33"/>
      <c r="T947" s="33"/>
      <c r="U947" s="33"/>
      <c r="V947" s="33"/>
      <c r="W947" s="33"/>
      <c r="X947" s="33"/>
      <c r="Y947" s="33"/>
      <c r="Z947" s="33"/>
      <c r="AA947" s="33"/>
      <c r="AB947" s="33"/>
      <c r="AC947" s="33"/>
      <c r="AD947" s="593"/>
    </row>
    <row r="948" spans="18:30" x14ac:dyDescent="0.25">
      <c r="R948" s="33"/>
      <c r="S948" s="33"/>
      <c r="T948" s="33"/>
      <c r="U948" s="33"/>
      <c r="V948" s="33"/>
      <c r="W948" s="33"/>
      <c r="X948" s="33"/>
      <c r="Y948" s="33"/>
      <c r="Z948" s="33"/>
      <c r="AA948" s="33"/>
      <c r="AB948" s="33"/>
      <c r="AC948" s="33"/>
      <c r="AD948" s="593"/>
    </row>
    <row r="949" spans="18:30" x14ac:dyDescent="0.25">
      <c r="R949" s="33"/>
      <c r="S949" s="33"/>
      <c r="T949" s="33"/>
      <c r="U949" s="33"/>
      <c r="V949" s="33"/>
      <c r="W949" s="33"/>
      <c r="X949" s="33"/>
      <c r="Y949" s="33"/>
      <c r="Z949" s="33"/>
      <c r="AA949" s="33"/>
      <c r="AB949" s="33"/>
      <c r="AC949" s="33"/>
      <c r="AD949" s="593"/>
    </row>
    <row r="950" spans="18:30" x14ac:dyDescent="0.25">
      <c r="R950" s="33"/>
      <c r="S950" s="33"/>
      <c r="T950" s="33"/>
      <c r="U950" s="33"/>
      <c r="V950" s="33"/>
      <c r="W950" s="33"/>
      <c r="X950" s="33"/>
      <c r="Y950" s="33"/>
      <c r="Z950" s="33"/>
      <c r="AA950" s="33"/>
      <c r="AB950" s="33"/>
      <c r="AC950" s="33"/>
      <c r="AD950" s="593"/>
    </row>
    <row r="951" spans="18:30" x14ac:dyDescent="0.25">
      <c r="R951" s="33"/>
      <c r="S951" s="33"/>
      <c r="T951" s="33"/>
      <c r="U951" s="33"/>
      <c r="V951" s="33"/>
      <c r="W951" s="33"/>
      <c r="X951" s="33"/>
      <c r="Y951" s="33"/>
      <c r="Z951" s="33"/>
      <c r="AA951" s="33"/>
      <c r="AB951" s="33"/>
      <c r="AC951" s="33"/>
      <c r="AD951" s="593"/>
    </row>
    <row r="952" spans="18:30" x14ac:dyDescent="0.25">
      <c r="R952" s="33"/>
      <c r="S952" s="33"/>
      <c r="T952" s="33"/>
      <c r="U952" s="33"/>
      <c r="V952" s="33"/>
      <c r="W952" s="33"/>
      <c r="X952" s="33"/>
      <c r="Y952" s="33"/>
      <c r="Z952" s="33"/>
      <c r="AA952" s="33"/>
      <c r="AB952" s="33"/>
      <c r="AC952" s="33"/>
      <c r="AD952" s="593"/>
    </row>
    <row r="953" spans="18:30" x14ac:dyDescent="0.25">
      <c r="R953" s="33"/>
      <c r="S953" s="33"/>
      <c r="T953" s="33"/>
      <c r="U953" s="33"/>
      <c r="V953" s="33"/>
      <c r="W953" s="33"/>
      <c r="X953" s="33"/>
      <c r="Y953" s="33"/>
      <c r="Z953" s="33"/>
      <c r="AA953" s="33"/>
      <c r="AB953" s="33"/>
      <c r="AC953" s="33"/>
      <c r="AD953" s="593"/>
    </row>
    <row r="954" spans="18:30" x14ac:dyDescent="0.25">
      <c r="R954" s="33"/>
      <c r="S954" s="33"/>
      <c r="T954" s="33"/>
      <c r="U954" s="33"/>
      <c r="V954" s="33"/>
      <c r="W954" s="33"/>
      <c r="X954" s="33"/>
      <c r="Y954" s="33"/>
      <c r="Z954" s="33"/>
      <c r="AA954" s="33"/>
      <c r="AB954" s="33"/>
      <c r="AC954" s="33"/>
      <c r="AD954" s="593"/>
    </row>
    <row r="955" spans="18:30" x14ac:dyDescent="0.25">
      <c r="R955" s="33"/>
      <c r="S955" s="33"/>
      <c r="T955" s="33"/>
      <c r="U955" s="33"/>
      <c r="V955" s="33"/>
      <c r="W955" s="33"/>
      <c r="X955" s="33"/>
      <c r="Y955" s="33"/>
      <c r="Z955" s="33"/>
      <c r="AA955" s="33"/>
      <c r="AB955" s="33"/>
      <c r="AC955" s="33"/>
      <c r="AD955" s="593"/>
    </row>
    <row r="956" spans="18:30" x14ac:dyDescent="0.25">
      <c r="R956" s="33"/>
      <c r="S956" s="33"/>
      <c r="T956" s="33"/>
      <c r="U956" s="33"/>
      <c r="V956" s="33"/>
      <c r="W956" s="33"/>
      <c r="X956" s="33"/>
      <c r="Y956" s="33"/>
      <c r="Z956" s="33"/>
      <c r="AA956" s="33"/>
      <c r="AB956" s="33"/>
      <c r="AC956" s="33"/>
      <c r="AD956" s="593"/>
    </row>
    <row r="957" spans="18:30" x14ac:dyDescent="0.25">
      <c r="R957" s="33"/>
      <c r="S957" s="33"/>
      <c r="T957" s="33"/>
      <c r="U957" s="33"/>
      <c r="V957" s="33"/>
      <c r="W957" s="33"/>
      <c r="X957" s="33"/>
      <c r="Y957" s="33"/>
      <c r="Z957" s="33"/>
      <c r="AA957" s="33"/>
      <c r="AB957" s="33"/>
      <c r="AC957" s="33"/>
      <c r="AD957" s="593"/>
    </row>
    <row r="958" spans="18:30" x14ac:dyDescent="0.25">
      <c r="R958" s="33"/>
      <c r="S958" s="33"/>
      <c r="T958" s="33"/>
      <c r="U958" s="33"/>
      <c r="V958" s="33"/>
      <c r="W958" s="33"/>
      <c r="X958" s="33"/>
      <c r="Y958" s="33"/>
      <c r="Z958" s="33"/>
      <c r="AA958" s="33"/>
      <c r="AB958" s="33"/>
      <c r="AC958" s="33"/>
      <c r="AD958" s="593"/>
    </row>
    <row r="959" spans="18:30" x14ac:dyDescent="0.25">
      <c r="R959" s="33"/>
      <c r="S959" s="33"/>
      <c r="T959" s="33"/>
      <c r="U959" s="33"/>
      <c r="V959" s="33"/>
      <c r="W959" s="33"/>
      <c r="X959" s="33"/>
      <c r="Y959" s="33"/>
      <c r="Z959" s="33"/>
      <c r="AA959" s="33"/>
      <c r="AB959" s="33"/>
      <c r="AC959" s="33"/>
      <c r="AD959" s="593"/>
    </row>
    <row r="960" spans="18:30" x14ac:dyDescent="0.25">
      <c r="R960" s="33"/>
      <c r="S960" s="33"/>
      <c r="T960" s="33"/>
      <c r="U960" s="33"/>
      <c r="V960" s="33"/>
      <c r="W960" s="33"/>
      <c r="X960" s="33"/>
      <c r="Y960" s="33"/>
      <c r="Z960" s="33"/>
      <c r="AA960" s="33"/>
      <c r="AB960" s="33"/>
      <c r="AC960" s="33"/>
      <c r="AD960" s="593"/>
    </row>
    <row r="961" spans="18:30" x14ac:dyDescent="0.25">
      <c r="R961" s="33"/>
      <c r="S961" s="33"/>
      <c r="T961" s="33"/>
      <c r="U961" s="33"/>
      <c r="V961" s="33"/>
      <c r="W961" s="33"/>
      <c r="X961" s="33"/>
      <c r="Y961" s="33"/>
      <c r="Z961" s="33"/>
      <c r="AA961" s="33"/>
      <c r="AB961" s="33"/>
      <c r="AC961" s="33"/>
      <c r="AD961" s="593"/>
    </row>
    <row r="962" spans="18:30" x14ac:dyDescent="0.25">
      <c r="R962" s="33"/>
      <c r="S962" s="33"/>
      <c r="T962" s="33"/>
      <c r="U962" s="33"/>
      <c r="V962" s="33"/>
      <c r="W962" s="33"/>
      <c r="X962" s="33"/>
      <c r="Y962" s="33"/>
      <c r="Z962" s="33"/>
      <c r="AA962" s="33"/>
      <c r="AB962" s="33"/>
      <c r="AC962" s="33"/>
      <c r="AD962" s="593"/>
    </row>
    <row r="963" spans="18:30" x14ac:dyDescent="0.25">
      <c r="R963" s="33"/>
      <c r="S963" s="33"/>
      <c r="T963" s="33"/>
      <c r="U963" s="33"/>
      <c r="V963" s="33"/>
      <c r="W963" s="33"/>
      <c r="X963" s="33"/>
      <c r="Y963" s="33"/>
      <c r="Z963" s="33"/>
      <c r="AA963" s="33"/>
      <c r="AB963" s="33"/>
      <c r="AC963" s="33"/>
      <c r="AD963" s="593"/>
    </row>
    <row r="964" spans="18:30" x14ac:dyDescent="0.25">
      <c r="R964" s="33"/>
      <c r="S964" s="33"/>
      <c r="T964" s="33"/>
      <c r="U964" s="33"/>
      <c r="V964" s="33"/>
      <c r="W964" s="33"/>
      <c r="X964" s="33"/>
      <c r="Y964" s="33"/>
      <c r="Z964" s="33"/>
      <c r="AA964" s="33"/>
      <c r="AB964" s="33"/>
      <c r="AC964" s="33"/>
      <c r="AD964" s="593"/>
    </row>
    <row r="965" spans="18:30" x14ac:dyDescent="0.25">
      <c r="R965" s="33"/>
      <c r="S965" s="33"/>
      <c r="T965" s="33"/>
      <c r="U965" s="33"/>
      <c r="V965" s="33"/>
      <c r="W965" s="33"/>
      <c r="X965" s="33"/>
      <c r="Y965" s="33"/>
      <c r="Z965" s="33"/>
      <c r="AA965" s="33"/>
      <c r="AB965" s="33"/>
      <c r="AC965" s="33"/>
      <c r="AD965" s="593"/>
    </row>
    <row r="966" spans="18:30" x14ac:dyDescent="0.25">
      <c r="R966" s="33"/>
      <c r="S966" s="33"/>
      <c r="T966" s="33"/>
      <c r="U966" s="33"/>
      <c r="V966" s="33"/>
      <c r="W966" s="33"/>
      <c r="X966" s="33"/>
      <c r="Y966" s="33"/>
      <c r="Z966" s="33"/>
      <c r="AA966" s="33"/>
      <c r="AB966" s="33"/>
      <c r="AC966" s="33"/>
      <c r="AD966" s="593"/>
    </row>
    <row r="967" spans="18:30" x14ac:dyDescent="0.25">
      <c r="R967" s="33"/>
      <c r="S967" s="33"/>
      <c r="T967" s="33"/>
      <c r="U967" s="33"/>
      <c r="V967" s="33"/>
      <c r="W967" s="33"/>
      <c r="X967" s="33"/>
      <c r="Y967" s="33"/>
      <c r="Z967" s="33"/>
      <c r="AA967" s="33"/>
      <c r="AB967" s="33"/>
      <c r="AC967" s="33"/>
      <c r="AD967" s="593"/>
    </row>
    <row r="968" spans="18:30" x14ac:dyDescent="0.25">
      <c r="R968" s="33"/>
      <c r="S968" s="33"/>
      <c r="T968" s="33"/>
      <c r="U968" s="33"/>
      <c r="V968" s="33"/>
      <c r="W968" s="33"/>
      <c r="X968" s="33"/>
      <c r="Y968" s="33"/>
      <c r="Z968" s="33"/>
      <c r="AA968" s="33"/>
      <c r="AB968" s="33"/>
      <c r="AC968" s="33"/>
      <c r="AD968" s="593"/>
    </row>
    <row r="969" spans="18:30" x14ac:dyDescent="0.25">
      <c r="R969" s="33"/>
      <c r="S969" s="33"/>
      <c r="T969" s="33"/>
      <c r="U969" s="33"/>
      <c r="V969" s="33"/>
      <c r="W969" s="33"/>
      <c r="X969" s="33"/>
      <c r="Y969" s="33"/>
      <c r="Z969" s="33"/>
      <c r="AA969" s="33"/>
      <c r="AB969" s="33"/>
      <c r="AC969" s="33"/>
      <c r="AD969" s="593"/>
    </row>
    <row r="970" spans="18:30" x14ac:dyDescent="0.25">
      <c r="R970" s="33"/>
      <c r="S970" s="33"/>
      <c r="T970" s="33"/>
      <c r="U970" s="33"/>
      <c r="V970" s="33"/>
      <c r="W970" s="33"/>
      <c r="X970" s="33"/>
      <c r="Y970" s="33"/>
      <c r="Z970" s="33"/>
      <c r="AA970" s="33"/>
      <c r="AB970" s="33"/>
      <c r="AC970" s="33"/>
      <c r="AD970" s="593"/>
    </row>
    <row r="971" spans="18:30" x14ac:dyDescent="0.25">
      <c r="R971" s="33"/>
      <c r="S971" s="33"/>
      <c r="T971" s="33"/>
      <c r="U971" s="33"/>
      <c r="V971" s="33"/>
      <c r="W971" s="33"/>
      <c r="X971" s="33"/>
      <c r="Y971" s="33"/>
      <c r="Z971" s="33"/>
      <c r="AA971" s="33"/>
      <c r="AB971" s="33"/>
      <c r="AC971" s="33"/>
      <c r="AD971" s="593"/>
    </row>
    <row r="972" spans="18:30" x14ac:dyDescent="0.25">
      <c r="R972" s="33"/>
      <c r="S972" s="33"/>
      <c r="T972" s="33"/>
      <c r="U972" s="33"/>
      <c r="V972" s="33"/>
      <c r="W972" s="33"/>
      <c r="X972" s="33"/>
      <c r="Y972" s="33"/>
      <c r="Z972" s="33"/>
      <c r="AA972" s="33"/>
      <c r="AB972" s="33"/>
      <c r="AC972" s="33"/>
      <c r="AD972" s="593"/>
    </row>
    <row r="973" spans="18:30" x14ac:dyDescent="0.25">
      <c r="R973" s="33"/>
      <c r="S973" s="33"/>
      <c r="T973" s="33"/>
      <c r="U973" s="33"/>
      <c r="V973" s="33"/>
      <c r="W973" s="33"/>
      <c r="X973" s="33"/>
      <c r="Y973" s="33"/>
      <c r="Z973" s="33"/>
      <c r="AA973" s="33"/>
      <c r="AB973" s="33"/>
      <c r="AC973" s="33"/>
      <c r="AD973" s="593"/>
    </row>
    <row r="974" spans="18:30" x14ac:dyDescent="0.25">
      <c r="R974" s="33"/>
      <c r="S974" s="33"/>
      <c r="T974" s="33"/>
      <c r="U974" s="33"/>
      <c r="V974" s="33"/>
      <c r="W974" s="33"/>
      <c r="X974" s="33"/>
      <c r="Y974" s="33"/>
      <c r="Z974" s="33"/>
      <c r="AA974" s="33"/>
      <c r="AB974" s="33"/>
      <c r="AC974" s="33"/>
      <c r="AD974" s="593"/>
    </row>
    <row r="975" spans="18:30" x14ac:dyDescent="0.25">
      <c r="R975" s="33"/>
      <c r="S975" s="33"/>
      <c r="T975" s="33"/>
      <c r="U975" s="33"/>
      <c r="V975" s="33"/>
      <c r="W975" s="33"/>
      <c r="X975" s="33"/>
      <c r="Y975" s="33"/>
      <c r="Z975" s="33"/>
      <c r="AA975" s="33"/>
      <c r="AB975" s="33"/>
      <c r="AC975" s="33"/>
      <c r="AD975" s="593"/>
    </row>
    <row r="976" spans="18:30" x14ac:dyDescent="0.25">
      <c r="R976" s="33"/>
      <c r="S976" s="33"/>
      <c r="T976" s="33"/>
      <c r="U976" s="33"/>
      <c r="V976" s="33"/>
      <c r="W976" s="33"/>
      <c r="X976" s="33"/>
      <c r="Y976" s="33"/>
      <c r="Z976" s="33"/>
      <c r="AA976" s="33"/>
      <c r="AB976" s="33"/>
      <c r="AC976" s="33"/>
      <c r="AD976" s="593"/>
    </row>
    <row r="977" spans="18:30" x14ac:dyDescent="0.25">
      <c r="R977" s="33"/>
      <c r="S977" s="33"/>
      <c r="T977" s="33"/>
      <c r="U977" s="33"/>
      <c r="V977" s="33"/>
      <c r="W977" s="33"/>
      <c r="X977" s="33"/>
      <c r="Y977" s="33"/>
      <c r="Z977" s="33"/>
      <c r="AA977" s="33"/>
      <c r="AB977" s="33"/>
      <c r="AC977" s="33"/>
      <c r="AD977" s="593"/>
    </row>
    <row r="978" spans="18:30" x14ac:dyDescent="0.25">
      <c r="R978" s="33"/>
      <c r="S978" s="33"/>
      <c r="T978" s="33"/>
      <c r="U978" s="33"/>
      <c r="V978" s="33"/>
      <c r="W978" s="33"/>
      <c r="X978" s="33"/>
      <c r="Y978" s="33"/>
      <c r="Z978" s="33"/>
      <c r="AA978" s="33"/>
      <c r="AB978" s="33"/>
      <c r="AC978" s="33"/>
      <c r="AD978" s="593"/>
    </row>
    <row r="979" spans="18:30" x14ac:dyDescent="0.25">
      <c r="R979" s="33"/>
      <c r="S979" s="33"/>
      <c r="T979" s="33"/>
      <c r="U979" s="33"/>
      <c r="V979" s="33"/>
      <c r="W979" s="33"/>
      <c r="X979" s="33"/>
      <c r="Y979" s="33"/>
      <c r="Z979" s="33"/>
      <c r="AA979" s="33"/>
      <c r="AB979" s="33"/>
      <c r="AC979" s="33"/>
      <c r="AD979" s="593"/>
    </row>
    <row r="980" spans="18:30" x14ac:dyDescent="0.25">
      <c r="R980" s="33"/>
      <c r="S980" s="33"/>
      <c r="T980" s="33"/>
      <c r="U980" s="33"/>
      <c r="V980" s="33"/>
      <c r="W980" s="33"/>
      <c r="X980" s="33"/>
      <c r="Y980" s="33"/>
      <c r="Z980" s="33"/>
      <c r="AA980" s="33"/>
      <c r="AB980" s="33"/>
      <c r="AC980" s="33"/>
      <c r="AD980" s="593"/>
    </row>
    <row r="981" spans="18:30" x14ac:dyDescent="0.25">
      <c r="R981" s="33"/>
      <c r="S981" s="33"/>
      <c r="T981" s="33"/>
      <c r="U981" s="33"/>
      <c r="V981" s="33"/>
      <c r="W981" s="33"/>
      <c r="X981" s="33"/>
      <c r="Y981" s="33"/>
      <c r="Z981" s="33"/>
      <c r="AA981" s="33"/>
      <c r="AB981" s="33"/>
      <c r="AC981" s="33"/>
      <c r="AD981" s="593"/>
    </row>
    <row r="982" spans="18:30" x14ac:dyDescent="0.25">
      <c r="R982" s="33"/>
      <c r="S982" s="33"/>
      <c r="T982" s="33"/>
      <c r="U982" s="33"/>
      <c r="V982" s="33"/>
      <c r="W982" s="33"/>
      <c r="X982" s="33"/>
      <c r="Y982" s="33"/>
      <c r="Z982" s="33"/>
      <c r="AA982" s="33"/>
      <c r="AB982" s="33"/>
      <c r="AC982" s="33"/>
      <c r="AD982" s="593"/>
    </row>
    <row r="983" spans="18:30" x14ac:dyDescent="0.25">
      <c r="R983" s="33"/>
      <c r="S983" s="33"/>
      <c r="T983" s="33"/>
      <c r="U983" s="33"/>
      <c r="V983" s="33"/>
      <c r="W983" s="33"/>
      <c r="X983" s="33"/>
      <c r="Y983" s="33"/>
      <c r="Z983" s="33"/>
      <c r="AA983" s="33"/>
      <c r="AB983" s="33"/>
      <c r="AC983" s="33"/>
      <c r="AD983" s="593"/>
    </row>
    <row r="984" spans="18:30" x14ac:dyDescent="0.25">
      <c r="R984" s="33"/>
      <c r="S984" s="33"/>
      <c r="T984" s="33"/>
      <c r="U984" s="33"/>
      <c r="V984" s="33"/>
      <c r="W984" s="33"/>
      <c r="X984" s="33"/>
      <c r="Y984" s="33"/>
      <c r="Z984" s="33"/>
      <c r="AA984" s="33"/>
      <c r="AB984" s="33"/>
      <c r="AC984" s="33"/>
      <c r="AD984" s="593"/>
    </row>
    <row r="985" spans="18:30" x14ac:dyDescent="0.25">
      <c r="R985" s="33"/>
      <c r="S985" s="33"/>
      <c r="T985" s="33"/>
      <c r="U985" s="33"/>
      <c r="V985" s="33"/>
      <c r="W985" s="33"/>
      <c r="X985" s="33"/>
      <c r="Y985" s="33"/>
      <c r="Z985" s="33"/>
      <c r="AA985" s="33"/>
      <c r="AB985" s="33"/>
      <c r="AC985" s="33"/>
      <c r="AD985" s="593"/>
    </row>
    <row r="986" spans="18:30" x14ac:dyDescent="0.25">
      <c r="R986" s="33"/>
      <c r="S986" s="33"/>
      <c r="T986" s="33"/>
      <c r="U986" s="33"/>
      <c r="V986" s="33"/>
      <c r="W986" s="33"/>
      <c r="X986" s="33"/>
      <c r="Y986" s="33"/>
      <c r="Z986" s="33"/>
      <c r="AA986" s="33"/>
      <c r="AB986" s="33"/>
      <c r="AC986" s="33"/>
      <c r="AD986" s="593"/>
    </row>
    <row r="987" spans="18:30" x14ac:dyDescent="0.25">
      <c r="R987" s="33"/>
      <c r="S987" s="33"/>
      <c r="T987" s="33"/>
      <c r="U987" s="33"/>
      <c r="V987" s="33"/>
      <c r="W987" s="33"/>
      <c r="X987" s="33"/>
      <c r="Y987" s="33"/>
      <c r="Z987" s="33"/>
      <c r="AA987" s="33"/>
      <c r="AB987" s="33"/>
      <c r="AC987" s="33"/>
      <c r="AD987" s="593"/>
    </row>
    <row r="988" spans="18:30" x14ac:dyDescent="0.25">
      <c r="R988" s="33"/>
      <c r="S988" s="33"/>
      <c r="T988" s="33"/>
      <c r="U988" s="33"/>
      <c r="V988" s="33"/>
      <c r="W988" s="33"/>
      <c r="X988" s="33"/>
      <c r="Y988" s="33"/>
      <c r="Z988" s="33"/>
      <c r="AA988" s="33"/>
      <c r="AB988" s="33"/>
      <c r="AC988" s="33"/>
      <c r="AD988" s="593"/>
    </row>
    <row r="989" spans="18:30" x14ac:dyDescent="0.25">
      <c r="R989" s="33"/>
      <c r="S989" s="33"/>
      <c r="T989" s="33"/>
      <c r="U989" s="33"/>
      <c r="V989" s="33"/>
      <c r="W989" s="33"/>
      <c r="X989" s="33"/>
      <c r="Y989" s="33"/>
      <c r="Z989" s="33"/>
      <c r="AA989" s="33"/>
      <c r="AB989" s="33"/>
      <c r="AC989" s="33"/>
      <c r="AD989" s="593"/>
    </row>
    <row r="990" spans="18:30" x14ac:dyDescent="0.25">
      <c r="R990" s="33"/>
      <c r="S990" s="33"/>
      <c r="T990" s="33"/>
      <c r="U990" s="33"/>
      <c r="V990" s="33"/>
      <c r="W990" s="33"/>
      <c r="X990" s="33"/>
      <c r="Y990" s="33"/>
      <c r="Z990" s="33"/>
      <c r="AA990" s="33"/>
      <c r="AB990" s="33"/>
      <c r="AC990" s="33"/>
      <c r="AD990" s="593"/>
    </row>
    <row r="991" spans="18:30" x14ac:dyDescent="0.25">
      <c r="R991" s="33"/>
      <c r="S991" s="33"/>
      <c r="T991" s="33"/>
      <c r="U991" s="33"/>
      <c r="V991" s="33"/>
      <c r="W991" s="33"/>
      <c r="X991" s="33"/>
      <c r="Y991" s="33"/>
      <c r="Z991" s="33"/>
      <c r="AA991" s="33"/>
      <c r="AB991" s="33"/>
      <c r="AC991" s="33"/>
      <c r="AD991" s="593"/>
    </row>
    <row r="992" spans="18:30" x14ac:dyDescent="0.25">
      <c r="R992" s="33"/>
      <c r="S992" s="33"/>
      <c r="T992" s="33"/>
      <c r="U992" s="33"/>
      <c r="V992" s="33"/>
      <c r="W992" s="33"/>
      <c r="X992" s="33"/>
      <c r="Y992" s="33"/>
      <c r="Z992" s="33"/>
      <c r="AA992" s="33"/>
      <c r="AB992" s="33"/>
      <c r="AC992" s="33"/>
      <c r="AD992" s="593"/>
    </row>
    <row r="993" spans="18:30" x14ac:dyDescent="0.25">
      <c r="R993" s="33"/>
      <c r="S993" s="33"/>
      <c r="T993" s="33"/>
      <c r="U993" s="33"/>
      <c r="V993" s="33"/>
      <c r="W993" s="33"/>
      <c r="X993" s="33"/>
      <c r="Y993" s="33"/>
      <c r="Z993" s="33"/>
      <c r="AA993" s="33"/>
      <c r="AB993" s="33"/>
      <c r="AC993" s="33"/>
      <c r="AD993" s="593"/>
    </row>
    <row r="994" spans="18:30" x14ac:dyDescent="0.25">
      <c r="R994" s="33"/>
      <c r="S994" s="33"/>
      <c r="T994" s="33"/>
      <c r="U994" s="33"/>
      <c r="V994" s="33"/>
      <c r="W994" s="33"/>
      <c r="X994" s="33"/>
      <c r="Y994" s="33"/>
      <c r="Z994" s="33"/>
      <c r="AA994" s="33"/>
      <c r="AB994" s="33"/>
      <c r="AC994" s="33"/>
      <c r="AD994" s="593"/>
    </row>
    <row r="995" spans="18:30" x14ac:dyDescent="0.25">
      <c r="R995" s="33"/>
      <c r="S995" s="33"/>
      <c r="T995" s="33"/>
      <c r="U995" s="33"/>
      <c r="V995" s="33"/>
      <c r="W995" s="33"/>
      <c r="X995" s="33"/>
      <c r="Y995" s="33"/>
      <c r="Z995" s="33"/>
      <c r="AA995" s="33"/>
      <c r="AB995" s="33"/>
      <c r="AC995" s="33"/>
      <c r="AD995" s="593"/>
    </row>
    <row r="996" spans="18:30" x14ac:dyDescent="0.25">
      <c r="R996" s="33"/>
      <c r="S996" s="33"/>
      <c r="T996" s="33"/>
      <c r="U996" s="33"/>
      <c r="V996" s="33"/>
      <c r="W996" s="33"/>
      <c r="X996" s="33"/>
      <c r="Y996" s="33"/>
      <c r="Z996" s="33"/>
      <c r="AA996" s="33"/>
      <c r="AB996" s="33"/>
      <c r="AC996" s="33"/>
      <c r="AD996" s="593"/>
    </row>
    <row r="997" spans="18:30" x14ac:dyDescent="0.25">
      <c r="R997" s="33"/>
      <c r="S997" s="33"/>
      <c r="T997" s="33"/>
      <c r="U997" s="33"/>
      <c r="V997" s="33"/>
      <c r="W997" s="33"/>
      <c r="X997" s="33"/>
      <c r="Y997" s="33"/>
      <c r="Z997" s="33"/>
      <c r="AA997" s="33"/>
      <c r="AB997" s="33"/>
      <c r="AC997" s="33"/>
      <c r="AD997" s="593"/>
    </row>
    <row r="998" spans="18:30" x14ac:dyDescent="0.25">
      <c r="R998" s="33"/>
      <c r="S998" s="33"/>
      <c r="T998" s="33"/>
      <c r="U998" s="33"/>
      <c r="V998" s="33"/>
      <c r="W998" s="33"/>
      <c r="X998" s="33"/>
      <c r="Y998" s="33"/>
      <c r="Z998" s="33"/>
      <c r="AA998" s="33"/>
      <c r="AB998" s="33"/>
      <c r="AC998" s="33"/>
      <c r="AD998" s="593"/>
    </row>
    <row r="999" spans="18:30" x14ac:dyDescent="0.25">
      <c r="R999" s="33"/>
      <c r="S999" s="33"/>
      <c r="T999" s="33"/>
      <c r="U999" s="33"/>
      <c r="V999" s="33"/>
      <c r="W999" s="33"/>
      <c r="X999" s="33"/>
      <c r="Y999" s="33"/>
      <c r="Z999" s="33"/>
      <c r="AA999" s="33"/>
      <c r="AB999" s="33"/>
      <c r="AC999" s="33"/>
      <c r="AD999" s="593"/>
    </row>
    <row r="1000" spans="18:30" x14ac:dyDescent="0.25">
      <c r="R1000" s="33"/>
      <c r="S1000" s="33"/>
      <c r="T1000" s="33"/>
      <c r="U1000" s="33"/>
      <c r="V1000" s="33"/>
      <c r="W1000" s="33"/>
      <c r="X1000" s="33"/>
      <c r="Y1000" s="33"/>
      <c r="Z1000" s="33"/>
      <c r="AA1000" s="33"/>
      <c r="AB1000" s="33"/>
      <c r="AC1000" s="33"/>
      <c r="AD1000" s="593"/>
    </row>
    <row r="1001" spans="18:30" x14ac:dyDescent="0.25">
      <c r="R1001" s="33"/>
      <c r="S1001" s="33"/>
      <c r="T1001" s="33"/>
      <c r="U1001" s="33"/>
      <c r="V1001" s="33"/>
      <c r="W1001" s="33"/>
      <c r="X1001" s="33"/>
      <c r="Y1001" s="33"/>
      <c r="Z1001" s="33"/>
      <c r="AA1001" s="33"/>
      <c r="AB1001" s="33"/>
      <c r="AC1001" s="33"/>
      <c r="AD1001" s="593"/>
    </row>
    <row r="1002" spans="18:30" x14ac:dyDescent="0.25">
      <c r="R1002" s="33"/>
      <c r="S1002" s="33"/>
      <c r="T1002" s="33"/>
      <c r="U1002" s="33"/>
      <c r="V1002" s="33"/>
      <c r="W1002" s="33"/>
      <c r="X1002" s="33"/>
      <c r="Y1002" s="33"/>
      <c r="Z1002" s="33"/>
      <c r="AA1002" s="33"/>
      <c r="AB1002" s="33"/>
      <c r="AC1002" s="33"/>
      <c r="AD1002" s="593"/>
    </row>
    <row r="1003" spans="18:30" x14ac:dyDescent="0.25">
      <c r="R1003" s="33"/>
      <c r="S1003" s="33"/>
      <c r="T1003" s="33"/>
      <c r="U1003" s="33"/>
      <c r="V1003" s="33"/>
      <c r="W1003" s="33"/>
      <c r="X1003" s="33"/>
      <c r="Y1003" s="33"/>
      <c r="Z1003" s="33"/>
      <c r="AA1003" s="33"/>
      <c r="AB1003" s="33"/>
      <c r="AC1003" s="33"/>
      <c r="AD1003" s="593"/>
    </row>
    <row r="1004" spans="18:30" x14ac:dyDescent="0.25">
      <c r="R1004" s="33"/>
      <c r="S1004" s="33"/>
      <c r="T1004" s="33"/>
      <c r="U1004" s="33"/>
      <c r="V1004" s="33"/>
      <c r="W1004" s="33"/>
      <c r="X1004" s="33"/>
      <c r="Y1004" s="33"/>
      <c r="Z1004" s="33"/>
      <c r="AA1004" s="33"/>
      <c r="AB1004" s="33"/>
      <c r="AC1004" s="33"/>
      <c r="AD1004" s="593"/>
    </row>
    <row r="1005" spans="18:30" x14ac:dyDescent="0.25">
      <c r="R1005" s="33"/>
      <c r="S1005" s="33"/>
      <c r="T1005" s="33"/>
      <c r="U1005" s="33"/>
      <c r="V1005" s="33"/>
      <c r="W1005" s="33"/>
      <c r="X1005" s="33"/>
      <c r="Y1005" s="33"/>
      <c r="Z1005" s="33"/>
      <c r="AA1005" s="33"/>
      <c r="AB1005" s="33"/>
      <c r="AC1005" s="33"/>
      <c r="AD1005" s="593"/>
    </row>
    <row r="1006" spans="18:30" x14ac:dyDescent="0.25">
      <c r="R1006" s="33"/>
      <c r="S1006" s="33"/>
      <c r="T1006" s="33"/>
      <c r="U1006" s="33"/>
      <c r="V1006" s="33"/>
      <c r="W1006" s="33"/>
      <c r="X1006" s="33"/>
      <c r="Y1006" s="33"/>
      <c r="Z1006" s="33"/>
      <c r="AA1006" s="33"/>
      <c r="AB1006" s="33"/>
      <c r="AC1006" s="33"/>
      <c r="AD1006" s="593"/>
    </row>
    <row r="1007" spans="18:30" x14ac:dyDescent="0.25">
      <c r="R1007" s="33"/>
      <c r="S1007" s="33"/>
      <c r="T1007" s="33"/>
      <c r="U1007" s="33"/>
      <c r="V1007" s="33"/>
      <c r="W1007" s="33"/>
      <c r="X1007" s="33"/>
      <c r="Y1007" s="33"/>
      <c r="Z1007" s="33"/>
      <c r="AA1007" s="33"/>
      <c r="AB1007" s="33"/>
      <c r="AC1007" s="33"/>
      <c r="AD1007" s="593"/>
    </row>
    <row r="1008" spans="18:30" x14ac:dyDescent="0.25">
      <c r="R1008" s="33"/>
      <c r="S1008" s="33"/>
      <c r="T1008" s="33"/>
      <c r="U1008" s="33"/>
      <c r="V1008" s="33"/>
      <c r="W1008" s="33"/>
      <c r="X1008" s="33"/>
      <c r="Y1008" s="33"/>
      <c r="Z1008" s="33"/>
      <c r="AA1008" s="33"/>
      <c r="AB1008" s="33"/>
      <c r="AC1008" s="33"/>
      <c r="AD1008" s="593"/>
    </row>
    <row r="1009" spans="18:30" x14ac:dyDescent="0.25">
      <c r="R1009" s="33"/>
      <c r="S1009" s="33"/>
      <c r="T1009" s="33"/>
      <c r="U1009" s="33"/>
      <c r="V1009" s="33"/>
      <c r="W1009" s="33"/>
      <c r="X1009" s="33"/>
      <c r="Y1009" s="33"/>
      <c r="Z1009" s="33"/>
      <c r="AA1009" s="33"/>
      <c r="AB1009" s="33"/>
      <c r="AC1009" s="33"/>
      <c r="AD1009" s="593"/>
    </row>
    <row r="1010" spans="18:30" x14ac:dyDescent="0.25">
      <c r="R1010" s="33"/>
      <c r="S1010" s="33"/>
      <c r="T1010" s="33"/>
      <c r="U1010" s="33"/>
      <c r="V1010" s="33"/>
      <c r="W1010" s="33"/>
      <c r="X1010" s="33"/>
      <c r="Y1010" s="33"/>
      <c r="Z1010" s="33"/>
      <c r="AA1010" s="33"/>
      <c r="AB1010" s="33"/>
      <c r="AC1010" s="33"/>
      <c r="AD1010" s="593"/>
    </row>
    <row r="1011" spans="18:30" x14ac:dyDescent="0.25">
      <c r="R1011" s="33"/>
      <c r="S1011" s="33"/>
      <c r="T1011" s="33"/>
      <c r="U1011" s="33"/>
      <c r="V1011" s="33"/>
      <c r="W1011" s="33"/>
      <c r="X1011" s="33"/>
      <c r="Y1011" s="33"/>
      <c r="Z1011" s="33"/>
      <c r="AA1011" s="33"/>
      <c r="AB1011" s="33"/>
      <c r="AC1011" s="33"/>
      <c r="AD1011" s="593"/>
    </row>
    <row r="1012" spans="18:30" x14ac:dyDescent="0.25">
      <c r="R1012" s="33"/>
      <c r="S1012" s="33"/>
      <c r="T1012" s="33"/>
      <c r="U1012" s="33"/>
      <c r="V1012" s="33"/>
      <c r="W1012" s="33"/>
      <c r="X1012" s="33"/>
      <c r="Y1012" s="33"/>
      <c r="Z1012" s="33"/>
      <c r="AA1012" s="33"/>
      <c r="AB1012" s="33"/>
      <c r="AC1012" s="33"/>
      <c r="AD1012" s="593"/>
    </row>
    <row r="1013" spans="18:30" x14ac:dyDescent="0.25">
      <c r="R1013" s="33"/>
      <c r="S1013" s="33"/>
      <c r="T1013" s="33"/>
      <c r="U1013" s="33"/>
      <c r="V1013" s="33"/>
      <c r="W1013" s="33"/>
      <c r="X1013" s="33"/>
      <c r="Y1013" s="33"/>
      <c r="Z1013" s="33"/>
      <c r="AA1013" s="33"/>
      <c r="AB1013" s="33"/>
      <c r="AC1013" s="33"/>
      <c r="AD1013" s="593"/>
    </row>
    <row r="1014" spans="18:30" x14ac:dyDescent="0.25">
      <c r="R1014" s="33"/>
      <c r="S1014" s="33"/>
      <c r="T1014" s="33"/>
      <c r="U1014" s="33"/>
      <c r="V1014" s="33"/>
      <c r="W1014" s="33"/>
      <c r="X1014" s="33"/>
      <c r="Y1014" s="33"/>
      <c r="Z1014" s="33"/>
      <c r="AA1014" s="33"/>
      <c r="AB1014" s="33"/>
      <c r="AC1014" s="33"/>
      <c r="AD1014" s="593"/>
    </row>
    <row r="1015" spans="18:30" x14ac:dyDescent="0.25">
      <c r="R1015" s="33"/>
      <c r="S1015" s="33"/>
      <c r="T1015" s="33"/>
      <c r="U1015" s="33"/>
      <c r="V1015" s="33"/>
      <c r="W1015" s="33"/>
      <c r="X1015" s="33"/>
      <c r="Y1015" s="33"/>
      <c r="Z1015" s="33"/>
      <c r="AA1015" s="33"/>
      <c r="AB1015" s="33"/>
      <c r="AC1015" s="33"/>
      <c r="AD1015" s="593"/>
    </row>
    <row r="1016" spans="18:30" x14ac:dyDescent="0.25">
      <c r="R1016" s="33"/>
      <c r="S1016" s="33"/>
      <c r="T1016" s="33"/>
      <c r="U1016" s="33"/>
      <c r="V1016" s="33"/>
      <c r="W1016" s="33"/>
      <c r="X1016" s="33"/>
      <c r="Y1016" s="33"/>
      <c r="Z1016" s="33"/>
      <c r="AA1016" s="33"/>
      <c r="AB1016" s="33"/>
      <c r="AC1016" s="33"/>
      <c r="AD1016" s="593"/>
    </row>
    <row r="1017" spans="18:30" x14ac:dyDescent="0.25">
      <c r="R1017" s="33"/>
      <c r="S1017" s="33"/>
      <c r="T1017" s="33"/>
      <c r="U1017" s="33"/>
      <c r="V1017" s="33"/>
      <c r="W1017" s="33"/>
      <c r="X1017" s="33"/>
      <c r="Y1017" s="33"/>
      <c r="Z1017" s="33"/>
      <c r="AA1017" s="33"/>
      <c r="AB1017" s="33"/>
      <c r="AC1017" s="33"/>
      <c r="AD1017" s="593"/>
    </row>
    <row r="1018" spans="18:30" x14ac:dyDescent="0.25">
      <c r="R1018" s="33"/>
      <c r="S1018" s="33"/>
      <c r="T1018" s="33"/>
      <c r="U1018" s="33"/>
      <c r="V1018" s="33"/>
      <c r="W1018" s="33"/>
      <c r="X1018" s="33"/>
      <c r="Y1018" s="33"/>
      <c r="Z1018" s="33"/>
      <c r="AA1018" s="33"/>
      <c r="AB1018" s="33"/>
      <c r="AC1018" s="33"/>
      <c r="AD1018" s="593"/>
    </row>
    <row r="1019" spans="18:30" x14ac:dyDescent="0.25">
      <c r="R1019" s="33"/>
      <c r="S1019" s="33"/>
      <c r="T1019" s="33"/>
      <c r="U1019" s="33"/>
      <c r="V1019" s="33"/>
      <c r="W1019" s="33"/>
      <c r="X1019" s="33"/>
      <c r="Y1019" s="33"/>
      <c r="Z1019" s="33"/>
      <c r="AA1019" s="33"/>
      <c r="AB1019" s="33"/>
      <c r="AC1019" s="33"/>
      <c r="AD1019" s="593"/>
    </row>
    <row r="1020" spans="18:30" x14ac:dyDescent="0.25">
      <c r="R1020" s="33"/>
      <c r="S1020" s="33"/>
      <c r="T1020" s="33"/>
      <c r="U1020" s="33"/>
      <c r="V1020" s="33"/>
      <c r="W1020" s="33"/>
      <c r="X1020" s="33"/>
      <c r="Y1020" s="33"/>
      <c r="Z1020" s="33"/>
      <c r="AA1020" s="33"/>
      <c r="AB1020" s="33"/>
      <c r="AC1020" s="33"/>
      <c r="AD1020" s="593"/>
    </row>
    <row r="1021" spans="18:30" x14ac:dyDescent="0.25">
      <c r="R1021" s="33"/>
      <c r="S1021" s="33"/>
      <c r="T1021" s="33"/>
      <c r="U1021" s="33"/>
      <c r="V1021" s="33"/>
      <c r="W1021" s="33"/>
      <c r="X1021" s="33"/>
      <c r="Y1021" s="33"/>
      <c r="Z1021" s="33"/>
      <c r="AA1021" s="33"/>
      <c r="AB1021" s="33"/>
      <c r="AC1021" s="33"/>
      <c r="AD1021" s="593"/>
    </row>
    <row r="1022" spans="18:30" x14ac:dyDescent="0.25">
      <c r="R1022" s="33"/>
      <c r="S1022" s="33"/>
      <c r="T1022" s="33"/>
      <c r="U1022" s="33"/>
      <c r="V1022" s="33"/>
      <c r="W1022" s="33"/>
      <c r="X1022" s="33"/>
      <c r="Y1022" s="33"/>
      <c r="Z1022" s="33"/>
      <c r="AA1022" s="33"/>
      <c r="AB1022" s="33"/>
      <c r="AC1022" s="33"/>
      <c r="AD1022" s="593"/>
    </row>
    <row r="1023" spans="18:30" x14ac:dyDescent="0.25">
      <c r="R1023" s="33"/>
      <c r="S1023" s="33"/>
      <c r="T1023" s="33"/>
      <c r="U1023" s="33"/>
      <c r="V1023" s="33"/>
      <c r="W1023" s="33"/>
      <c r="X1023" s="33"/>
      <c r="Y1023" s="33"/>
      <c r="Z1023" s="33"/>
      <c r="AA1023" s="33"/>
      <c r="AB1023" s="33"/>
      <c r="AC1023" s="33"/>
      <c r="AD1023" s="593"/>
    </row>
    <row r="1024" spans="18:30" x14ac:dyDescent="0.25">
      <c r="R1024" s="33"/>
      <c r="S1024" s="33"/>
      <c r="T1024" s="33"/>
      <c r="U1024" s="33"/>
      <c r="V1024" s="33"/>
      <c r="W1024" s="33"/>
      <c r="X1024" s="33"/>
      <c r="Y1024" s="33"/>
      <c r="Z1024" s="33"/>
      <c r="AA1024" s="33"/>
      <c r="AB1024" s="33"/>
      <c r="AC1024" s="33"/>
      <c r="AD1024" s="593"/>
    </row>
    <row r="1025" spans="18:30" x14ac:dyDescent="0.25">
      <c r="R1025" s="33"/>
      <c r="S1025" s="33"/>
      <c r="T1025" s="33"/>
      <c r="U1025" s="33"/>
      <c r="V1025" s="33"/>
      <c r="W1025" s="33"/>
      <c r="X1025" s="33"/>
      <c r="Y1025" s="33"/>
      <c r="Z1025" s="33"/>
      <c r="AA1025" s="33"/>
      <c r="AB1025" s="33"/>
      <c r="AC1025" s="33"/>
      <c r="AD1025" s="593"/>
    </row>
    <row r="1026" spans="18:30" x14ac:dyDescent="0.25">
      <c r="R1026" s="33"/>
      <c r="S1026" s="33"/>
      <c r="T1026" s="33"/>
      <c r="U1026" s="33"/>
      <c r="V1026" s="33"/>
      <c r="W1026" s="33"/>
      <c r="X1026" s="33"/>
      <c r="Y1026" s="33"/>
      <c r="Z1026" s="33"/>
      <c r="AA1026" s="33"/>
      <c r="AB1026" s="33"/>
      <c r="AC1026" s="33"/>
      <c r="AD1026" s="593"/>
    </row>
    <row r="1027" spans="18:30" x14ac:dyDescent="0.25">
      <c r="R1027" s="33"/>
      <c r="S1027" s="33"/>
      <c r="T1027" s="33"/>
      <c r="U1027" s="33"/>
      <c r="V1027" s="33"/>
      <c r="W1027" s="33"/>
      <c r="X1027" s="33"/>
      <c r="Y1027" s="33"/>
      <c r="Z1027" s="33"/>
      <c r="AA1027" s="33"/>
      <c r="AB1027" s="33"/>
      <c r="AC1027" s="33"/>
      <c r="AD1027" s="593"/>
    </row>
    <row r="1028" spans="18:30" x14ac:dyDescent="0.25">
      <c r="R1028" s="33"/>
      <c r="S1028" s="33"/>
      <c r="T1028" s="33"/>
      <c r="U1028" s="33"/>
      <c r="V1028" s="33"/>
      <c r="W1028" s="33"/>
      <c r="X1028" s="33"/>
      <c r="Y1028" s="33"/>
      <c r="Z1028" s="33"/>
      <c r="AA1028" s="33"/>
      <c r="AB1028" s="33"/>
      <c r="AC1028" s="33"/>
      <c r="AD1028" s="593"/>
    </row>
    <row r="1029" spans="18:30" x14ac:dyDescent="0.25">
      <c r="R1029" s="33"/>
      <c r="S1029" s="33"/>
      <c r="T1029" s="33"/>
      <c r="U1029" s="33"/>
      <c r="V1029" s="33"/>
      <c r="W1029" s="33"/>
      <c r="X1029" s="33"/>
      <c r="Y1029" s="33"/>
      <c r="Z1029" s="33"/>
      <c r="AA1029" s="33"/>
      <c r="AB1029" s="33"/>
      <c r="AC1029" s="33"/>
      <c r="AD1029" s="593"/>
    </row>
    <row r="1030" spans="18:30" x14ac:dyDescent="0.25">
      <c r="R1030" s="33"/>
      <c r="S1030" s="33"/>
      <c r="T1030" s="33"/>
      <c r="U1030" s="33"/>
      <c r="V1030" s="33"/>
      <c r="W1030" s="33"/>
      <c r="X1030" s="33"/>
      <c r="Y1030" s="33"/>
      <c r="Z1030" s="33"/>
      <c r="AA1030" s="33"/>
      <c r="AB1030" s="33"/>
      <c r="AC1030" s="33"/>
      <c r="AD1030" s="593"/>
    </row>
    <row r="1031" spans="18:30" x14ac:dyDescent="0.25">
      <c r="R1031" s="33"/>
      <c r="S1031" s="33"/>
      <c r="T1031" s="33"/>
      <c r="U1031" s="33"/>
      <c r="V1031" s="33"/>
      <c r="W1031" s="33"/>
      <c r="X1031" s="33"/>
      <c r="Y1031" s="33"/>
      <c r="Z1031" s="33"/>
      <c r="AA1031" s="33"/>
      <c r="AB1031" s="33"/>
      <c r="AC1031" s="33"/>
      <c r="AD1031" s="593"/>
    </row>
    <row r="1032" spans="18:30" x14ac:dyDescent="0.25">
      <c r="R1032" s="33"/>
      <c r="S1032" s="33"/>
      <c r="T1032" s="33"/>
      <c r="U1032" s="33"/>
      <c r="V1032" s="33"/>
      <c r="W1032" s="33"/>
      <c r="X1032" s="33"/>
      <c r="Y1032" s="33"/>
      <c r="Z1032" s="33"/>
      <c r="AA1032" s="33"/>
      <c r="AB1032" s="33"/>
      <c r="AC1032" s="33"/>
      <c r="AD1032" s="593"/>
    </row>
    <row r="1033" spans="18:30" x14ac:dyDescent="0.25">
      <c r="R1033" s="33"/>
      <c r="S1033" s="33"/>
      <c r="T1033" s="33"/>
      <c r="U1033" s="33"/>
      <c r="V1033" s="33"/>
      <c r="W1033" s="33"/>
      <c r="X1033" s="33"/>
      <c r="Y1033" s="33"/>
      <c r="Z1033" s="33"/>
      <c r="AA1033" s="33"/>
      <c r="AB1033" s="33"/>
      <c r="AC1033" s="33"/>
      <c r="AD1033" s="593"/>
    </row>
    <row r="1034" spans="18:30" x14ac:dyDescent="0.25">
      <c r="R1034" s="33"/>
      <c r="S1034" s="33"/>
      <c r="T1034" s="33"/>
      <c r="U1034" s="33"/>
      <c r="V1034" s="33"/>
      <c r="W1034" s="33"/>
      <c r="X1034" s="33"/>
      <c r="Y1034" s="33"/>
      <c r="Z1034" s="33"/>
      <c r="AA1034" s="33"/>
      <c r="AB1034" s="33"/>
      <c r="AC1034" s="33"/>
      <c r="AD1034" s="593"/>
    </row>
    <row r="1035" spans="18:30" x14ac:dyDescent="0.25">
      <c r="R1035" s="33"/>
      <c r="S1035" s="33"/>
      <c r="T1035" s="33"/>
      <c r="U1035" s="33"/>
      <c r="V1035" s="33"/>
      <c r="W1035" s="33"/>
      <c r="X1035" s="33"/>
      <c r="Y1035" s="33"/>
      <c r="Z1035" s="33"/>
      <c r="AA1035" s="33"/>
      <c r="AB1035" s="33"/>
      <c r="AC1035" s="33"/>
      <c r="AD1035" s="593"/>
    </row>
    <row r="1036" spans="18:30" x14ac:dyDescent="0.25">
      <c r="R1036" s="33"/>
      <c r="S1036" s="33"/>
      <c r="T1036" s="33"/>
      <c r="U1036" s="33"/>
      <c r="V1036" s="33"/>
      <c r="W1036" s="33"/>
      <c r="X1036" s="33"/>
      <c r="Y1036" s="33"/>
      <c r="Z1036" s="33"/>
      <c r="AA1036" s="33"/>
      <c r="AB1036" s="33"/>
      <c r="AC1036" s="33"/>
      <c r="AD1036" s="593"/>
    </row>
    <row r="1037" spans="18:30" x14ac:dyDescent="0.25">
      <c r="R1037" s="33"/>
      <c r="S1037" s="33"/>
      <c r="T1037" s="33"/>
      <c r="U1037" s="33"/>
      <c r="V1037" s="33"/>
      <c r="W1037" s="33"/>
      <c r="X1037" s="33"/>
      <c r="Y1037" s="33"/>
      <c r="Z1037" s="33"/>
      <c r="AA1037" s="33"/>
      <c r="AB1037" s="33"/>
      <c r="AC1037" s="33"/>
      <c r="AD1037" s="593"/>
    </row>
    <row r="1038" spans="18:30" x14ac:dyDescent="0.25">
      <c r="R1038" s="33"/>
      <c r="S1038" s="33"/>
      <c r="T1038" s="33"/>
      <c r="U1038" s="33"/>
      <c r="V1038" s="33"/>
      <c r="W1038" s="33"/>
      <c r="X1038" s="33"/>
      <c r="Y1038" s="33"/>
      <c r="Z1038" s="33"/>
      <c r="AA1038" s="33"/>
      <c r="AB1038" s="33"/>
      <c r="AC1038" s="33"/>
      <c r="AD1038" s="593"/>
    </row>
    <row r="1039" spans="18:30" x14ac:dyDescent="0.25">
      <c r="R1039" s="33"/>
      <c r="S1039" s="33"/>
      <c r="T1039" s="33"/>
      <c r="U1039" s="33"/>
      <c r="V1039" s="33"/>
      <c r="W1039" s="33"/>
      <c r="X1039" s="33"/>
      <c r="Y1039" s="33"/>
      <c r="Z1039" s="33"/>
      <c r="AA1039" s="33"/>
      <c r="AB1039" s="33"/>
      <c r="AC1039" s="33"/>
      <c r="AD1039" s="593"/>
    </row>
    <row r="1040" spans="18:30" x14ac:dyDescent="0.25">
      <c r="R1040" s="33"/>
      <c r="S1040" s="33"/>
      <c r="T1040" s="33"/>
      <c r="U1040" s="33"/>
      <c r="V1040" s="33"/>
      <c r="W1040" s="33"/>
      <c r="X1040" s="33"/>
      <c r="Y1040" s="33"/>
      <c r="Z1040" s="33"/>
      <c r="AA1040" s="33"/>
      <c r="AB1040" s="33"/>
      <c r="AC1040" s="33"/>
      <c r="AD1040" s="593"/>
    </row>
    <row r="1041" spans="18:30" x14ac:dyDescent="0.25">
      <c r="R1041" s="33"/>
      <c r="S1041" s="33"/>
      <c r="T1041" s="33"/>
      <c r="U1041" s="33"/>
      <c r="V1041" s="33"/>
      <c r="W1041" s="33"/>
      <c r="X1041" s="33"/>
      <c r="Y1041" s="33"/>
      <c r="Z1041" s="33"/>
      <c r="AA1041" s="33"/>
      <c r="AB1041" s="33"/>
      <c r="AC1041" s="33"/>
      <c r="AD1041" s="593"/>
    </row>
    <row r="1042" spans="18:30" x14ac:dyDescent="0.25">
      <c r="R1042" s="33"/>
      <c r="S1042" s="33"/>
      <c r="T1042" s="33"/>
      <c r="U1042" s="33"/>
      <c r="V1042" s="33"/>
      <c r="W1042" s="33"/>
      <c r="X1042" s="33"/>
      <c r="Y1042" s="33"/>
      <c r="Z1042" s="33"/>
      <c r="AA1042" s="33"/>
      <c r="AB1042" s="33"/>
      <c r="AC1042" s="33"/>
      <c r="AD1042" s="593"/>
    </row>
    <row r="1043" spans="18:30" x14ac:dyDescent="0.25">
      <c r="R1043" s="33"/>
      <c r="S1043" s="33"/>
      <c r="T1043" s="33"/>
      <c r="U1043" s="33"/>
      <c r="V1043" s="33"/>
      <c r="W1043" s="33"/>
      <c r="X1043" s="33"/>
      <c r="Y1043" s="33"/>
      <c r="Z1043" s="33"/>
      <c r="AA1043" s="33"/>
      <c r="AB1043" s="33"/>
      <c r="AC1043" s="33"/>
      <c r="AD1043" s="593"/>
    </row>
    <row r="1044" spans="18:30" x14ac:dyDescent="0.25">
      <c r="R1044" s="33"/>
      <c r="S1044" s="33"/>
      <c r="T1044" s="33"/>
      <c r="U1044" s="33"/>
      <c r="V1044" s="33"/>
      <c r="W1044" s="33"/>
      <c r="X1044" s="33"/>
      <c r="Y1044" s="33"/>
      <c r="Z1044" s="33"/>
      <c r="AA1044" s="33"/>
      <c r="AB1044" s="33"/>
      <c r="AC1044" s="33"/>
      <c r="AD1044" s="593"/>
    </row>
    <row r="1045" spans="18:30" x14ac:dyDescent="0.25">
      <c r="R1045" s="33"/>
      <c r="S1045" s="33"/>
      <c r="T1045" s="33"/>
      <c r="U1045" s="33"/>
      <c r="V1045" s="33"/>
      <c r="W1045" s="33"/>
      <c r="X1045" s="33"/>
      <c r="Y1045" s="33"/>
      <c r="Z1045" s="33"/>
      <c r="AA1045" s="33"/>
      <c r="AB1045" s="33"/>
      <c r="AC1045" s="33"/>
      <c r="AD1045" s="593"/>
    </row>
    <row r="1046" spans="18:30" x14ac:dyDescent="0.25">
      <c r="R1046" s="33"/>
      <c r="S1046" s="33"/>
      <c r="T1046" s="33"/>
      <c r="U1046" s="33"/>
      <c r="V1046" s="33"/>
      <c r="W1046" s="33"/>
      <c r="X1046" s="33"/>
      <c r="Y1046" s="33"/>
      <c r="Z1046" s="33"/>
      <c r="AA1046" s="33"/>
      <c r="AB1046" s="33"/>
      <c r="AC1046" s="33"/>
      <c r="AD1046" s="593"/>
    </row>
    <row r="1047" spans="18:30" x14ac:dyDescent="0.25">
      <c r="R1047" s="33"/>
      <c r="S1047" s="33"/>
      <c r="T1047" s="33"/>
      <c r="U1047" s="33"/>
      <c r="V1047" s="33"/>
      <c r="W1047" s="33"/>
      <c r="X1047" s="33"/>
      <c r="Y1047" s="33"/>
      <c r="Z1047" s="33"/>
      <c r="AA1047" s="33"/>
      <c r="AB1047" s="33"/>
      <c r="AC1047" s="33"/>
      <c r="AD1047" s="593"/>
    </row>
    <row r="1048" spans="18:30" x14ac:dyDescent="0.25">
      <c r="R1048" s="33"/>
      <c r="S1048" s="33"/>
      <c r="T1048" s="33"/>
      <c r="U1048" s="33"/>
      <c r="V1048" s="33"/>
      <c r="W1048" s="33"/>
      <c r="X1048" s="33"/>
      <c r="Y1048" s="33"/>
      <c r="Z1048" s="33"/>
      <c r="AA1048" s="33"/>
      <c r="AB1048" s="33"/>
      <c r="AC1048" s="33"/>
      <c r="AD1048" s="593"/>
    </row>
    <row r="1049" spans="18:30" x14ac:dyDescent="0.25">
      <c r="R1049" s="33"/>
      <c r="S1049" s="33"/>
      <c r="T1049" s="33"/>
      <c r="U1049" s="33"/>
      <c r="V1049" s="33"/>
      <c r="W1049" s="33"/>
      <c r="X1049" s="33"/>
      <c r="Y1049" s="33"/>
      <c r="Z1049" s="33"/>
      <c r="AA1049" s="33"/>
      <c r="AB1049" s="33"/>
      <c r="AC1049" s="33"/>
      <c r="AD1049" s="593"/>
    </row>
    <row r="1050" spans="18:30" x14ac:dyDescent="0.25">
      <c r="R1050" s="33"/>
      <c r="S1050" s="33"/>
      <c r="T1050" s="33"/>
      <c r="U1050" s="33"/>
      <c r="V1050" s="33"/>
      <c r="W1050" s="33"/>
      <c r="X1050" s="33"/>
      <c r="Y1050" s="33"/>
      <c r="Z1050" s="33"/>
      <c r="AA1050" s="33"/>
      <c r="AB1050" s="33"/>
      <c r="AC1050" s="33"/>
      <c r="AD1050" s="593"/>
    </row>
    <row r="1051" spans="18:30" x14ac:dyDescent="0.25">
      <c r="R1051" s="33"/>
      <c r="S1051" s="33"/>
      <c r="T1051" s="33"/>
      <c r="U1051" s="33"/>
      <c r="V1051" s="33"/>
      <c r="W1051" s="33"/>
      <c r="X1051" s="33"/>
      <c r="Y1051" s="33"/>
      <c r="Z1051" s="33"/>
      <c r="AA1051" s="33"/>
      <c r="AB1051" s="33"/>
      <c r="AC1051" s="33"/>
      <c r="AD1051" s="593"/>
    </row>
    <row r="1052" spans="18:30" x14ac:dyDescent="0.25">
      <c r="R1052" s="33"/>
      <c r="S1052" s="33"/>
      <c r="T1052" s="33"/>
      <c r="U1052" s="33"/>
      <c r="V1052" s="33"/>
      <c r="W1052" s="33"/>
      <c r="X1052" s="33"/>
      <c r="Y1052" s="33"/>
      <c r="Z1052" s="33"/>
      <c r="AA1052" s="33"/>
      <c r="AB1052" s="33"/>
      <c r="AC1052" s="33"/>
      <c r="AD1052" s="593"/>
    </row>
    <row r="1053" spans="18:30" x14ac:dyDescent="0.25">
      <c r="R1053" s="33"/>
      <c r="S1053" s="33"/>
      <c r="T1053" s="33"/>
      <c r="U1053" s="33"/>
      <c r="V1053" s="33"/>
      <c r="W1053" s="33"/>
      <c r="X1053" s="33"/>
      <c r="Y1053" s="33"/>
      <c r="Z1053" s="33"/>
      <c r="AA1053" s="33"/>
      <c r="AB1053" s="33"/>
      <c r="AC1053" s="33"/>
      <c r="AD1053" s="593"/>
    </row>
    <row r="1054" spans="18:30" x14ac:dyDescent="0.25">
      <c r="R1054" s="33"/>
      <c r="S1054" s="33"/>
      <c r="T1054" s="33"/>
      <c r="U1054" s="33"/>
      <c r="V1054" s="33"/>
      <c r="W1054" s="33"/>
      <c r="X1054" s="33"/>
      <c r="Y1054" s="33"/>
      <c r="Z1054" s="33"/>
      <c r="AA1054" s="33"/>
      <c r="AB1054" s="33"/>
      <c r="AC1054" s="33"/>
      <c r="AD1054" s="593"/>
    </row>
    <row r="1055" spans="18:30" x14ac:dyDescent="0.25">
      <c r="R1055" s="33"/>
      <c r="S1055" s="33"/>
      <c r="T1055" s="33"/>
      <c r="U1055" s="33"/>
      <c r="V1055" s="33"/>
      <c r="W1055" s="33"/>
      <c r="X1055" s="33"/>
      <c r="Y1055" s="33"/>
      <c r="Z1055" s="33"/>
      <c r="AA1055" s="33"/>
      <c r="AB1055" s="33"/>
      <c r="AC1055" s="33"/>
      <c r="AD1055" s="593"/>
    </row>
    <row r="1056" spans="18:30" x14ac:dyDescent="0.25">
      <c r="R1056" s="33"/>
      <c r="S1056" s="33"/>
      <c r="T1056" s="33"/>
      <c r="U1056" s="33"/>
      <c r="V1056" s="33"/>
      <c r="W1056" s="33"/>
      <c r="X1056" s="33"/>
      <c r="Y1056" s="33"/>
      <c r="Z1056" s="33"/>
      <c r="AA1056" s="33"/>
      <c r="AB1056" s="33"/>
      <c r="AC1056" s="33"/>
      <c r="AD1056" s="593"/>
    </row>
    <row r="1057" spans="18:30" x14ac:dyDescent="0.25">
      <c r="R1057" s="33"/>
      <c r="S1057" s="33"/>
      <c r="T1057" s="33"/>
      <c r="U1057" s="33"/>
      <c r="V1057" s="33"/>
      <c r="W1057" s="33"/>
      <c r="X1057" s="33"/>
      <c r="Y1057" s="33"/>
      <c r="Z1057" s="33"/>
      <c r="AA1057" s="33"/>
      <c r="AB1057" s="33"/>
      <c r="AC1057" s="33"/>
      <c r="AD1057" s="593"/>
    </row>
    <row r="1058" spans="18:30" x14ac:dyDescent="0.25">
      <c r="R1058" s="33"/>
      <c r="S1058" s="33"/>
      <c r="T1058" s="33"/>
      <c r="U1058" s="33"/>
      <c r="V1058" s="33"/>
      <c r="W1058" s="33"/>
      <c r="X1058" s="33"/>
      <c r="Y1058" s="33"/>
      <c r="Z1058" s="33"/>
      <c r="AA1058" s="33"/>
      <c r="AB1058" s="33"/>
      <c r="AC1058" s="33"/>
      <c r="AD1058" s="593"/>
    </row>
    <row r="1059" spans="18:30" x14ac:dyDescent="0.25">
      <c r="R1059" s="33"/>
      <c r="S1059" s="33"/>
      <c r="T1059" s="33"/>
      <c r="U1059" s="33"/>
      <c r="V1059" s="33"/>
      <c r="W1059" s="33"/>
      <c r="X1059" s="33"/>
      <c r="Y1059" s="33"/>
      <c r="Z1059" s="33"/>
      <c r="AA1059" s="33"/>
      <c r="AB1059" s="33"/>
      <c r="AC1059" s="33"/>
      <c r="AD1059" s="593"/>
    </row>
    <row r="1060" spans="18:30" x14ac:dyDescent="0.25">
      <c r="R1060" s="33"/>
      <c r="S1060" s="33"/>
      <c r="T1060" s="33"/>
      <c r="U1060" s="33"/>
      <c r="V1060" s="33"/>
      <c r="W1060" s="33"/>
      <c r="X1060" s="33"/>
      <c r="Y1060" s="33"/>
      <c r="Z1060" s="33"/>
      <c r="AA1060" s="33"/>
      <c r="AB1060" s="33"/>
      <c r="AC1060" s="33"/>
      <c r="AD1060" s="593"/>
    </row>
    <row r="1061" spans="18:30" x14ac:dyDescent="0.25">
      <c r="R1061" s="33"/>
      <c r="S1061" s="33"/>
      <c r="T1061" s="33"/>
      <c r="U1061" s="33"/>
      <c r="V1061" s="33"/>
      <c r="W1061" s="33"/>
      <c r="X1061" s="33"/>
      <c r="Y1061" s="33"/>
      <c r="Z1061" s="33"/>
      <c r="AA1061" s="33"/>
      <c r="AB1061" s="33"/>
      <c r="AC1061" s="33"/>
      <c r="AD1061" s="593"/>
    </row>
    <row r="1062" spans="18:30" x14ac:dyDescent="0.25">
      <c r="R1062" s="33"/>
      <c r="S1062" s="33"/>
      <c r="T1062" s="33"/>
      <c r="U1062" s="33"/>
      <c r="V1062" s="33"/>
      <c r="W1062" s="33"/>
      <c r="X1062" s="33"/>
      <c r="Y1062" s="33"/>
      <c r="Z1062" s="33"/>
      <c r="AA1062" s="33"/>
      <c r="AB1062" s="33"/>
      <c r="AC1062" s="33"/>
      <c r="AD1062" s="593"/>
    </row>
    <row r="1063" spans="18:30" x14ac:dyDescent="0.25">
      <c r="R1063" s="33"/>
      <c r="S1063" s="33"/>
      <c r="T1063" s="33"/>
      <c r="U1063" s="33"/>
      <c r="V1063" s="33"/>
      <c r="W1063" s="33"/>
      <c r="X1063" s="33"/>
      <c r="Y1063" s="33"/>
      <c r="Z1063" s="33"/>
      <c r="AA1063" s="33"/>
      <c r="AB1063" s="33"/>
      <c r="AC1063" s="33"/>
      <c r="AD1063" s="593"/>
    </row>
    <row r="1064" spans="18:30" x14ac:dyDescent="0.25">
      <c r="R1064" s="33"/>
      <c r="S1064" s="33"/>
      <c r="T1064" s="33"/>
      <c r="U1064" s="33"/>
      <c r="V1064" s="33"/>
      <c r="W1064" s="33"/>
      <c r="X1064" s="33"/>
      <c r="Y1064" s="33"/>
      <c r="Z1064" s="33"/>
      <c r="AA1064" s="33"/>
      <c r="AB1064" s="33"/>
      <c r="AC1064" s="33"/>
      <c r="AD1064" s="593"/>
    </row>
    <row r="1065" spans="18:30" x14ac:dyDescent="0.25">
      <c r="R1065" s="33"/>
      <c r="S1065" s="33"/>
      <c r="T1065" s="33"/>
      <c r="U1065" s="33"/>
      <c r="V1065" s="33"/>
      <c r="W1065" s="33"/>
      <c r="X1065" s="33"/>
      <c r="Y1065" s="33"/>
      <c r="Z1065" s="33"/>
      <c r="AA1065" s="33"/>
      <c r="AB1065" s="33"/>
      <c r="AC1065" s="33"/>
      <c r="AD1065" s="593"/>
    </row>
    <row r="1066" spans="18:30" x14ac:dyDescent="0.25">
      <c r="R1066" s="33"/>
      <c r="S1066" s="33"/>
      <c r="T1066" s="33"/>
      <c r="U1066" s="33"/>
      <c r="V1066" s="33"/>
      <c r="W1066" s="33"/>
      <c r="X1066" s="33"/>
      <c r="Y1066" s="33"/>
      <c r="Z1066" s="33"/>
      <c r="AA1066" s="33"/>
      <c r="AB1066" s="33"/>
      <c r="AC1066" s="33"/>
      <c r="AD1066" s="593"/>
    </row>
    <row r="1067" spans="18:30" x14ac:dyDescent="0.25">
      <c r="R1067" s="33"/>
      <c r="S1067" s="33"/>
      <c r="T1067" s="33"/>
      <c r="U1067" s="33"/>
      <c r="V1067" s="33"/>
      <c r="W1067" s="33"/>
      <c r="X1067" s="33"/>
      <c r="Y1067" s="33"/>
      <c r="Z1067" s="33"/>
      <c r="AA1067" s="33"/>
      <c r="AB1067" s="33"/>
      <c r="AC1067" s="33"/>
      <c r="AD1067" s="593"/>
    </row>
    <row r="1068" spans="18:30" x14ac:dyDescent="0.25">
      <c r="R1068" s="33"/>
      <c r="S1068" s="33"/>
      <c r="T1068" s="33"/>
      <c r="U1068" s="33"/>
      <c r="V1068" s="33"/>
      <c r="W1068" s="33"/>
      <c r="X1068" s="33"/>
      <c r="Y1068" s="33"/>
      <c r="Z1068" s="33"/>
      <c r="AA1068" s="33"/>
      <c r="AB1068" s="33"/>
      <c r="AC1068" s="33"/>
      <c r="AD1068" s="593"/>
    </row>
    <row r="1069" spans="18:30" x14ac:dyDescent="0.25">
      <c r="R1069" s="33"/>
      <c r="S1069" s="33"/>
      <c r="T1069" s="33"/>
      <c r="U1069" s="33"/>
      <c r="V1069" s="33"/>
      <c r="W1069" s="33"/>
      <c r="X1069" s="33"/>
      <c r="Y1069" s="33"/>
      <c r="Z1069" s="33"/>
      <c r="AA1069" s="33"/>
      <c r="AB1069" s="33"/>
      <c r="AC1069" s="33"/>
      <c r="AD1069" s="593"/>
    </row>
    <row r="1070" spans="18:30" x14ac:dyDescent="0.25">
      <c r="R1070" s="33"/>
      <c r="S1070" s="33"/>
      <c r="T1070" s="33"/>
      <c r="U1070" s="33"/>
      <c r="V1070" s="33"/>
      <c r="W1070" s="33"/>
      <c r="X1070" s="33"/>
      <c r="Y1070" s="33"/>
      <c r="Z1070" s="33"/>
      <c r="AA1070" s="33"/>
      <c r="AB1070" s="33"/>
      <c r="AC1070" s="33"/>
      <c r="AD1070" s="593"/>
    </row>
    <row r="1071" spans="18:30" x14ac:dyDescent="0.25">
      <c r="R1071" s="33"/>
      <c r="S1071" s="33"/>
      <c r="T1071" s="33"/>
      <c r="U1071" s="33"/>
      <c r="V1071" s="33"/>
      <c r="W1071" s="33"/>
      <c r="X1071" s="33"/>
      <c r="Y1071" s="33"/>
      <c r="Z1071" s="33"/>
      <c r="AA1071" s="33"/>
      <c r="AB1071" s="33"/>
      <c r="AC1071" s="33"/>
      <c r="AD1071" s="593"/>
    </row>
    <row r="1072" spans="18:30" x14ac:dyDescent="0.25">
      <c r="R1072" s="33"/>
      <c r="S1072" s="33"/>
      <c r="T1072" s="33"/>
      <c r="U1072" s="33"/>
      <c r="V1072" s="33"/>
      <c r="W1072" s="33"/>
      <c r="X1072" s="33"/>
      <c r="Y1072" s="33"/>
      <c r="Z1072" s="33"/>
      <c r="AA1072" s="33"/>
      <c r="AB1072" s="33"/>
      <c r="AC1072" s="33"/>
      <c r="AD1072" s="593"/>
    </row>
    <row r="1073" spans="18:30" x14ac:dyDescent="0.25">
      <c r="R1073" s="33"/>
      <c r="S1073" s="33"/>
      <c r="T1073" s="33"/>
      <c r="U1073" s="33"/>
      <c r="V1073" s="33"/>
      <c r="W1073" s="33"/>
      <c r="X1073" s="33"/>
      <c r="Y1073" s="33"/>
      <c r="Z1073" s="33"/>
      <c r="AA1073" s="33"/>
      <c r="AB1073" s="33"/>
      <c r="AC1073" s="33"/>
      <c r="AD1073" s="593"/>
    </row>
    <row r="1074" spans="18:30" x14ac:dyDescent="0.25">
      <c r="R1074" s="33"/>
      <c r="S1074" s="33"/>
      <c r="T1074" s="33"/>
      <c r="U1074" s="33"/>
      <c r="V1074" s="33"/>
      <c r="W1074" s="33"/>
      <c r="X1074" s="33"/>
      <c r="Y1074" s="33"/>
      <c r="Z1074" s="33"/>
      <c r="AA1074" s="33"/>
      <c r="AB1074" s="33"/>
      <c r="AC1074" s="33"/>
      <c r="AD1074" s="593"/>
    </row>
    <row r="1075" spans="18:30" x14ac:dyDescent="0.25">
      <c r="R1075" s="33"/>
      <c r="S1075" s="33"/>
      <c r="T1075" s="33"/>
      <c r="U1075" s="33"/>
      <c r="V1075" s="33"/>
      <c r="W1075" s="33"/>
      <c r="X1075" s="33"/>
      <c r="Y1075" s="33"/>
      <c r="Z1075" s="33"/>
      <c r="AA1075" s="33"/>
      <c r="AB1075" s="33"/>
      <c r="AC1075" s="33"/>
      <c r="AD1075" s="593"/>
    </row>
    <row r="1076" spans="18:30" x14ac:dyDescent="0.25">
      <c r="R1076" s="33"/>
      <c r="S1076" s="33"/>
      <c r="T1076" s="33"/>
      <c r="U1076" s="33"/>
      <c r="V1076" s="33"/>
      <c r="W1076" s="33"/>
      <c r="X1076" s="33"/>
      <c r="Y1076" s="33"/>
      <c r="Z1076" s="33"/>
      <c r="AA1076" s="33"/>
      <c r="AB1076" s="33"/>
      <c r="AC1076" s="33"/>
      <c r="AD1076" s="593"/>
    </row>
    <row r="1077" spans="18:30" x14ac:dyDescent="0.25">
      <c r="R1077" s="33"/>
      <c r="S1077" s="33"/>
      <c r="T1077" s="33"/>
      <c r="U1077" s="33"/>
      <c r="V1077" s="33"/>
      <c r="W1077" s="33"/>
      <c r="X1077" s="33"/>
      <c r="Y1077" s="33"/>
      <c r="Z1077" s="33"/>
      <c r="AA1077" s="33"/>
      <c r="AB1077" s="33"/>
      <c r="AC1077" s="33"/>
      <c r="AD1077" s="593"/>
    </row>
    <row r="1078" spans="18:30" x14ac:dyDescent="0.25">
      <c r="R1078" s="33"/>
      <c r="S1078" s="33"/>
      <c r="T1078" s="33"/>
      <c r="U1078" s="33"/>
      <c r="V1078" s="33"/>
      <c r="W1078" s="33"/>
      <c r="X1078" s="33"/>
      <c r="Y1078" s="33"/>
      <c r="Z1078" s="33"/>
      <c r="AA1078" s="33"/>
      <c r="AB1078" s="33"/>
      <c r="AC1078" s="33"/>
      <c r="AD1078" s="593"/>
    </row>
    <row r="1079" spans="18:30" x14ac:dyDescent="0.25">
      <c r="R1079" s="33"/>
      <c r="S1079" s="33"/>
      <c r="T1079" s="33"/>
      <c r="U1079" s="33"/>
      <c r="V1079" s="33"/>
      <c r="W1079" s="33"/>
      <c r="X1079" s="33"/>
      <c r="Y1079" s="33"/>
      <c r="Z1079" s="33"/>
      <c r="AA1079" s="33"/>
      <c r="AB1079" s="33"/>
      <c r="AC1079" s="33"/>
      <c r="AD1079" s="593"/>
    </row>
    <row r="1080" spans="18:30" x14ac:dyDescent="0.25">
      <c r="R1080" s="33"/>
      <c r="S1080" s="33"/>
      <c r="T1080" s="33"/>
      <c r="U1080" s="33"/>
      <c r="V1080" s="33"/>
      <c r="W1080" s="33"/>
      <c r="X1080" s="33"/>
      <c r="Y1080" s="33"/>
      <c r="Z1080" s="33"/>
      <c r="AA1080" s="33"/>
      <c r="AB1080" s="33"/>
      <c r="AC1080" s="33"/>
      <c r="AD1080" s="593"/>
    </row>
    <row r="1081" spans="18:30" x14ac:dyDescent="0.25">
      <c r="R1081" s="33"/>
      <c r="S1081" s="33"/>
      <c r="T1081" s="33"/>
      <c r="U1081" s="33"/>
      <c r="V1081" s="33"/>
      <c r="W1081" s="33"/>
      <c r="X1081" s="33"/>
      <c r="Y1081" s="33"/>
      <c r="Z1081" s="33"/>
      <c r="AA1081" s="33"/>
      <c r="AB1081" s="33"/>
      <c r="AC1081" s="33"/>
      <c r="AD1081" s="593"/>
    </row>
    <row r="1082" spans="18:30" x14ac:dyDescent="0.25">
      <c r="R1082" s="33"/>
      <c r="S1082" s="33"/>
      <c r="T1082" s="33"/>
      <c r="U1082" s="33"/>
      <c r="V1082" s="33"/>
      <c r="W1082" s="33"/>
      <c r="X1082" s="33"/>
      <c r="Y1082" s="33"/>
      <c r="Z1082" s="33"/>
      <c r="AA1082" s="33"/>
      <c r="AB1082" s="33"/>
      <c r="AC1082" s="33"/>
      <c r="AD1082" s="593"/>
    </row>
    <row r="1083" spans="18:30" x14ac:dyDescent="0.25">
      <c r="R1083" s="33"/>
      <c r="S1083" s="33"/>
      <c r="T1083" s="33"/>
      <c r="U1083" s="33"/>
      <c r="V1083" s="33"/>
      <c r="W1083" s="33"/>
      <c r="X1083" s="33"/>
      <c r="Y1083" s="33"/>
      <c r="Z1083" s="33"/>
      <c r="AA1083" s="33"/>
      <c r="AB1083" s="33"/>
      <c r="AC1083" s="33"/>
      <c r="AD1083" s="593"/>
    </row>
    <row r="1084" spans="18:30" x14ac:dyDescent="0.25">
      <c r="R1084" s="33"/>
      <c r="S1084" s="33"/>
      <c r="T1084" s="33"/>
      <c r="U1084" s="33"/>
      <c r="V1084" s="33"/>
      <c r="W1084" s="33"/>
      <c r="X1084" s="33"/>
      <c r="Y1084" s="33"/>
      <c r="Z1084" s="33"/>
      <c r="AA1084" s="33"/>
      <c r="AB1084" s="33"/>
      <c r="AC1084" s="33"/>
      <c r="AD1084" s="593"/>
    </row>
    <row r="1085" spans="18:30" x14ac:dyDescent="0.25">
      <c r="R1085" s="33"/>
      <c r="S1085" s="33"/>
      <c r="T1085" s="33"/>
      <c r="U1085" s="33"/>
      <c r="V1085" s="33"/>
      <c r="W1085" s="33"/>
      <c r="X1085" s="33"/>
      <c r="Y1085" s="33"/>
      <c r="Z1085" s="33"/>
      <c r="AA1085" s="33"/>
      <c r="AB1085" s="33"/>
      <c r="AC1085" s="33"/>
      <c r="AD1085" s="593"/>
    </row>
    <row r="1086" spans="18:30" x14ac:dyDescent="0.25">
      <c r="R1086" s="33"/>
      <c r="S1086" s="33"/>
      <c r="T1086" s="33"/>
      <c r="U1086" s="33"/>
      <c r="V1086" s="33"/>
      <c r="W1086" s="33"/>
      <c r="X1086" s="33"/>
      <c r="Y1086" s="33"/>
      <c r="Z1086" s="33"/>
      <c r="AA1086" s="33"/>
      <c r="AB1086" s="33"/>
      <c r="AC1086" s="33"/>
      <c r="AD1086" s="593"/>
    </row>
    <row r="1087" spans="18:30" x14ac:dyDescent="0.25">
      <c r="R1087" s="33"/>
      <c r="S1087" s="33"/>
      <c r="T1087" s="33"/>
      <c r="U1087" s="33"/>
      <c r="V1087" s="33"/>
      <c r="W1087" s="33"/>
      <c r="X1087" s="33"/>
      <c r="Y1087" s="33"/>
      <c r="Z1087" s="33"/>
      <c r="AA1087" s="33"/>
      <c r="AB1087" s="33"/>
      <c r="AC1087" s="33"/>
      <c r="AD1087" s="593"/>
    </row>
    <row r="1088" spans="18:30" x14ac:dyDescent="0.25">
      <c r="R1088" s="33"/>
      <c r="S1088" s="33"/>
      <c r="T1088" s="33"/>
      <c r="U1088" s="33"/>
      <c r="V1088" s="33"/>
      <c r="W1088" s="33"/>
      <c r="X1088" s="33"/>
      <c r="Y1088" s="33"/>
      <c r="Z1088" s="33"/>
      <c r="AA1088" s="33"/>
      <c r="AB1088" s="33"/>
      <c r="AC1088" s="33"/>
      <c r="AD1088" s="593"/>
    </row>
    <row r="1089" spans="18:30" x14ac:dyDescent="0.25">
      <c r="R1089" s="33"/>
      <c r="S1089" s="33"/>
      <c r="T1089" s="33"/>
      <c r="U1089" s="33"/>
      <c r="V1089" s="33"/>
      <c r="W1089" s="33"/>
      <c r="X1089" s="33"/>
      <c r="Y1089" s="33"/>
      <c r="Z1089" s="33"/>
      <c r="AA1089" s="33"/>
      <c r="AB1089" s="33"/>
      <c r="AC1089" s="33"/>
      <c r="AD1089" s="593"/>
    </row>
    <row r="1090" spans="18:30" x14ac:dyDescent="0.25">
      <c r="R1090" s="33"/>
      <c r="S1090" s="33"/>
      <c r="T1090" s="33"/>
      <c r="U1090" s="33"/>
      <c r="V1090" s="33"/>
      <c r="W1090" s="33"/>
      <c r="X1090" s="33"/>
      <c r="Y1090" s="33"/>
      <c r="Z1090" s="33"/>
      <c r="AA1090" s="33"/>
      <c r="AB1090" s="33"/>
      <c r="AC1090" s="33"/>
      <c r="AD1090" s="593"/>
    </row>
    <row r="1091" spans="18:30" x14ac:dyDescent="0.25">
      <c r="R1091" s="33"/>
      <c r="S1091" s="33"/>
      <c r="T1091" s="33"/>
      <c r="U1091" s="33"/>
      <c r="V1091" s="33"/>
      <c r="W1091" s="33"/>
      <c r="X1091" s="33"/>
      <c r="Y1091" s="33"/>
      <c r="Z1091" s="33"/>
      <c r="AA1091" s="33"/>
      <c r="AB1091" s="33"/>
      <c r="AC1091" s="33"/>
      <c r="AD1091" s="593"/>
    </row>
    <row r="1092" spans="18:30" x14ac:dyDescent="0.25">
      <c r="R1092" s="33"/>
      <c r="S1092" s="33"/>
      <c r="T1092" s="33"/>
      <c r="U1092" s="33"/>
      <c r="V1092" s="33"/>
      <c r="W1092" s="33"/>
      <c r="X1092" s="33"/>
      <c r="Y1092" s="33"/>
      <c r="Z1092" s="33"/>
      <c r="AA1092" s="33"/>
      <c r="AB1092" s="33"/>
      <c r="AC1092" s="33"/>
      <c r="AD1092" s="593"/>
    </row>
    <row r="1093" spans="18:30" x14ac:dyDescent="0.25">
      <c r="R1093" s="33"/>
      <c r="S1093" s="33"/>
      <c r="T1093" s="33"/>
      <c r="U1093" s="33"/>
      <c r="V1093" s="33"/>
      <c r="W1093" s="33"/>
      <c r="X1093" s="33"/>
      <c r="Y1093" s="33"/>
      <c r="Z1093" s="33"/>
      <c r="AA1093" s="33"/>
      <c r="AB1093" s="33"/>
      <c r="AC1093" s="33"/>
      <c r="AD1093" s="593"/>
    </row>
    <row r="1094" spans="18:30" x14ac:dyDescent="0.25">
      <c r="R1094" s="33"/>
      <c r="S1094" s="33"/>
      <c r="T1094" s="33"/>
      <c r="U1094" s="33"/>
      <c r="V1094" s="33"/>
      <c r="W1094" s="33"/>
      <c r="X1094" s="33"/>
      <c r="Y1094" s="33"/>
      <c r="Z1094" s="33"/>
      <c r="AA1094" s="33"/>
      <c r="AB1094" s="33"/>
      <c r="AC1094" s="33"/>
      <c r="AD1094" s="593"/>
    </row>
    <row r="1095" spans="18:30" x14ac:dyDescent="0.25">
      <c r="R1095" s="33"/>
      <c r="S1095" s="33"/>
      <c r="T1095" s="33"/>
      <c r="U1095" s="33"/>
      <c r="V1095" s="33"/>
      <c r="W1095" s="33"/>
      <c r="X1095" s="33"/>
      <c r="Y1095" s="33"/>
      <c r="Z1095" s="33"/>
      <c r="AA1095" s="33"/>
      <c r="AB1095" s="33"/>
      <c r="AC1095" s="33"/>
      <c r="AD1095" s="593"/>
    </row>
    <row r="1096" spans="18:30" x14ac:dyDescent="0.25">
      <c r="R1096" s="33"/>
      <c r="S1096" s="33"/>
      <c r="T1096" s="33"/>
      <c r="U1096" s="33"/>
      <c r="V1096" s="33"/>
      <c r="W1096" s="33"/>
      <c r="X1096" s="33"/>
      <c r="Y1096" s="33"/>
      <c r="Z1096" s="33"/>
      <c r="AA1096" s="33"/>
      <c r="AB1096" s="33"/>
      <c r="AC1096" s="33"/>
      <c r="AD1096" s="593"/>
    </row>
    <row r="1097" spans="18:30" x14ac:dyDescent="0.25">
      <c r="R1097" s="33"/>
      <c r="S1097" s="33"/>
      <c r="T1097" s="33"/>
      <c r="U1097" s="33"/>
      <c r="V1097" s="33"/>
      <c r="W1097" s="33"/>
      <c r="X1097" s="33"/>
      <c r="Y1097" s="33"/>
      <c r="Z1097" s="33"/>
      <c r="AA1097" s="33"/>
      <c r="AB1097" s="33"/>
      <c r="AC1097" s="33"/>
      <c r="AD1097" s="593"/>
    </row>
    <row r="1098" spans="18:30" x14ac:dyDescent="0.25">
      <c r="R1098" s="33"/>
      <c r="S1098" s="33"/>
      <c r="T1098" s="33"/>
      <c r="U1098" s="33"/>
      <c r="V1098" s="33"/>
      <c r="W1098" s="33"/>
      <c r="X1098" s="33"/>
      <c r="Y1098" s="33"/>
      <c r="Z1098" s="33"/>
      <c r="AA1098" s="33"/>
      <c r="AB1098" s="33"/>
      <c r="AC1098" s="33"/>
      <c r="AD1098" s="593"/>
    </row>
    <row r="1099" spans="18:30" x14ac:dyDescent="0.25">
      <c r="R1099" s="33"/>
      <c r="S1099" s="33"/>
      <c r="T1099" s="33"/>
      <c r="U1099" s="33"/>
      <c r="V1099" s="33"/>
      <c r="W1099" s="33"/>
      <c r="X1099" s="33"/>
      <c r="Y1099" s="33"/>
      <c r="Z1099" s="33"/>
      <c r="AA1099" s="33"/>
      <c r="AB1099" s="33"/>
      <c r="AC1099" s="33"/>
      <c r="AD1099" s="593"/>
    </row>
    <row r="1100" spans="18:30" x14ac:dyDescent="0.25">
      <c r="R1100" s="33"/>
      <c r="S1100" s="33"/>
      <c r="T1100" s="33"/>
      <c r="U1100" s="33"/>
      <c r="V1100" s="33"/>
      <c r="W1100" s="33"/>
      <c r="X1100" s="33"/>
      <c r="Y1100" s="33"/>
      <c r="Z1100" s="33"/>
      <c r="AA1100" s="33"/>
      <c r="AB1100" s="33"/>
      <c r="AC1100" s="33"/>
      <c r="AD1100" s="593"/>
    </row>
    <row r="1101" spans="18:30" x14ac:dyDescent="0.25">
      <c r="R1101" s="33"/>
      <c r="S1101" s="33"/>
      <c r="T1101" s="33"/>
      <c r="U1101" s="33"/>
      <c r="V1101" s="33"/>
      <c r="W1101" s="33"/>
      <c r="X1101" s="33"/>
      <c r="Y1101" s="33"/>
      <c r="Z1101" s="33"/>
      <c r="AA1101" s="33"/>
      <c r="AB1101" s="33"/>
      <c r="AC1101" s="33"/>
      <c r="AD1101" s="593"/>
    </row>
    <row r="1102" spans="18:30" x14ac:dyDescent="0.25">
      <c r="R1102" s="33"/>
      <c r="S1102" s="33"/>
      <c r="T1102" s="33"/>
      <c r="U1102" s="33"/>
      <c r="V1102" s="33"/>
      <c r="W1102" s="33"/>
      <c r="X1102" s="33"/>
      <c r="Y1102" s="33"/>
      <c r="Z1102" s="33"/>
      <c r="AA1102" s="33"/>
      <c r="AB1102" s="33"/>
      <c r="AC1102" s="33"/>
      <c r="AD1102" s="593"/>
    </row>
    <row r="1103" spans="18:30" x14ac:dyDescent="0.25">
      <c r="R1103" s="33"/>
      <c r="S1103" s="33"/>
      <c r="T1103" s="33"/>
      <c r="U1103" s="33"/>
      <c r="V1103" s="33"/>
      <c r="W1103" s="33"/>
      <c r="X1103" s="33"/>
      <c r="Y1103" s="33"/>
      <c r="Z1103" s="33"/>
      <c r="AA1103" s="33"/>
      <c r="AB1103" s="33"/>
      <c r="AC1103" s="33"/>
      <c r="AD1103" s="593"/>
    </row>
    <row r="1104" spans="18:30" x14ac:dyDescent="0.25">
      <c r="R1104" s="33"/>
      <c r="S1104" s="33"/>
      <c r="T1104" s="33"/>
      <c r="U1104" s="33"/>
      <c r="V1104" s="33"/>
      <c r="W1104" s="33"/>
      <c r="X1104" s="33"/>
      <c r="Y1104" s="33"/>
      <c r="Z1104" s="33"/>
      <c r="AA1104" s="33"/>
      <c r="AB1104" s="33"/>
      <c r="AC1104" s="33"/>
      <c r="AD1104" s="593"/>
    </row>
    <row r="1105" spans="18:30" x14ac:dyDescent="0.25">
      <c r="R1105" s="33"/>
      <c r="S1105" s="33"/>
      <c r="T1105" s="33"/>
      <c r="U1105" s="33"/>
      <c r="V1105" s="33"/>
      <c r="W1105" s="33"/>
      <c r="X1105" s="33"/>
      <c r="Y1105" s="33"/>
      <c r="Z1105" s="33"/>
      <c r="AA1105" s="33"/>
      <c r="AB1105" s="33"/>
      <c r="AC1105" s="33"/>
      <c r="AD1105" s="593"/>
    </row>
    <row r="1106" spans="18:30" x14ac:dyDescent="0.25">
      <c r="R1106" s="33"/>
      <c r="S1106" s="33"/>
      <c r="T1106" s="33"/>
      <c r="U1106" s="33"/>
      <c r="V1106" s="33"/>
      <c r="W1106" s="33"/>
      <c r="X1106" s="33"/>
      <c r="Y1106" s="33"/>
      <c r="Z1106" s="33"/>
      <c r="AA1106" s="33"/>
      <c r="AB1106" s="33"/>
      <c r="AC1106" s="33"/>
      <c r="AD1106" s="593"/>
    </row>
    <row r="1107" spans="18:30" x14ac:dyDescent="0.25">
      <c r="R1107" s="33"/>
      <c r="S1107" s="33"/>
      <c r="T1107" s="33"/>
      <c r="U1107" s="33"/>
      <c r="V1107" s="33"/>
      <c r="W1107" s="33"/>
      <c r="X1107" s="33"/>
      <c r="Y1107" s="33"/>
      <c r="Z1107" s="33"/>
      <c r="AA1107" s="33"/>
      <c r="AB1107" s="33"/>
      <c r="AC1107" s="33"/>
      <c r="AD1107" s="593"/>
    </row>
    <row r="1108" spans="18:30" x14ac:dyDescent="0.25">
      <c r="R1108" s="33"/>
      <c r="S1108" s="33"/>
      <c r="T1108" s="33"/>
      <c r="U1108" s="33"/>
      <c r="V1108" s="33"/>
      <c r="W1108" s="33"/>
      <c r="X1108" s="33"/>
      <c r="Y1108" s="33"/>
      <c r="Z1108" s="33"/>
      <c r="AA1108" s="33"/>
      <c r="AB1108" s="33"/>
      <c r="AC1108" s="33"/>
      <c r="AD1108" s="593"/>
    </row>
    <row r="1109" spans="18:30" x14ac:dyDescent="0.25">
      <c r="R1109" s="33"/>
      <c r="S1109" s="33"/>
      <c r="T1109" s="33"/>
      <c r="U1109" s="33"/>
      <c r="V1109" s="33"/>
      <c r="W1109" s="33"/>
      <c r="X1109" s="33"/>
      <c r="Y1109" s="33"/>
      <c r="Z1109" s="33"/>
      <c r="AA1109" s="33"/>
      <c r="AB1109" s="33"/>
      <c r="AC1109" s="33"/>
      <c r="AD1109" s="593"/>
    </row>
    <row r="1110" spans="18:30" x14ac:dyDescent="0.25">
      <c r="R1110" s="33"/>
      <c r="S1110" s="33"/>
      <c r="T1110" s="33"/>
      <c r="U1110" s="33"/>
      <c r="V1110" s="33"/>
      <c r="W1110" s="33"/>
      <c r="X1110" s="33"/>
      <c r="Y1110" s="33"/>
      <c r="Z1110" s="33"/>
      <c r="AA1110" s="33"/>
      <c r="AB1110" s="33"/>
      <c r="AC1110" s="33"/>
      <c r="AD1110" s="593"/>
    </row>
    <row r="1111" spans="18:30" x14ac:dyDescent="0.25">
      <c r="R1111" s="33"/>
      <c r="S1111" s="33"/>
      <c r="T1111" s="33"/>
      <c r="U1111" s="33"/>
      <c r="V1111" s="33"/>
      <c r="W1111" s="33"/>
      <c r="X1111" s="33"/>
      <c r="Y1111" s="33"/>
      <c r="Z1111" s="33"/>
      <c r="AA1111" s="33"/>
      <c r="AB1111" s="33"/>
      <c r="AC1111" s="33"/>
      <c r="AD1111" s="593"/>
    </row>
    <row r="1112" spans="18:30" x14ac:dyDescent="0.25">
      <c r="R1112" s="33"/>
      <c r="S1112" s="33"/>
      <c r="T1112" s="33"/>
      <c r="U1112" s="33"/>
      <c r="V1112" s="33"/>
      <c r="W1112" s="33"/>
      <c r="X1112" s="33"/>
      <c r="Y1112" s="33"/>
      <c r="Z1112" s="33"/>
      <c r="AA1112" s="33"/>
      <c r="AB1112" s="33"/>
      <c r="AC1112" s="33"/>
      <c r="AD1112" s="593"/>
    </row>
    <row r="1113" spans="18:30" x14ac:dyDescent="0.25">
      <c r="R1113" s="33"/>
      <c r="S1113" s="33"/>
      <c r="T1113" s="33"/>
      <c r="U1113" s="33"/>
      <c r="V1113" s="33"/>
      <c r="W1113" s="33"/>
      <c r="X1113" s="33"/>
      <c r="Y1113" s="33"/>
      <c r="Z1113" s="33"/>
      <c r="AA1113" s="33"/>
      <c r="AB1113" s="33"/>
      <c r="AC1113" s="33"/>
      <c r="AD1113" s="593"/>
    </row>
    <row r="1114" spans="18:30" x14ac:dyDescent="0.25">
      <c r="R1114" s="33"/>
      <c r="S1114" s="33"/>
      <c r="T1114" s="33"/>
      <c r="U1114" s="33"/>
      <c r="V1114" s="33"/>
      <c r="W1114" s="33"/>
      <c r="X1114" s="33"/>
      <c r="Y1114" s="33"/>
      <c r="Z1114" s="33"/>
      <c r="AA1114" s="33"/>
      <c r="AB1114" s="33"/>
      <c r="AC1114" s="33"/>
      <c r="AD1114" s="593"/>
    </row>
    <row r="1115" spans="18:30" x14ac:dyDescent="0.25">
      <c r="R1115" s="33"/>
      <c r="S1115" s="33"/>
      <c r="T1115" s="33"/>
      <c r="U1115" s="33"/>
      <c r="V1115" s="33"/>
      <c r="W1115" s="33"/>
      <c r="X1115" s="33"/>
      <c r="Y1115" s="33"/>
      <c r="Z1115" s="33"/>
      <c r="AA1115" s="33"/>
      <c r="AB1115" s="33"/>
      <c r="AC1115" s="33"/>
      <c r="AD1115" s="593"/>
    </row>
    <row r="1116" spans="18:30" x14ac:dyDescent="0.25">
      <c r="R1116" s="33"/>
      <c r="S1116" s="33"/>
      <c r="T1116" s="33"/>
      <c r="U1116" s="33"/>
      <c r="V1116" s="33"/>
      <c r="W1116" s="33"/>
      <c r="X1116" s="33"/>
      <c r="Y1116" s="33"/>
      <c r="Z1116" s="33"/>
      <c r="AA1116" s="33"/>
      <c r="AB1116" s="33"/>
      <c r="AC1116" s="33"/>
      <c r="AD1116" s="593"/>
    </row>
    <row r="1117" spans="18:30" x14ac:dyDescent="0.25">
      <c r="R1117" s="33"/>
      <c r="S1117" s="33"/>
      <c r="T1117" s="33"/>
      <c r="U1117" s="33"/>
      <c r="V1117" s="33"/>
      <c r="W1117" s="33"/>
      <c r="X1117" s="33"/>
      <c r="Y1117" s="33"/>
      <c r="Z1117" s="33"/>
      <c r="AA1117" s="33"/>
      <c r="AB1117" s="33"/>
      <c r="AC1117" s="33"/>
      <c r="AD1117" s="593"/>
    </row>
    <row r="1118" spans="18:30" x14ac:dyDescent="0.25">
      <c r="R1118" s="33"/>
      <c r="S1118" s="33"/>
      <c r="T1118" s="33"/>
      <c r="U1118" s="33"/>
      <c r="V1118" s="33"/>
      <c r="W1118" s="33"/>
      <c r="X1118" s="33"/>
      <c r="Y1118" s="33"/>
      <c r="Z1118" s="33"/>
      <c r="AA1118" s="33"/>
      <c r="AB1118" s="33"/>
      <c r="AC1118" s="33"/>
      <c r="AD1118" s="593"/>
    </row>
    <row r="1119" spans="18:30" x14ac:dyDescent="0.25">
      <c r="R1119" s="33"/>
      <c r="S1119" s="33"/>
      <c r="T1119" s="33"/>
      <c r="U1119" s="33"/>
      <c r="V1119" s="33"/>
      <c r="W1119" s="33"/>
      <c r="X1119" s="33"/>
      <c r="Y1119" s="33"/>
      <c r="Z1119" s="33"/>
      <c r="AA1119" s="33"/>
      <c r="AB1119" s="33"/>
      <c r="AC1119" s="33"/>
      <c r="AD1119" s="593"/>
    </row>
    <row r="1120" spans="18:30" x14ac:dyDescent="0.25">
      <c r="R1120" s="33"/>
      <c r="S1120" s="33"/>
      <c r="T1120" s="33"/>
      <c r="U1120" s="33"/>
      <c r="V1120" s="33"/>
      <c r="W1120" s="33"/>
      <c r="X1120" s="33"/>
      <c r="Y1120" s="33"/>
      <c r="Z1120" s="33"/>
      <c r="AA1120" s="33"/>
      <c r="AB1120" s="33"/>
      <c r="AC1120" s="33"/>
      <c r="AD1120" s="593"/>
    </row>
    <row r="1121" spans="18:30" x14ac:dyDescent="0.25">
      <c r="R1121" s="33"/>
      <c r="S1121" s="33"/>
      <c r="T1121" s="33"/>
      <c r="U1121" s="33"/>
      <c r="V1121" s="33"/>
      <c r="W1121" s="33"/>
      <c r="X1121" s="33"/>
      <c r="Y1121" s="33"/>
      <c r="Z1121" s="33"/>
      <c r="AA1121" s="33"/>
      <c r="AB1121" s="33"/>
      <c r="AC1121" s="33"/>
      <c r="AD1121" s="593"/>
    </row>
    <row r="1122" spans="18:30" x14ac:dyDescent="0.25">
      <c r="R1122" s="33"/>
      <c r="S1122" s="33"/>
      <c r="T1122" s="33"/>
      <c r="U1122" s="33"/>
      <c r="V1122" s="33"/>
      <c r="W1122" s="33"/>
      <c r="X1122" s="33"/>
      <c r="Y1122" s="33"/>
      <c r="Z1122" s="33"/>
      <c r="AA1122" s="33"/>
      <c r="AB1122" s="33"/>
      <c r="AC1122" s="33"/>
      <c r="AD1122" s="593"/>
    </row>
    <row r="1123" spans="18:30" x14ac:dyDescent="0.25">
      <c r="R1123" s="33"/>
      <c r="S1123" s="33"/>
      <c r="T1123" s="33"/>
      <c r="U1123" s="33"/>
      <c r="V1123" s="33"/>
      <c r="W1123" s="33"/>
      <c r="X1123" s="33"/>
      <c r="Y1123" s="33"/>
      <c r="Z1123" s="33"/>
      <c r="AA1123" s="33"/>
      <c r="AB1123" s="33"/>
      <c r="AC1123" s="33"/>
      <c r="AD1123" s="593"/>
    </row>
    <row r="1124" spans="18:30" x14ac:dyDescent="0.25">
      <c r="R1124" s="33"/>
      <c r="S1124" s="33"/>
      <c r="T1124" s="33"/>
      <c r="U1124" s="33"/>
      <c r="V1124" s="33"/>
      <c r="W1124" s="33"/>
      <c r="X1124" s="33"/>
      <c r="Y1124" s="33"/>
      <c r="Z1124" s="33"/>
      <c r="AA1124" s="33"/>
      <c r="AB1124" s="33"/>
      <c r="AC1124" s="33"/>
      <c r="AD1124" s="593"/>
    </row>
    <row r="1125" spans="18:30" x14ac:dyDescent="0.25">
      <c r="R1125" s="33"/>
      <c r="S1125" s="33"/>
      <c r="T1125" s="33"/>
      <c r="U1125" s="33"/>
      <c r="V1125" s="33"/>
      <c r="W1125" s="33"/>
      <c r="X1125" s="33"/>
      <c r="Y1125" s="33"/>
      <c r="Z1125" s="33"/>
      <c r="AA1125" s="33"/>
      <c r="AB1125" s="33"/>
      <c r="AC1125" s="33"/>
      <c r="AD1125" s="593"/>
    </row>
    <row r="1126" spans="18:30" x14ac:dyDescent="0.25">
      <c r="R1126" s="33"/>
      <c r="S1126" s="33"/>
      <c r="T1126" s="33"/>
      <c r="U1126" s="33"/>
      <c r="V1126" s="33"/>
      <c r="W1126" s="33"/>
      <c r="X1126" s="33"/>
      <c r="Y1126" s="33"/>
      <c r="Z1126" s="33"/>
      <c r="AA1126" s="33"/>
      <c r="AB1126" s="33"/>
      <c r="AC1126" s="33"/>
      <c r="AD1126" s="593"/>
    </row>
    <row r="1127" spans="18:30" x14ac:dyDescent="0.25">
      <c r="R1127" s="33"/>
      <c r="S1127" s="33"/>
      <c r="T1127" s="33"/>
      <c r="U1127" s="33"/>
      <c r="V1127" s="33"/>
      <c r="W1127" s="33"/>
      <c r="X1127" s="33"/>
      <c r="Y1127" s="33"/>
      <c r="Z1127" s="33"/>
      <c r="AA1127" s="33"/>
      <c r="AB1127" s="33"/>
      <c r="AC1127" s="33"/>
      <c r="AD1127" s="593"/>
    </row>
    <row r="1128" spans="18:30" x14ac:dyDescent="0.25">
      <c r="R1128" s="33"/>
      <c r="S1128" s="33"/>
      <c r="T1128" s="33"/>
      <c r="U1128" s="33"/>
      <c r="V1128" s="33"/>
      <c r="W1128" s="33"/>
      <c r="X1128" s="33"/>
      <c r="Y1128" s="33"/>
      <c r="Z1128" s="33"/>
      <c r="AA1128" s="33"/>
      <c r="AB1128" s="33"/>
      <c r="AC1128" s="33"/>
      <c r="AD1128" s="593"/>
    </row>
    <row r="1129" spans="18:30" x14ac:dyDescent="0.25">
      <c r="R1129" s="33"/>
      <c r="S1129" s="33"/>
      <c r="T1129" s="33"/>
      <c r="U1129" s="33"/>
      <c r="V1129" s="33"/>
      <c r="W1129" s="33"/>
      <c r="X1129" s="33"/>
      <c r="Y1129" s="33"/>
      <c r="Z1129" s="33"/>
      <c r="AA1129" s="33"/>
      <c r="AB1129" s="33"/>
      <c r="AC1129" s="33"/>
      <c r="AD1129" s="593"/>
    </row>
    <row r="1130" spans="18:30" x14ac:dyDescent="0.25">
      <c r="R1130" s="33"/>
      <c r="S1130" s="33"/>
      <c r="T1130" s="33"/>
      <c r="U1130" s="33"/>
      <c r="V1130" s="33"/>
      <c r="W1130" s="33"/>
      <c r="X1130" s="33"/>
      <c r="Y1130" s="33"/>
      <c r="Z1130" s="33"/>
      <c r="AA1130" s="33"/>
      <c r="AB1130" s="33"/>
      <c r="AC1130" s="33"/>
      <c r="AD1130" s="593"/>
    </row>
    <row r="1131" spans="18:30" x14ac:dyDescent="0.25">
      <c r="R1131" s="33"/>
      <c r="S1131" s="33"/>
      <c r="T1131" s="33"/>
      <c r="U1131" s="33"/>
      <c r="V1131" s="33"/>
      <c r="W1131" s="33"/>
      <c r="X1131" s="33"/>
      <c r="Y1131" s="33"/>
      <c r="Z1131" s="33"/>
      <c r="AA1131" s="33"/>
      <c r="AB1131" s="33"/>
      <c r="AC1131" s="33"/>
      <c r="AD1131" s="593"/>
    </row>
    <row r="1132" spans="18:30" x14ac:dyDescent="0.25">
      <c r="R1132" s="33"/>
      <c r="S1132" s="33"/>
      <c r="T1132" s="33"/>
      <c r="U1132" s="33"/>
      <c r="V1132" s="33"/>
      <c r="W1132" s="33"/>
      <c r="X1132" s="33"/>
      <c r="Y1132" s="33"/>
      <c r="Z1132" s="33"/>
      <c r="AA1132" s="33"/>
      <c r="AB1132" s="33"/>
      <c r="AC1132" s="33"/>
      <c r="AD1132" s="593"/>
    </row>
    <row r="1133" spans="18:30" x14ac:dyDescent="0.25">
      <c r="R1133" s="33"/>
      <c r="S1133" s="33"/>
      <c r="T1133" s="33"/>
      <c r="U1133" s="33"/>
      <c r="V1133" s="33"/>
      <c r="W1133" s="33"/>
      <c r="X1133" s="33"/>
      <c r="Y1133" s="33"/>
      <c r="Z1133" s="33"/>
      <c r="AA1133" s="33"/>
      <c r="AB1133" s="33"/>
      <c r="AC1133" s="33"/>
      <c r="AD1133" s="593"/>
    </row>
    <row r="1134" spans="18:30" x14ac:dyDescent="0.25">
      <c r="R1134" s="33"/>
      <c r="S1134" s="33"/>
      <c r="T1134" s="33"/>
      <c r="U1134" s="33"/>
      <c r="V1134" s="33"/>
      <c r="W1134" s="33"/>
      <c r="X1134" s="33"/>
      <c r="Y1134" s="33"/>
      <c r="Z1134" s="33"/>
      <c r="AA1134" s="33"/>
      <c r="AB1134" s="33"/>
      <c r="AC1134" s="33"/>
      <c r="AD1134" s="593"/>
    </row>
    <row r="1135" spans="18:30" x14ac:dyDescent="0.25">
      <c r="R1135" s="33"/>
      <c r="S1135" s="33"/>
      <c r="T1135" s="33"/>
      <c r="U1135" s="33"/>
      <c r="V1135" s="33"/>
      <c r="W1135" s="33"/>
      <c r="X1135" s="33"/>
      <c r="Y1135" s="33"/>
      <c r="Z1135" s="33"/>
      <c r="AA1135" s="33"/>
      <c r="AB1135" s="33"/>
      <c r="AC1135" s="33"/>
      <c r="AD1135" s="593"/>
    </row>
    <row r="1136" spans="18:30" x14ac:dyDescent="0.25">
      <c r="R1136" s="33"/>
      <c r="S1136" s="33"/>
      <c r="T1136" s="33"/>
      <c r="U1136" s="33"/>
      <c r="V1136" s="33"/>
      <c r="W1136" s="33"/>
      <c r="X1136" s="33"/>
      <c r="Y1136" s="33"/>
      <c r="Z1136" s="33"/>
      <c r="AA1136" s="33"/>
      <c r="AB1136" s="33"/>
      <c r="AC1136" s="33"/>
      <c r="AD1136" s="593"/>
    </row>
    <row r="1137" spans="18:30" x14ac:dyDescent="0.25">
      <c r="R1137" s="33"/>
      <c r="S1137" s="33"/>
      <c r="T1137" s="33"/>
      <c r="U1137" s="33"/>
      <c r="V1137" s="33"/>
      <c r="W1137" s="33"/>
      <c r="X1137" s="33"/>
      <c r="Y1137" s="33"/>
      <c r="Z1137" s="33"/>
      <c r="AA1137" s="33"/>
      <c r="AB1137" s="33"/>
      <c r="AC1137" s="33"/>
      <c r="AD1137" s="593"/>
    </row>
    <row r="1138" spans="18:30" x14ac:dyDescent="0.25">
      <c r="R1138" s="33"/>
      <c r="S1138" s="33"/>
      <c r="T1138" s="33"/>
      <c r="U1138" s="33"/>
      <c r="V1138" s="33"/>
      <c r="W1138" s="33"/>
      <c r="X1138" s="33"/>
      <c r="Y1138" s="33"/>
      <c r="Z1138" s="33"/>
      <c r="AA1138" s="33"/>
      <c r="AB1138" s="33"/>
      <c r="AC1138" s="33"/>
      <c r="AD1138" s="593"/>
    </row>
    <row r="1139" spans="18:30" x14ac:dyDescent="0.25">
      <c r="R1139" s="33"/>
      <c r="S1139" s="33"/>
      <c r="T1139" s="33"/>
      <c r="U1139" s="33"/>
      <c r="V1139" s="33"/>
      <c r="W1139" s="33"/>
      <c r="X1139" s="33"/>
      <c r="Y1139" s="33"/>
      <c r="Z1139" s="33"/>
      <c r="AA1139" s="33"/>
      <c r="AB1139" s="33"/>
      <c r="AC1139" s="33"/>
      <c r="AD1139" s="593"/>
    </row>
    <row r="1140" spans="18:30" x14ac:dyDescent="0.25">
      <c r="R1140" s="33"/>
      <c r="S1140" s="33"/>
      <c r="T1140" s="33"/>
      <c r="U1140" s="33"/>
      <c r="V1140" s="33"/>
      <c r="W1140" s="33"/>
      <c r="X1140" s="33"/>
      <c r="Y1140" s="33"/>
      <c r="Z1140" s="33"/>
      <c r="AA1140" s="33"/>
      <c r="AB1140" s="33"/>
      <c r="AC1140" s="33"/>
      <c r="AD1140" s="593"/>
    </row>
    <row r="1141" spans="18:30" x14ac:dyDescent="0.25">
      <c r="R1141" s="33"/>
      <c r="S1141" s="33"/>
      <c r="T1141" s="33"/>
      <c r="U1141" s="33"/>
      <c r="V1141" s="33"/>
      <c r="W1141" s="33"/>
      <c r="X1141" s="33"/>
      <c r="Y1141" s="33"/>
      <c r="Z1141" s="33"/>
      <c r="AA1141" s="33"/>
      <c r="AB1141" s="33"/>
      <c r="AC1141" s="33"/>
      <c r="AD1141" s="593"/>
    </row>
    <row r="1142" spans="18:30" x14ac:dyDescent="0.25">
      <c r="R1142" s="33"/>
      <c r="S1142" s="33"/>
      <c r="T1142" s="33"/>
      <c r="U1142" s="33"/>
      <c r="V1142" s="33"/>
      <c r="W1142" s="33"/>
      <c r="X1142" s="33"/>
      <c r="Y1142" s="33"/>
      <c r="Z1142" s="33"/>
      <c r="AA1142" s="33"/>
      <c r="AB1142" s="33"/>
      <c r="AC1142" s="33"/>
      <c r="AD1142" s="593"/>
    </row>
    <row r="1143" spans="18:30" x14ac:dyDescent="0.25">
      <c r="R1143" s="33"/>
      <c r="S1143" s="33"/>
      <c r="T1143" s="33"/>
      <c r="U1143" s="33"/>
      <c r="V1143" s="33"/>
      <c r="W1143" s="33"/>
      <c r="X1143" s="33"/>
      <c r="Y1143" s="33"/>
      <c r="Z1143" s="33"/>
      <c r="AA1143" s="33"/>
      <c r="AB1143" s="33"/>
      <c r="AC1143" s="33"/>
      <c r="AD1143" s="593"/>
    </row>
    <row r="1144" spans="18:30" x14ac:dyDescent="0.25">
      <c r="R1144" s="33"/>
      <c r="S1144" s="33"/>
      <c r="T1144" s="33"/>
      <c r="U1144" s="33"/>
      <c r="V1144" s="33"/>
      <c r="W1144" s="33"/>
      <c r="X1144" s="33"/>
      <c r="Y1144" s="33"/>
      <c r="Z1144" s="33"/>
      <c r="AA1144" s="33"/>
      <c r="AB1144" s="33"/>
      <c r="AC1144" s="33"/>
      <c r="AD1144" s="593"/>
    </row>
    <row r="1145" spans="18:30" x14ac:dyDescent="0.25">
      <c r="R1145" s="33"/>
      <c r="S1145" s="33"/>
      <c r="T1145" s="33"/>
      <c r="U1145" s="33"/>
      <c r="V1145" s="33"/>
      <c r="W1145" s="33"/>
      <c r="X1145" s="33"/>
      <c r="Y1145" s="33"/>
      <c r="Z1145" s="33"/>
      <c r="AA1145" s="33"/>
      <c r="AB1145" s="33"/>
      <c r="AC1145" s="33"/>
      <c r="AD1145" s="593"/>
    </row>
    <row r="1146" spans="18:30" x14ac:dyDescent="0.25">
      <c r="R1146" s="33"/>
      <c r="S1146" s="33"/>
      <c r="T1146" s="33"/>
      <c r="U1146" s="33"/>
      <c r="V1146" s="33"/>
      <c r="W1146" s="33"/>
      <c r="X1146" s="33"/>
      <c r="Y1146" s="33"/>
      <c r="Z1146" s="33"/>
      <c r="AA1146" s="33"/>
      <c r="AB1146" s="33"/>
      <c r="AC1146" s="33"/>
      <c r="AD1146" s="593"/>
    </row>
    <row r="1147" spans="18:30" x14ac:dyDescent="0.25">
      <c r="R1147" s="33"/>
      <c r="S1147" s="33"/>
      <c r="T1147" s="33"/>
      <c r="U1147" s="33"/>
      <c r="V1147" s="33"/>
      <c r="W1147" s="33"/>
      <c r="X1147" s="33"/>
      <c r="Y1147" s="33"/>
      <c r="Z1147" s="33"/>
      <c r="AA1147" s="33"/>
      <c r="AB1147" s="33"/>
      <c r="AC1147" s="33"/>
      <c r="AD1147" s="593"/>
    </row>
    <row r="1148" spans="18:30" x14ac:dyDescent="0.25">
      <c r="R1148" s="33"/>
      <c r="S1148" s="33"/>
      <c r="T1148" s="33"/>
      <c r="U1148" s="33"/>
      <c r="V1148" s="33"/>
      <c r="W1148" s="33"/>
      <c r="X1148" s="33"/>
      <c r="Y1148" s="33"/>
      <c r="Z1148" s="33"/>
      <c r="AA1148" s="33"/>
      <c r="AB1148" s="33"/>
      <c r="AC1148" s="33"/>
      <c r="AD1148" s="593"/>
    </row>
    <row r="1149" spans="18:30" x14ac:dyDescent="0.25">
      <c r="R1149" s="33"/>
      <c r="S1149" s="33"/>
      <c r="T1149" s="33"/>
      <c r="U1149" s="33"/>
      <c r="V1149" s="33"/>
      <c r="W1149" s="33"/>
      <c r="X1149" s="33"/>
      <c r="Y1149" s="33"/>
      <c r="Z1149" s="33"/>
      <c r="AA1149" s="33"/>
      <c r="AB1149" s="33"/>
      <c r="AC1149" s="33"/>
      <c r="AD1149" s="593"/>
    </row>
    <row r="1150" spans="18:30" x14ac:dyDescent="0.25">
      <c r="R1150" s="33"/>
      <c r="S1150" s="33"/>
      <c r="T1150" s="33"/>
      <c r="U1150" s="33"/>
      <c r="V1150" s="33"/>
      <c r="W1150" s="33"/>
      <c r="X1150" s="33"/>
      <c r="Y1150" s="33"/>
      <c r="Z1150" s="33"/>
      <c r="AA1150" s="33"/>
      <c r="AB1150" s="33"/>
      <c r="AC1150" s="33"/>
      <c r="AD1150" s="593"/>
    </row>
    <row r="1151" spans="18:30" x14ac:dyDescent="0.25">
      <c r="R1151" s="33"/>
      <c r="S1151" s="33"/>
      <c r="T1151" s="33"/>
      <c r="U1151" s="33"/>
      <c r="V1151" s="33"/>
      <c r="W1151" s="33"/>
      <c r="X1151" s="33"/>
      <c r="Y1151" s="33"/>
      <c r="Z1151" s="33"/>
      <c r="AA1151" s="33"/>
      <c r="AB1151" s="33"/>
      <c r="AC1151" s="33"/>
      <c r="AD1151" s="593"/>
    </row>
    <row r="1152" spans="18:30" x14ac:dyDescent="0.25">
      <c r="R1152" s="33"/>
      <c r="S1152" s="33"/>
      <c r="T1152" s="33"/>
      <c r="U1152" s="33"/>
      <c r="V1152" s="33"/>
      <c r="W1152" s="33"/>
      <c r="X1152" s="33"/>
      <c r="Y1152" s="33"/>
      <c r="Z1152" s="33"/>
      <c r="AA1152" s="33"/>
      <c r="AB1152" s="33"/>
      <c r="AC1152" s="33"/>
      <c r="AD1152" s="593"/>
    </row>
    <row r="1153" spans="18:30" x14ac:dyDescent="0.25">
      <c r="R1153" s="33"/>
      <c r="S1153" s="33"/>
      <c r="T1153" s="33"/>
      <c r="U1153" s="33"/>
      <c r="V1153" s="33"/>
      <c r="W1153" s="33"/>
      <c r="X1153" s="33"/>
      <c r="Y1153" s="33"/>
      <c r="Z1153" s="33"/>
      <c r="AA1153" s="33"/>
      <c r="AB1153" s="33"/>
      <c r="AC1153" s="33"/>
      <c r="AD1153" s="593"/>
    </row>
    <row r="1154" spans="18:30" x14ac:dyDescent="0.25">
      <c r="R1154" s="33"/>
      <c r="S1154" s="33"/>
      <c r="T1154" s="33"/>
      <c r="U1154" s="33"/>
      <c r="V1154" s="33"/>
      <c r="W1154" s="33"/>
      <c r="X1154" s="33"/>
      <c r="Y1154" s="33"/>
      <c r="Z1154" s="33"/>
      <c r="AA1154" s="33"/>
      <c r="AB1154" s="33"/>
      <c r="AC1154" s="33"/>
      <c r="AD1154" s="593"/>
    </row>
    <row r="1155" spans="18:30" x14ac:dyDescent="0.25">
      <c r="R1155" s="33"/>
      <c r="S1155" s="33"/>
      <c r="T1155" s="33"/>
      <c r="U1155" s="33"/>
      <c r="V1155" s="33"/>
      <c r="W1155" s="33"/>
      <c r="X1155" s="33"/>
      <c r="Y1155" s="33"/>
      <c r="Z1155" s="33"/>
      <c r="AA1155" s="33"/>
      <c r="AB1155" s="33"/>
      <c r="AC1155" s="33"/>
      <c r="AD1155" s="593"/>
    </row>
    <row r="1156" spans="18:30" x14ac:dyDescent="0.25">
      <c r="R1156" s="33"/>
      <c r="S1156" s="33"/>
      <c r="T1156" s="33"/>
      <c r="U1156" s="33"/>
      <c r="V1156" s="33"/>
      <c r="W1156" s="33"/>
      <c r="X1156" s="33"/>
      <c r="Y1156" s="33"/>
      <c r="Z1156" s="33"/>
      <c r="AA1156" s="33"/>
      <c r="AB1156" s="33"/>
      <c r="AC1156" s="33"/>
      <c r="AD1156" s="593"/>
    </row>
    <row r="1157" spans="18:30" x14ac:dyDescent="0.25">
      <c r="R1157" s="33"/>
      <c r="S1157" s="33"/>
      <c r="T1157" s="33"/>
      <c r="U1157" s="33"/>
      <c r="V1157" s="33"/>
      <c r="W1157" s="33"/>
      <c r="X1157" s="33"/>
      <c r="Y1157" s="33"/>
      <c r="Z1157" s="33"/>
      <c r="AA1157" s="33"/>
      <c r="AB1157" s="33"/>
      <c r="AC1157" s="33"/>
      <c r="AD1157" s="593"/>
    </row>
    <row r="1158" spans="18:30" x14ac:dyDescent="0.25">
      <c r="R1158" s="33"/>
      <c r="S1158" s="33"/>
      <c r="T1158" s="33"/>
      <c r="U1158" s="33"/>
      <c r="V1158" s="33"/>
      <c r="W1158" s="33"/>
      <c r="X1158" s="33"/>
      <c r="Y1158" s="33"/>
      <c r="Z1158" s="33"/>
      <c r="AA1158" s="33"/>
      <c r="AB1158" s="33"/>
      <c r="AC1158" s="33"/>
      <c r="AD1158" s="593"/>
    </row>
    <row r="1159" spans="18:30" x14ac:dyDescent="0.25">
      <c r="R1159" s="33"/>
      <c r="S1159" s="33"/>
      <c r="T1159" s="33"/>
      <c r="U1159" s="33"/>
      <c r="V1159" s="33"/>
      <c r="W1159" s="33"/>
      <c r="X1159" s="33"/>
      <c r="Y1159" s="33"/>
      <c r="Z1159" s="33"/>
      <c r="AA1159" s="33"/>
      <c r="AB1159" s="33"/>
      <c r="AC1159" s="33"/>
      <c r="AD1159" s="593"/>
    </row>
    <row r="1160" spans="18:30" x14ac:dyDescent="0.25">
      <c r="R1160" s="33"/>
      <c r="S1160" s="33"/>
      <c r="T1160" s="33"/>
      <c r="U1160" s="33"/>
      <c r="V1160" s="33"/>
      <c r="W1160" s="33"/>
      <c r="X1160" s="33"/>
      <c r="Y1160" s="33"/>
      <c r="Z1160" s="33"/>
      <c r="AA1160" s="33"/>
      <c r="AB1160" s="33"/>
      <c r="AC1160" s="33"/>
      <c r="AD1160" s="593"/>
    </row>
    <row r="1161" spans="18:30" x14ac:dyDescent="0.25">
      <c r="R1161" s="33"/>
      <c r="S1161" s="33"/>
      <c r="T1161" s="33"/>
      <c r="U1161" s="33"/>
      <c r="V1161" s="33"/>
      <c r="W1161" s="33"/>
      <c r="X1161" s="33"/>
      <c r="Y1161" s="33"/>
      <c r="Z1161" s="33"/>
      <c r="AA1161" s="33"/>
      <c r="AB1161" s="33"/>
      <c r="AC1161" s="33"/>
      <c r="AD1161" s="593"/>
    </row>
    <row r="1162" spans="18:30" x14ac:dyDescent="0.25">
      <c r="R1162" s="33"/>
      <c r="S1162" s="33"/>
      <c r="T1162" s="33"/>
      <c r="U1162" s="33"/>
      <c r="V1162" s="33"/>
      <c r="W1162" s="33"/>
      <c r="X1162" s="33"/>
      <c r="Y1162" s="33"/>
      <c r="Z1162" s="33"/>
      <c r="AA1162" s="33"/>
      <c r="AB1162" s="33"/>
      <c r="AC1162" s="33"/>
      <c r="AD1162" s="593"/>
    </row>
    <row r="1163" spans="18:30" x14ac:dyDescent="0.25">
      <c r="R1163" s="33"/>
      <c r="S1163" s="33"/>
      <c r="T1163" s="33"/>
      <c r="U1163" s="33"/>
      <c r="V1163" s="33"/>
      <c r="W1163" s="33"/>
      <c r="X1163" s="33"/>
      <c r="Y1163" s="33"/>
      <c r="Z1163" s="33"/>
      <c r="AA1163" s="33"/>
      <c r="AB1163" s="33"/>
      <c r="AC1163" s="33"/>
      <c r="AD1163" s="593"/>
    </row>
    <row r="1164" spans="18:30" x14ac:dyDescent="0.25">
      <c r="R1164" s="33"/>
      <c r="S1164" s="33"/>
      <c r="T1164" s="33"/>
      <c r="U1164" s="33"/>
      <c r="V1164" s="33"/>
      <c r="W1164" s="33"/>
      <c r="X1164" s="33"/>
      <c r="Y1164" s="33"/>
      <c r="Z1164" s="33"/>
      <c r="AA1164" s="33"/>
      <c r="AB1164" s="33"/>
      <c r="AC1164" s="33"/>
      <c r="AD1164" s="593"/>
    </row>
    <row r="1165" spans="18:30" x14ac:dyDescent="0.25">
      <c r="R1165" s="33"/>
      <c r="S1165" s="33"/>
      <c r="T1165" s="33"/>
      <c r="U1165" s="33"/>
      <c r="V1165" s="33"/>
      <c r="W1165" s="33"/>
      <c r="X1165" s="33"/>
      <c r="Y1165" s="33"/>
      <c r="Z1165" s="33"/>
      <c r="AA1165" s="33"/>
      <c r="AB1165" s="33"/>
      <c r="AC1165" s="33"/>
      <c r="AD1165" s="593"/>
    </row>
    <row r="1166" spans="18:30" x14ac:dyDescent="0.25">
      <c r="R1166" s="33"/>
      <c r="S1166" s="33"/>
      <c r="T1166" s="33"/>
      <c r="U1166" s="33"/>
      <c r="V1166" s="33"/>
      <c r="W1166" s="33"/>
      <c r="X1166" s="33"/>
      <c r="Y1166" s="33"/>
      <c r="Z1166" s="33"/>
      <c r="AA1166" s="33"/>
      <c r="AB1166" s="33"/>
      <c r="AC1166" s="33"/>
      <c r="AD1166" s="593"/>
    </row>
    <row r="1167" spans="18:30" x14ac:dyDescent="0.25">
      <c r="R1167" s="33"/>
      <c r="S1167" s="33"/>
      <c r="T1167" s="33"/>
      <c r="U1167" s="33"/>
      <c r="V1167" s="33"/>
      <c r="W1167" s="33"/>
      <c r="X1167" s="33"/>
      <c r="Y1167" s="33"/>
      <c r="Z1167" s="33"/>
      <c r="AA1167" s="33"/>
      <c r="AB1167" s="33"/>
      <c r="AC1167" s="33"/>
      <c r="AD1167" s="593"/>
    </row>
    <row r="1168" spans="18:30" x14ac:dyDescent="0.25">
      <c r="R1168" s="33"/>
      <c r="S1168" s="33"/>
      <c r="T1168" s="33"/>
      <c r="U1168" s="33"/>
      <c r="V1168" s="33"/>
      <c r="W1168" s="33"/>
      <c r="X1168" s="33"/>
      <c r="Y1168" s="33"/>
      <c r="Z1168" s="33"/>
      <c r="AA1168" s="33"/>
      <c r="AB1168" s="33"/>
      <c r="AC1168" s="33"/>
      <c r="AD1168" s="593"/>
    </row>
    <row r="1169" spans="18:30" x14ac:dyDescent="0.25">
      <c r="R1169" s="33"/>
      <c r="S1169" s="33"/>
      <c r="T1169" s="33"/>
      <c r="U1169" s="33"/>
      <c r="V1169" s="33"/>
      <c r="W1169" s="33"/>
      <c r="X1169" s="33"/>
      <c r="Y1169" s="33"/>
      <c r="Z1169" s="33"/>
      <c r="AA1169" s="33"/>
      <c r="AB1169" s="33"/>
      <c r="AC1169" s="33"/>
      <c r="AD1169" s="593"/>
    </row>
    <row r="1170" spans="18:30" x14ac:dyDescent="0.25">
      <c r="R1170" s="33"/>
      <c r="S1170" s="33"/>
      <c r="T1170" s="33"/>
      <c r="U1170" s="33"/>
      <c r="V1170" s="33"/>
      <c r="W1170" s="33"/>
      <c r="X1170" s="33"/>
      <c r="Y1170" s="33"/>
      <c r="Z1170" s="33"/>
      <c r="AA1170" s="33"/>
      <c r="AB1170" s="33"/>
      <c r="AC1170" s="33"/>
      <c r="AD1170" s="593"/>
    </row>
    <row r="1171" spans="18:30" x14ac:dyDescent="0.25">
      <c r="R1171" s="33"/>
      <c r="S1171" s="33"/>
      <c r="T1171" s="33"/>
      <c r="U1171" s="33"/>
      <c r="V1171" s="33"/>
      <c r="W1171" s="33"/>
      <c r="X1171" s="33"/>
      <c r="Y1171" s="33"/>
      <c r="Z1171" s="33"/>
      <c r="AA1171" s="33"/>
      <c r="AB1171" s="33"/>
      <c r="AC1171" s="33"/>
      <c r="AD1171" s="593"/>
    </row>
    <row r="1172" spans="18:30" x14ac:dyDescent="0.25">
      <c r="R1172" s="33"/>
      <c r="S1172" s="33"/>
      <c r="T1172" s="33"/>
      <c r="U1172" s="33"/>
      <c r="V1172" s="33"/>
      <c r="W1172" s="33"/>
      <c r="X1172" s="33"/>
      <c r="Y1172" s="33"/>
      <c r="Z1172" s="33"/>
      <c r="AA1172" s="33"/>
      <c r="AB1172" s="33"/>
      <c r="AC1172" s="33"/>
      <c r="AD1172" s="593"/>
    </row>
    <row r="1173" spans="18:30" x14ac:dyDescent="0.25">
      <c r="R1173" s="33"/>
      <c r="S1173" s="33"/>
      <c r="T1173" s="33"/>
      <c r="U1173" s="33"/>
      <c r="V1173" s="33"/>
      <c r="W1173" s="33"/>
      <c r="X1173" s="33"/>
      <c r="Y1173" s="33"/>
      <c r="Z1173" s="33"/>
      <c r="AA1173" s="33"/>
      <c r="AB1173" s="33"/>
      <c r="AC1173" s="33"/>
      <c r="AD1173" s="593"/>
    </row>
    <row r="1174" spans="18:30" x14ac:dyDescent="0.25">
      <c r="R1174" s="33"/>
      <c r="S1174" s="33"/>
      <c r="T1174" s="33"/>
      <c r="U1174" s="33"/>
      <c r="V1174" s="33"/>
      <c r="W1174" s="33"/>
      <c r="X1174" s="33"/>
      <c r="Y1174" s="33"/>
      <c r="Z1174" s="33"/>
      <c r="AA1174" s="33"/>
      <c r="AB1174" s="33"/>
      <c r="AC1174" s="33"/>
      <c r="AD1174" s="593"/>
    </row>
    <row r="1175" spans="18:30" x14ac:dyDescent="0.25">
      <c r="R1175" s="33"/>
      <c r="S1175" s="33"/>
      <c r="T1175" s="33"/>
      <c r="U1175" s="33"/>
      <c r="V1175" s="33"/>
      <c r="W1175" s="33"/>
      <c r="X1175" s="33"/>
      <c r="Y1175" s="33"/>
      <c r="Z1175" s="33"/>
      <c r="AA1175" s="33"/>
      <c r="AB1175" s="33"/>
      <c r="AC1175" s="33"/>
      <c r="AD1175" s="593"/>
    </row>
    <row r="1176" spans="18:30" x14ac:dyDescent="0.25">
      <c r="R1176" s="33"/>
      <c r="S1176" s="33"/>
      <c r="T1176" s="33"/>
      <c r="U1176" s="33"/>
      <c r="V1176" s="33"/>
      <c r="W1176" s="33"/>
      <c r="X1176" s="33"/>
      <c r="Y1176" s="33"/>
      <c r="Z1176" s="33"/>
      <c r="AA1176" s="33"/>
      <c r="AB1176" s="33"/>
      <c r="AC1176" s="33"/>
      <c r="AD1176" s="593"/>
    </row>
    <row r="1177" spans="18:30" x14ac:dyDescent="0.25">
      <c r="R1177" s="33"/>
      <c r="S1177" s="33"/>
      <c r="T1177" s="33"/>
      <c r="U1177" s="33"/>
      <c r="V1177" s="33"/>
      <c r="W1177" s="33"/>
      <c r="X1177" s="33"/>
      <c r="Y1177" s="33"/>
      <c r="Z1177" s="33"/>
      <c r="AA1177" s="33"/>
      <c r="AB1177" s="33"/>
      <c r="AC1177" s="33"/>
      <c r="AD1177" s="593"/>
    </row>
    <row r="1178" spans="18:30" x14ac:dyDescent="0.25">
      <c r="R1178" s="33"/>
      <c r="S1178" s="33"/>
      <c r="T1178" s="33"/>
      <c r="U1178" s="33"/>
      <c r="V1178" s="33"/>
      <c r="W1178" s="33"/>
      <c r="X1178" s="33"/>
      <c r="Y1178" s="33"/>
      <c r="Z1178" s="33"/>
      <c r="AA1178" s="33"/>
      <c r="AB1178" s="33"/>
      <c r="AC1178" s="33"/>
      <c r="AD1178" s="593"/>
    </row>
    <row r="1179" spans="18:30" x14ac:dyDescent="0.25">
      <c r="R1179" s="33"/>
      <c r="S1179" s="33"/>
      <c r="T1179" s="33"/>
      <c r="U1179" s="33"/>
      <c r="V1179" s="33"/>
      <c r="W1179" s="33"/>
      <c r="X1179" s="33"/>
      <c r="Y1179" s="33"/>
      <c r="Z1179" s="33"/>
      <c r="AA1179" s="33"/>
      <c r="AB1179" s="33"/>
      <c r="AC1179" s="33"/>
      <c r="AD1179" s="593"/>
    </row>
    <row r="1180" spans="18:30" x14ac:dyDescent="0.25">
      <c r="R1180" s="33"/>
      <c r="S1180" s="33"/>
      <c r="T1180" s="33"/>
      <c r="U1180" s="33"/>
      <c r="V1180" s="33"/>
      <c r="W1180" s="33"/>
      <c r="X1180" s="33"/>
      <c r="Y1180" s="33"/>
      <c r="Z1180" s="33"/>
      <c r="AA1180" s="33"/>
      <c r="AB1180" s="33"/>
      <c r="AC1180" s="33"/>
      <c r="AD1180" s="593"/>
    </row>
    <row r="1181" spans="18:30" x14ac:dyDescent="0.25">
      <c r="R1181" s="33"/>
      <c r="S1181" s="33"/>
      <c r="T1181" s="33"/>
      <c r="U1181" s="33"/>
      <c r="V1181" s="33"/>
      <c r="W1181" s="33"/>
      <c r="X1181" s="33"/>
      <c r="Y1181" s="33"/>
      <c r="Z1181" s="33"/>
      <c r="AA1181" s="33"/>
      <c r="AB1181" s="33"/>
      <c r="AC1181" s="33"/>
      <c r="AD1181" s="593"/>
    </row>
    <row r="1182" spans="18:30" x14ac:dyDescent="0.25">
      <c r="R1182" s="33"/>
      <c r="S1182" s="33"/>
      <c r="T1182" s="33"/>
      <c r="U1182" s="33"/>
      <c r="V1182" s="33"/>
      <c r="W1182" s="33"/>
      <c r="X1182" s="33"/>
      <c r="Y1182" s="33"/>
      <c r="Z1182" s="33"/>
      <c r="AA1182" s="33"/>
      <c r="AB1182" s="33"/>
      <c r="AC1182" s="33"/>
      <c r="AD1182" s="593"/>
    </row>
    <row r="1183" spans="18:30" x14ac:dyDescent="0.25">
      <c r="R1183" s="33"/>
      <c r="S1183" s="33"/>
      <c r="T1183" s="33"/>
      <c r="U1183" s="33"/>
      <c r="V1183" s="33"/>
      <c r="W1183" s="33"/>
      <c r="X1183" s="33"/>
      <c r="Y1183" s="33"/>
      <c r="Z1183" s="33"/>
      <c r="AA1183" s="33"/>
      <c r="AB1183" s="33"/>
      <c r="AC1183" s="33"/>
      <c r="AD1183" s="593"/>
    </row>
    <row r="1184" spans="18:30" x14ac:dyDescent="0.25">
      <c r="R1184" s="33"/>
      <c r="S1184" s="33"/>
      <c r="T1184" s="33"/>
      <c r="U1184" s="33"/>
      <c r="V1184" s="33"/>
      <c r="W1184" s="33"/>
      <c r="X1184" s="33"/>
      <c r="Y1184" s="33"/>
      <c r="Z1184" s="33"/>
      <c r="AA1184" s="33"/>
      <c r="AB1184" s="33"/>
      <c r="AC1184" s="33"/>
      <c r="AD1184" s="593"/>
    </row>
    <row r="1185" spans="18:30" x14ac:dyDescent="0.25">
      <c r="R1185" s="33"/>
      <c r="S1185" s="33"/>
      <c r="T1185" s="33"/>
      <c r="U1185" s="33"/>
      <c r="V1185" s="33"/>
      <c r="W1185" s="33"/>
      <c r="X1185" s="33"/>
      <c r="Y1185" s="33"/>
      <c r="Z1185" s="33"/>
      <c r="AA1185" s="33"/>
      <c r="AB1185" s="33"/>
      <c r="AC1185" s="33"/>
      <c r="AD1185" s="593"/>
    </row>
    <row r="1186" spans="18:30" x14ac:dyDescent="0.25">
      <c r="R1186" s="33"/>
      <c r="S1186" s="33"/>
      <c r="T1186" s="33"/>
      <c r="U1186" s="33"/>
      <c r="V1186" s="33"/>
      <c r="W1186" s="33"/>
      <c r="X1186" s="33"/>
      <c r="Y1186" s="33"/>
      <c r="Z1186" s="33"/>
      <c r="AA1186" s="33"/>
      <c r="AB1186" s="33"/>
      <c r="AC1186" s="33"/>
      <c r="AD1186" s="593"/>
    </row>
    <row r="1187" spans="18:30" x14ac:dyDescent="0.25">
      <c r="R1187" s="33"/>
      <c r="S1187" s="33"/>
      <c r="T1187" s="33"/>
      <c r="U1187" s="33"/>
      <c r="V1187" s="33"/>
      <c r="W1187" s="33"/>
      <c r="X1187" s="33"/>
      <c r="Y1187" s="33"/>
      <c r="Z1187" s="33"/>
      <c r="AA1187" s="33"/>
      <c r="AB1187" s="33"/>
      <c r="AC1187" s="33"/>
      <c r="AD1187" s="593"/>
    </row>
    <row r="1188" spans="18:30" x14ac:dyDescent="0.25">
      <c r="R1188" s="33"/>
      <c r="S1188" s="33"/>
      <c r="T1188" s="33"/>
      <c r="U1188" s="33"/>
      <c r="V1188" s="33"/>
      <c r="W1188" s="33"/>
      <c r="X1188" s="33"/>
      <c r="Y1188" s="33"/>
      <c r="Z1188" s="33"/>
      <c r="AA1188" s="33"/>
      <c r="AB1188" s="33"/>
      <c r="AC1188" s="33"/>
      <c r="AD1188" s="593"/>
    </row>
    <row r="1189" spans="18:30" x14ac:dyDescent="0.25">
      <c r="R1189" s="33"/>
      <c r="S1189" s="33"/>
      <c r="T1189" s="33"/>
      <c r="U1189" s="33"/>
      <c r="V1189" s="33"/>
      <c r="W1189" s="33"/>
      <c r="X1189" s="33"/>
      <c r="Y1189" s="33"/>
      <c r="Z1189" s="33"/>
      <c r="AA1189" s="33"/>
      <c r="AB1189" s="33"/>
      <c r="AC1189" s="33"/>
      <c r="AD1189" s="593"/>
    </row>
    <row r="1190" spans="18:30" x14ac:dyDescent="0.25">
      <c r="R1190" s="33"/>
      <c r="S1190" s="33"/>
      <c r="T1190" s="33"/>
      <c r="U1190" s="33"/>
      <c r="V1190" s="33"/>
      <c r="W1190" s="33"/>
      <c r="X1190" s="33"/>
      <c r="Y1190" s="33"/>
      <c r="Z1190" s="33"/>
      <c r="AA1190" s="33"/>
      <c r="AB1190" s="33"/>
      <c r="AC1190" s="33"/>
      <c r="AD1190" s="593"/>
    </row>
    <row r="1191" spans="18:30" x14ac:dyDescent="0.25">
      <c r="R1191" s="33"/>
      <c r="S1191" s="33"/>
      <c r="T1191" s="33"/>
      <c r="U1191" s="33"/>
      <c r="V1191" s="33"/>
      <c r="W1191" s="33"/>
      <c r="X1191" s="33"/>
      <c r="Y1191" s="33"/>
      <c r="Z1191" s="33"/>
      <c r="AA1191" s="33"/>
      <c r="AB1191" s="33"/>
      <c r="AC1191" s="33"/>
      <c r="AD1191" s="593"/>
    </row>
    <row r="1192" spans="18:30" x14ac:dyDescent="0.25">
      <c r="R1192" s="33"/>
      <c r="S1192" s="33"/>
      <c r="T1192" s="33"/>
      <c r="U1192" s="33"/>
      <c r="V1192" s="33"/>
      <c r="W1192" s="33"/>
      <c r="X1192" s="33"/>
      <c r="Y1192" s="33"/>
      <c r="Z1192" s="33"/>
      <c r="AA1192" s="33"/>
      <c r="AB1192" s="33"/>
      <c r="AC1192" s="33"/>
      <c r="AD1192" s="593"/>
    </row>
    <row r="1193" spans="18:30" x14ac:dyDescent="0.25">
      <c r="R1193" s="33"/>
      <c r="S1193" s="33"/>
      <c r="T1193" s="33"/>
      <c r="U1193" s="33"/>
      <c r="V1193" s="33"/>
      <c r="W1193" s="33"/>
      <c r="X1193" s="33"/>
      <c r="Y1193" s="33"/>
      <c r="Z1193" s="33"/>
      <c r="AA1193" s="33"/>
      <c r="AB1193" s="33"/>
      <c r="AC1193" s="33"/>
      <c r="AD1193" s="593"/>
    </row>
    <row r="1194" spans="18:30" x14ac:dyDescent="0.25">
      <c r="R1194" s="33"/>
      <c r="S1194" s="33"/>
      <c r="T1194" s="33"/>
      <c r="U1194" s="33"/>
      <c r="V1194" s="33"/>
      <c r="W1194" s="33"/>
      <c r="X1194" s="33"/>
      <c r="Y1194" s="33"/>
      <c r="Z1194" s="33"/>
      <c r="AA1194" s="33"/>
      <c r="AB1194" s="33"/>
      <c r="AC1194" s="33"/>
      <c r="AD1194" s="593"/>
    </row>
    <row r="1195" spans="18:30" x14ac:dyDescent="0.25">
      <c r="R1195" s="33"/>
      <c r="S1195" s="33"/>
      <c r="T1195" s="33"/>
      <c r="U1195" s="33"/>
      <c r="V1195" s="33"/>
      <c r="W1195" s="33"/>
      <c r="X1195" s="33"/>
      <c r="Y1195" s="33"/>
      <c r="Z1195" s="33"/>
      <c r="AA1195" s="33"/>
      <c r="AB1195" s="33"/>
      <c r="AC1195" s="33"/>
      <c r="AD1195" s="593"/>
    </row>
    <row r="1196" spans="18:30" x14ac:dyDescent="0.25">
      <c r="R1196" s="33"/>
      <c r="S1196" s="33"/>
      <c r="T1196" s="33"/>
      <c r="U1196" s="33"/>
      <c r="V1196" s="33"/>
      <c r="W1196" s="33"/>
      <c r="X1196" s="33"/>
      <c r="Y1196" s="33"/>
      <c r="Z1196" s="33"/>
      <c r="AA1196" s="33"/>
      <c r="AB1196" s="33"/>
      <c r="AC1196" s="33"/>
      <c r="AD1196" s="593"/>
    </row>
    <row r="1197" spans="18:30" x14ac:dyDescent="0.25">
      <c r="R1197" s="33"/>
      <c r="S1197" s="33"/>
      <c r="T1197" s="33"/>
      <c r="U1197" s="33"/>
      <c r="V1197" s="33"/>
      <c r="W1197" s="33"/>
      <c r="X1197" s="33"/>
      <c r="Y1197" s="33"/>
      <c r="Z1197" s="33"/>
      <c r="AA1197" s="33"/>
      <c r="AB1197" s="33"/>
      <c r="AC1197" s="33"/>
      <c r="AD1197" s="593"/>
    </row>
    <row r="1198" spans="18:30" x14ac:dyDescent="0.25">
      <c r="R1198" s="33"/>
      <c r="S1198" s="33"/>
      <c r="T1198" s="33"/>
      <c r="U1198" s="33"/>
      <c r="V1198" s="33"/>
      <c r="W1198" s="33"/>
      <c r="X1198" s="33"/>
      <c r="Y1198" s="33"/>
      <c r="Z1198" s="33"/>
      <c r="AA1198" s="33"/>
      <c r="AB1198" s="33"/>
      <c r="AC1198" s="33"/>
      <c r="AD1198" s="593"/>
    </row>
    <row r="1199" spans="18:30" x14ac:dyDescent="0.25">
      <c r="R1199" s="33"/>
      <c r="S1199" s="33"/>
      <c r="T1199" s="33"/>
      <c r="U1199" s="33"/>
      <c r="V1199" s="33"/>
      <c r="W1199" s="33"/>
      <c r="X1199" s="33"/>
      <c r="Y1199" s="33"/>
      <c r="Z1199" s="33"/>
      <c r="AA1199" s="33"/>
      <c r="AB1199" s="33"/>
      <c r="AC1199" s="33"/>
      <c r="AD1199" s="593"/>
    </row>
    <row r="1200" spans="18:30" x14ac:dyDescent="0.25">
      <c r="R1200" s="33"/>
      <c r="S1200" s="33"/>
      <c r="T1200" s="33"/>
      <c r="U1200" s="33"/>
      <c r="V1200" s="33"/>
      <c r="W1200" s="33"/>
      <c r="X1200" s="33"/>
      <c r="Y1200" s="33"/>
      <c r="Z1200" s="33"/>
      <c r="AA1200" s="33"/>
      <c r="AB1200" s="33"/>
      <c r="AC1200" s="33"/>
      <c r="AD1200" s="593"/>
    </row>
    <row r="1201" spans="18:30" x14ac:dyDescent="0.25">
      <c r="R1201" s="33"/>
      <c r="S1201" s="33"/>
      <c r="T1201" s="33"/>
      <c r="U1201" s="33"/>
      <c r="V1201" s="33"/>
      <c r="W1201" s="33"/>
      <c r="X1201" s="33"/>
      <c r="Y1201" s="33"/>
      <c r="Z1201" s="33"/>
      <c r="AA1201" s="33"/>
      <c r="AB1201" s="33"/>
      <c r="AC1201" s="33"/>
      <c r="AD1201" s="593"/>
    </row>
    <row r="1202" spans="18:30" x14ac:dyDescent="0.25">
      <c r="R1202" s="33"/>
      <c r="S1202" s="33"/>
      <c r="T1202" s="33"/>
      <c r="U1202" s="33"/>
      <c r="V1202" s="33"/>
      <c r="W1202" s="33"/>
      <c r="X1202" s="33"/>
      <c r="Y1202" s="33"/>
      <c r="Z1202" s="33"/>
      <c r="AA1202" s="33"/>
      <c r="AB1202" s="33"/>
      <c r="AC1202" s="33"/>
      <c r="AD1202" s="593"/>
    </row>
    <row r="1203" spans="18:30" x14ac:dyDescent="0.25">
      <c r="R1203" s="33"/>
      <c r="S1203" s="33"/>
      <c r="T1203" s="33"/>
      <c r="U1203" s="33"/>
      <c r="V1203" s="33"/>
      <c r="W1203" s="33"/>
      <c r="X1203" s="33"/>
      <c r="Y1203" s="33"/>
      <c r="Z1203" s="33"/>
      <c r="AA1203" s="33"/>
      <c r="AB1203" s="33"/>
      <c r="AC1203" s="33"/>
      <c r="AD1203" s="593"/>
    </row>
    <row r="1204" spans="18:30" x14ac:dyDescent="0.25">
      <c r="R1204" s="33"/>
      <c r="S1204" s="33"/>
      <c r="T1204" s="33"/>
      <c r="U1204" s="33"/>
      <c r="V1204" s="33"/>
      <c r="W1204" s="33"/>
      <c r="X1204" s="33"/>
      <c r="Y1204" s="33"/>
      <c r="Z1204" s="33"/>
      <c r="AA1204" s="33"/>
      <c r="AB1204" s="33"/>
      <c r="AC1204" s="33"/>
      <c r="AD1204" s="593"/>
    </row>
    <row r="1205" spans="18:30" x14ac:dyDescent="0.25">
      <c r="R1205" s="33"/>
      <c r="S1205" s="33"/>
      <c r="T1205" s="33"/>
      <c r="U1205" s="33"/>
      <c r="V1205" s="33"/>
      <c r="W1205" s="33"/>
      <c r="X1205" s="33"/>
      <c r="Y1205" s="33"/>
      <c r="Z1205" s="33"/>
      <c r="AA1205" s="33"/>
      <c r="AB1205" s="33"/>
      <c r="AC1205" s="33"/>
      <c r="AD1205" s="593"/>
    </row>
    <row r="1206" spans="18:30" x14ac:dyDescent="0.25">
      <c r="R1206" s="33"/>
      <c r="S1206" s="33"/>
      <c r="T1206" s="33"/>
      <c r="U1206" s="33"/>
      <c r="V1206" s="33"/>
      <c r="W1206" s="33"/>
      <c r="X1206" s="33"/>
      <c r="Y1206" s="33"/>
      <c r="Z1206" s="33"/>
      <c r="AA1206" s="33"/>
      <c r="AB1206" s="33"/>
      <c r="AC1206" s="33"/>
      <c r="AD1206" s="593"/>
    </row>
    <row r="1207" spans="18:30" x14ac:dyDescent="0.25">
      <c r="R1207" s="33"/>
      <c r="S1207" s="33"/>
      <c r="T1207" s="33"/>
      <c r="U1207" s="33"/>
      <c r="V1207" s="33"/>
      <c r="W1207" s="33"/>
      <c r="X1207" s="33"/>
      <c r="Y1207" s="33"/>
      <c r="Z1207" s="33"/>
      <c r="AA1207" s="33"/>
      <c r="AB1207" s="33"/>
      <c r="AC1207" s="33"/>
      <c r="AD1207" s="593"/>
    </row>
    <row r="1208" spans="18:30" x14ac:dyDescent="0.25">
      <c r="R1208" s="33"/>
      <c r="S1208" s="33"/>
      <c r="T1208" s="33"/>
      <c r="U1208" s="33"/>
      <c r="V1208" s="33"/>
      <c r="W1208" s="33"/>
      <c r="X1208" s="33"/>
      <c r="Y1208" s="33"/>
      <c r="Z1208" s="33"/>
      <c r="AA1208" s="33"/>
      <c r="AB1208" s="33"/>
      <c r="AC1208" s="33"/>
      <c r="AD1208" s="593"/>
    </row>
    <row r="1209" spans="18:30" x14ac:dyDescent="0.25">
      <c r="R1209" s="33"/>
      <c r="S1209" s="33"/>
      <c r="T1209" s="33"/>
      <c r="U1209" s="33"/>
      <c r="V1209" s="33"/>
      <c r="W1209" s="33"/>
      <c r="X1209" s="33"/>
      <c r="Y1209" s="33"/>
      <c r="Z1209" s="33"/>
      <c r="AA1209" s="33"/>
      <c r="AB1209" s="33"/>
      <c r="AC1209" s="33"/>
      <c r="AD1209" s="593"/>
    </row>
    <row r="1210" spans="18:30" x14ac:dyDescent="0.25">
      <c r="R1210" s="33"/>
      <c r="S1210" s="33"/>
      <c r="T1210" s="33"/>
      <c r="U1210" s="33"/>
      <c r="V1210" s="33"/>
      <c r="W1210" s="33"/>
      <c r="X1210" s="33"/>
      <c r="Y1210" s="33"/>
      <c r="Z1210" s="33"/>
      <c r="AA1210" s="33"/>
      <c r="AB1210" s="33"/>
      <c r="AC1210" s="33"/>
      <c r="AD1210" s="593"/>
    </row>
    <row r="1211" spans="18:30" x14ac:dyDescent="0.25">
      <c r="R1211" s="33"/>
      <c r="S1211" s="33"/>
      <c r="T1211" s="33"/>
      <c r="U1211" s="33"/>
      <c r="V1211" s="33"/>
      <c r="W1211" s="33"/>
      <c r="X1211" s="33"/>
      <c r="Y1211" s="33"/>
      <c r="Z1211" s="33"/>
      <c r="AA1211" s="33"/>
      <c r="AB1211" s="33"/>
      <c r="AC1211" s="33"/>
      <c r="AD1211" s="593"/>
    </row>
    <row r="1212" spans="18:30" x14ac:dyDescent="0.25">
      <c r="R1212" s="33"/>
      <c r="S1212" s="33"/>
      <c r="T1212" s="33"/>
      <c r="U1212" s="33"/>
      <c r="V1212" s="33"/>
      <c r="W1212" s="33"/>
      <c r="X1212" s="33"/>
      <c r="Y1212" s="33"/>
      <c r="Z1212" s="33"/>
      <c r="AA1212" s="33"/>
      <c r="AB1212" s="33"/>
      <c r="AC1212" s="33"/>
      <c r="AD1212" s="593"/>
    </row>
    <row r="1213" spans="18:30" x14ac:dyDescent="0.25">
      <c r="R1213" s="33"/>
      <c r="S1213" s="33"/>
      <c r="T1213" s="33"/>
      <c r="U1213" s="33"/>
      <c r="V1213" s="33"/>
      <c r="W1213" s="33"/>
      <c r="X1213" s="33"/>
      <c r="Y1213" s="33"/>
      <c r="Z1213" s="33"/>
      <c r="AA1213" s="33"/>
      <c r="AB1213" s="33"/>
      <c r="AC1213" s="33"/>
      <c r="AD1213" s="593"/>
    </row>
    <row r="1214" spans="18:30" x14ac:dyDescent="0.25">
      <c r="R1214" s="33"/>
      <c r="S1214" s="33"/>
      <c r="T1214" s="33"/>
      <c r="U1214" s="33"/>
      <c r="V1214" s="33"/>
      <c r="W1214" s="33"/>
      <c r="X1214" s="33"/>
      <c r="Y1214" s="33"/>
      <c r="Z1214" s="33"/>
      <c r="AA1214" s="33"/>
      <c r="AB1214" s="33"/>
      <c r="AC1214" s="33"/>
      <c r="AD1214" s="593"/>
    </row>
    <row r="1215" spans="18:30" x14ac:dyDescent="0.25">
      <c r="R1215" s="33"/>
      <c r="S1215" s="33"/>
      <c r="T1215" s="33"/>
      <c r="U1215" s="33"/>
      <c r="V1215" s="33"/>
      <c r="W1215" s="33"/>
      <c r="X1215" s="33"/>
      <c r="Y1215" s="33"/>
      <c r="Z1215" s="33"/>
      <c r="AA1215" s="33"/>
      <c r="AB1215" s="33"/>
      <c r="AC1215" s="33"/>
      <c r="AD1215" s="593"/>
    </row>
    <row r="1216" spans="18:30" x14ac:dyDescent="0.25">
      <c r="R1216" s="33"/>
      <c r="S1216" s="33"/>
      <c r="T1216" s="33"/>
      <c r="U1216" s="33"/>
      <c r="V1216" s="33"/>
      <c r="W1216" s="33"/>
      <c r="X1216" s="33"/>
      <c r="Y1216" s="33"/>
      <c r="Z1216" s="33"/>
      <c r="AA1216" s="33"/>
      <c r="AB1216" s="33"/>
      <c r="AC1216" s="33"/>
      <c r="AD1216" s="593"/>
    </row>
    <row r="1217" spans="18:30" x14ac:dyDescent="0.25">
      <c r="R1217" s="33"/>
      <c r="S1217" s="33"/>
      <c r="T1217" s="33"/>
      <c r="U1217" s="33"/>
      <c r="V1217" s="33"/>
      <c r="W1217" s="33"/>
      <c r="X1217" s="33"/>
      <c r="Y1217" s="33"/>
      <c r="Z1217" s="33"/>
      <c r="AA1217" s="33"/>
      <c r="AB1217" s="33"/>
      <c r="AC1217" s="33"/>
      <c r="AD1217" s="593"/>
    </row>
    <row r="1218" spans="18:30" x14ac:dyDescent="0.25">
      <c r="R1218" s="33"/>
      <c r="S1218" s="33"/>
      <c r="T1218" s="33"/>
      <c r="U1218" s="33"/>
      <c r="V1218" s="33"/>
      <c r="W1218" s="33"/>
      <c r="X1218" s="33"/>
      <c r="Y1218" s="33"/>
      <c r="Z1218" s="33"/>
      <c r="AA1218" s="33"/>
      <c r="AB1218" s="33"/>
      <c r="AC1218" s="33"/>
      <c r="AD1218" s="593"/>
    </row>
    <row r="1219" spans="18:30" x14ac:dyDescent="0.25">
      <c r="R1219" s="33"/>
      <c r="S1219" s="33"/>
      <c r="T1219" s="33"/>
      <c r="U1219" s="33"/>
      <c r="V1219" s="33"/>
      <c r="W1219" s="33"/>
      <c r="X1219" s="33"/>
      <c r="Y1219" s="33"/>
      <c r="Z1219" s="33"/>
      <c r="AA1219" s="33"/>
      <c r="AB1219" s="33"/>
      <c r="AC1219" s="33"/>
      <c r="AD1219" s="593"/>
    </row>
    <row r="1220" spans="18:30" x14ac:dyDescent="0.25">
      <c r="R1220" s="33"/>
      <c r="S1220" s="33"/>
      <c r="T1220" s="33"/>
      <c r="U1220" s="33"/>
      <c r="V1220" s="33"/>
      <c r="W1220" s="33"/>
      <c r="X1220" s="33"/>
      <c r="Y1220" s="33"/>
      <c r="Z1220" s="33"/>
      <c r="AA1220" s="33"/>
      <c r="AB1220" s="33"/>
      <c r="AC1220" s="33"/>
      <c r="AD1220" s="593"/>
    </row>
    <row r="1221" spans="18:30" x14ac:dyDescent="0.25">
      <c r="R1221" s="33"/>
      <c r="S1221" s="33"/>
      <c r="T1221" s="33"/>
      <c r="U1221" s="33"/>
      <c r="V1221" s="33"/>
      <c r="W1221" s="33"/>
      <c r="X1221" s="33"/>
      <c r="Y1221" s="33"/>
      <c r="Z1221" s="33"/>
      <c r="AA1221" s="33"/>
      <c r="AB1221" s="33"/>
      <c r="AC1221" s="33"/>
      <c r="AD1221" s="593"/>
    </row>
    <row r="1222" spans="18:30" x14ac:dyDescent="0.25">
      <c r="R1222" s="33"/>
      <c r="S1222" s="33"/>
      <c r="T1222" s="33"/>
      <c r="U1222" s="33"/>
      <c r="V1222" s="33"/>
      <c r="W1222" s="33"/>
      <c r="X1222" s="33"/>
      <c r="Y1222" s="33"/>
      <c r="Z1222" s="33"/>
      <c r="AA1222" s="33"/>
      <c r="AB1222" s="33"/>
      <c r="AC1222" s="33"/>
      <c r="AD1222" s="593"/>
    </row>
    <row r="1223" spans="18:30" x14ac:dyDescent="0.25">
      <c r="R1223" s="33"/>
      <c r="S1223" s="33"/>
      <c r="T1223" s="33"/>
      <c r="U1223" s="33"/>
      <c r="V1223" s="33"/>
      <c r="W1223" s="33"/>
      <c r="X1223" s="33"/>
      <c r="Y1223" s="33"/>
      <c r="Z1223" s="33"/>
      <c r="AA1223" s="33"/>
      <c r="AB1223" s="33"/>
      <c r="AC1223" s="33"/>
      <c r="AD1223" s="593"/>
    </row>
    <row r="1224" spans="18:30" x14ac:dyDescent="0.25">
      <c r="R1224" s="33"/>
      <c r="S1224" s="33"/>
      <c r="T1224" s="33"/>
      <c r="U1224" s="33"/>
      <c r="V1224" s="33"/>
      <c r="W1224" s="33"/>
      <c r="X1224" s="33"/>
      <c r="Y1224" s="33"/>
      <c r="Z1224" s="33"/>
      <c r="AA1224" s="33"/>
      <c r="AB1224" s="33"/>
      <c r="AC1224" s="33"/>
      <c r="AD1224" s="593"/>
    </row>
    <row r="1225" spans="18:30" x14ac:dyDescent="0.25">
      <c r="R1225" s="33"/>
      <c r="S1225" s="33"/>
      <c r="T1225" s="33"/>
      <c r="U1225" s="33"/>
      <c r="V1225" s="33"/>
      <c r="W1225" s="33"/>
      <c r="X1225" s="33"/>
      <c r="Y1225" s="33"/>
      <c r="Z1225" s="33"/>
      <c r="AA1225" s="33"/>
      <c r="AB1225" s="33"/>
      <c r="AC1225" s="33"/>
      <c r="AD1225" s="593"/>
    </row>
    <row r="1226" spans="18:30" x14ac:dyDescent="0.25">
      <c r="R1226" s="33"/>
      <c r="S1226" s="33"/>
      <c r="T1226" s="33"/>
      <c r="U1226" s="33"/>
      <c r="V1226" s="33"/>
      <c r="W1226" s="33"/>
      <c r="X1226" s="33"/>
      <c r="Y1226" s="33"/>
      <c r="Z1226" s="33"/>
      <c r="AA1226" s="33"/>
      <c r="AB1226" s="33"/>
      <c r="AC1226" s="33"/>
      <c r="AD1226" s="593"/>
    </row>
    <row r="1227" spans="18:30" x14ac:dyDescent="0.25">
      <c r="R1227" s="33"/>
      <c r="S1227" s="33"/>
      <c r="T1227" s="33"/>
      <c r="U1227" s="33"/>
      <c r="V1227" s="33"/>
      <c r="W1227" s="33"/>
      <c r="X1227" s="33"/>
      <c r="Y1227" s="33"/>
      <c r="Z1227" s="33"/>
      <c r="AA1227" s="33"/>
      <c r="AB1227" s="33"/>
      <c r="AC1227" s="33"/>
      <c r="AD1227" s="593"/>
    </row>
    <row r="1228" spans="18:30" x14ac:dyDescent="0.25">
      <c r="R1228" s="33"/>
      <c r="S1228" s="33"/>
      <c r="T1228" s="33"/>
      <c r="U1228" s="33"/>
      <c r="V1228" s="33"/>
      <c r="W1228" s="33"/>
      <c r="X1228" s="33"/>
      <c r="Y1228" s="33"/>
      <c r="Z1228" s="33"/>
      <c r="AA1228" s="33"/>
      <c r="AB1228" s="33"/>
      <c r="AC1228" s="33"/>
      <c r="AD1228" s="593"/>
    </row>
    <row r="1229" spans="18:30" x14ac:dyDescent="0.25">
      <c r="R1229" s="33"/>
      <c r="S1229" s="33"/>
      <c r="T1229" s="33"/>
      <c r="U1229" s="33"/>
      <c r="V1229" s="33"/>
      <c r="W1229" s="33"/>
      <c r="X1229" s="33"/>
      <c r="Y1229" s="33"/>
      <c r="Z1229" s="33"/>
      <c r="AA1229" s="33"/>
      <c r="AB1229" s="33"/>
      <c r="AC1229" s="33"/>
      <c r="AD1229" s="593"/>
    </row>
    <row r="1230" spans="18:30" x14ac:dyDescent="0.25">
      <c r="R1230" s="33"/>
      <c r="S1230" s="33"/>
      <c r="T1230" s="33"/>
      <c r="U1230" s="33"/>
      <c r="V1230" s="33"/>
      <c r="W1230" s="33"/>
      <c r="X1230" s="33"/>
      <c r="Y1230" s="33"/>
      <c r="Z1230" s="33"/>
      <c r="AA1230" s="33"/>
      <c r="AB1230" s="33"/>
      <c r="AC1230" s="33"/>
      <c r="AD1230" s="593"/>
    </row>
    <row r="1231" spans="18:30" x14ac:dyDescent="0.25">
      <c r="R1231" s="33"/>
      <c r="S1231" s="33"/>
      <c r="T1231" s="33"/>
      <c r="U1231" s="33"/>
      <c r="V1231" s="33"/>
      <c r="W1231" s="33"/>
      <c r="X1231" s="33"/>
      <c r="Y1231" s="33"/>
      <c r="Z1231" s="33"/>
      <c r="AA1231" s="33"/>
      <c r="AB1231" s="33"/>
      <c r="AC1231" s="33"/>
      <c r="AD1231" s="593"/>
    </row>
    <row r="1232" spans="18:30" x14ac:dyDescent="0.25">
      <c r="R1232" s="33"/>
      <c r="S1232" s="33"/>
      <c r="T1232" s="33"/>
      <c r="U1232" s="33"/>
      <c r="V1232" s="33"/>
      <c r="W1232" s="33"/>
      <c r="X1232" s="33"/>
      <c r="Y1232" s="33"/>
      <c r="Z1232" s="33"/>
      <c r="AA1232" s="33"/>
      <c r="AB1232" s="33"/>
      <c r="AC1232" s="33"/>
      <c r="AD1232" s="593"/>
    </row>
    <row r="1233" spans="18:30" x14ac:dyDescent="0.25">
      <c r="R1233" s="33"/>
      <c r="S1233" s="33"/>
      <c r="T1233" s="33"/>
      <c r="U1233" s="33"/>
      <c r="V1233" s="33"/>
      <c r="W1233" s="33"/>
      <c r="X1233" s="33"/>
      <c r="Y1233" s="33"/>
      <c r="Z1233" s="33"/>
      <c r="AA1233" s="33"/>
      <c r="AB1233" s="33"/>
      <c r="AC1233" s="33"/>
      <c r="AD1233" s="593"/>
    </row>
    <row r="1234" spans="18:30" x14ac:dyDescent="0.25">
      <c r="R1234" s="33"/>
      <c r="S1234" s="33"/>
      <c r="T1234" s="33"/>
      <c r="U1234" s="33"/>
      <c r="V1234" s="33"/>
      <c r="W1234" s="33"/>
      <c r="X1234" s="33"/>
      <c r="Y1234" s="33"/>
      <c r="Z1234" s="33"/>
      <c r="AA1234" s="33"/>
      <c r="AB1234" s="33"/>
      <c r="AC1234" s="33"/>
      <c r="AD1234" s="593"/>
    </row>
    <row r="1235" spans="18:30" x14ac:dyDescent="0.25">
      <c r="R1235" s="33"/>
      <c r="S1235" s="33"/>
      <c r="T1235" s="33"/>
      <c r="U1235" s="33"/>
      <c r="V1235" s="33"/>
      <c r="W1235" s="33"/>
      <c r="X1235" s="33"/>
      <c r="Y1235" s="33"/>
      <c r="Z1235" s="33"/>
      <c r="AA1235" s="33"/>
      <c r="AB1235" s="33"/>
      <c r="AC1235" s="33"/>
      <c r="AD1235" s="593"/>
    </row>
    <row r="1236" spans="18:30" x14ac:dyDescent="0.25">
      <c r="R1236" s="33"/>
      <c r="S1236" s="33"/>
      <c r="T1236" s="33"/>
      <c r="U1236" s="33"/>
      <c r="V1236" s="33"/>
      <c r="W1236" s="33"/>
      <c r="X1236" s="33"/>
      <c r="Y1236" s="33"/>
      <c r="Z1236" s="33"/>
      <c r="AA1236" s="33"/>
      <c r="AB1236" s="33"/>
      <c r="AC1236" s="33"/>
      <c r="AD1236" s="593"/>
    </row>
    <row r="1237" spans="18:30" x14ac:dyDescent="0.25">
      <c r="R1237" s="33"/>
      <c r="S1237" s="33"/>
      <c r="T1237" s="33"/>
      <c r="U1237" s="33"/>
      <c r="V1237" s="33"/>
      <c r="W1237" s="33"/>
      <c r="X1237" s="33"/>
      <c r="Y1237" s="33"/>
      <c r="Z1237" s="33"/>
      <c r="AA1237" s="33"/>
      <c r="AB1237" s="33"/>
      <c r="AC1237" s="33"/>
      <c r="AD1237" s="593"/>
    </row>
    <row r="1238" spans="18:30" x14ac:dyDescent="0.25">
      <c r="R1238" s="33"/>
      <c r="S1238" s="33"/>
      <c r="T1238" s="33"/>
      <c r="U1238" s="33"/>
      <c r="V1238" s="33"/>
      <c r="W1238" s="33"/>
      <c r="X1238" s="33"/>
      <c r="Y1238" s="33"/>
      <c r="Z1238" s="33"/>
      <c r="AA1238" s="33"/>
      <c r="AB1238" s="33"/>
      <c r="AC1238" s="33"/>
      <c r="AD1238" s="593"/>
    </row>
    <row r="1239" spans="18:30" x14ac:dyDescent="0.25">
      <c r="R1239" s="33"/>
      <c r="S1239" s="33"/>
      <c r="T1239" s="33"/>
      <c r="U1239" s="33"/>
      <c r="V1239" s="33"/>
      <c r="W1239" s="33"/>
      <c r="X1239" s="33"/>
      <c r="Y1239" s="33"/>
      <c r="Z1239" s="33"/>
      <c r="AA1239" s="33"/>
      <c r="AB1239" s="33"/>
      <c r="AC1239" s="33"/>
      <c r="AD1239" s="593"/>
    </row>
    <row r="1240" spans="18:30" x14ac:dyDescent="0.25">
      <c r="R1240" s="33"/>
      <c r="S1240" s="33"/>
      <c r="T1240" s="33"/>
      <c r="U1240" s="33"/>
      <c r="V1240" s="33"/>
      <c r="W1240" s="33"/>
      <c r="X1240" s="33"/>
      <c r="Y1240" s="33"/>
      <c r="Z1240" s="33"/>
      <c r="AA1240" s="33"/>
      <c r="AB1240" s="33"/>
      <c r="AC1240" s="33"/>
      <c r="AD1240" s="593"/>
    </row>
    <row r="1241" spans="18:30" x14ac:dyDescent="0.25">
      <c r="R1241" s="33"/>
      <c r="S1241" s="33"/>
      <c r="T1241" s="33"/>
      <c r="U1241" s="33"/>
      <c r="V1241" s="33"/>
      <c r="W1241" s="33"/>
      <c r="X1241" s="33"/>
      <c r="Y1241" s="33"/>
      <c r="Z1241" s="33"/>
      <c r="AA1241" s="33"/>
      <c r="AB1241" s="33"/>
      <c r="AC1241" s="33"/>
      <c r="AD1241" s="593"/>
    </row>
    <row r="1242" spans="18:30" x14ac:dyDescent="0.25">
      <c r="R1242" s="33"/>
      <c r="S1242" s="33"/>
      <c r="T1242" s="33"/>
      <c r="U1242" s="33"/>
      <c r="V1242" s="33"/>
      <c r="W1242" s="33"/>
      <c r="X1242" s="33"/>
      <c r="Y1242" s="33"/>
      <c r="Z1242" s="33"/>
      <c r="AA1242" s="33"/>
      <c r="AB1242" s="33"/>
      <c r="AC1242" s="33"/>
      <c r="AD1242" s="593"/>
    </row>
    <row r="1243" spans="18:30" x14ac:dyDescent="0.25">
      <c r="R1243" s="33"/>
      <c r="S1243" s="33"/>
      <c r="T1243" s="33"/>
      <c r="U1243" s="33"/>
      <c r="V1243" s="33"/>
      <c r="W1243" s="33"/>
      <c r="X1243" s="33"/>
      <c r="Y1243" s="33"/>
      <c r="Z1243" s="33"/>
      <c r="AA1243" s="33"/>
      <c r="AB1243" s="33"/>
      <c r="AC1243" s="33"/>
      <c r="AD1243" s="593"/>
    </row>
    <row r="1244" spans="18:30" x14ac:dyDescent="0.25">
      <c r="R1244" s="33"/>
      <c r="S1244" s="33"/>
      <c r="T1244" s="33"/>
      <c r="U1244" s="33"/>
      <c r="V1244" s="33"/>
      <c r="W1244" s="33"/>
      <c r="X1244" s="33"/>
      <c r="Y1244" s="33"/>
      <c r="Z1244" s="33"/>
      <c r="AA1244" s="33"/>
      <c r="AB1244" s="33"/>
      <c r="AC1244" s="33"/>
      <c r="AD1244" s="593"/>
    </row>
    <row r="1245" spans="18:30" x14ac:dyDescent="0.25">
      <c r="R1245" s="33"/>
      <c r="S1245" s="33"/>
      <c r="T1245" s="33"/>
      <c r="U1245" s="33"/>
      <c r="V1245" s="33"/>
      <c r="W1245" s="33"/>
      <c r="X1245" s="33"/>
      <c r="Y1245" s="33"/>
      <c r="Z1245" s="33"/>
      <c r="AA1245" s="33"/>
      <c r="AB1245" s="33"/>
      <c r="AC1245" s="33"/>
      <c r="AD1245" s="593"/>
    </row>
    <row r="1246" spans="18:30" x14ac:dyDescent="0.25">
      <c r="R1246" s="33"/>
      <c r="S1246" s="33"/>
      <c r="T1246" s="33"/>
      <c r="U1246" s="33"/>
      <c r="V1246" s="33"/>
      <c r="W1246" s="33"/>
      <c r="X1246" s="33"/>
      <c r="Y1246" s="33"/>
      <c r="Z1246" s="33"/>
      <c r="AA1246" s="33"/>
      <c r="AB1246" s="33"/>
      <c r="AC1246" s="33"/>
      <c r="AD1246" s="593"/>
    </row>
    <row r="1247" spans="18:30" x14ac:dyDescent="0.25">
      <c r="R1247" s="33"/>
      <c r="S1247" s="33"/>
      <c r="T1247" s="33"/>
      <c r="U1247" s="33"/>
      <c r="V1247" s="33"/>
      <c r="W1247" s="33"/>
      <c r="X1247" s="33"/>
      <c r="Y1247" s="33"/>
      <c r="Z1247" s="33"/>
      <c r="AA1247" s="33"/>
      <c r="AB1247" s="33"/>
      <c r="AC1247" s="33"/>
      <c r="AD1247" s="593"/>
    </row>
    <row r="1248" spans="18:30" x14ac:dyDescent="0.25">
      <c r="R1248" s="33"/>
      <c r="S1248" s="33"/>
      <c r="T1248" s="33"/>
      <c r="U1248" s="33"/>
      <c r="V1248" s="33"/>
      <c r="W1248" s="33"/>
      <c r="X1248" s="33"/>
      <c r="Y1248" s="33"/>
      <c r="Z1248" s="33"/>
      <c r="AA1248" s="33"/>
      <c r="AB1248" s="33"/>
      <c r="AC1248" s="33"/>
      <c r="AD1248" s="593"/>
    </row>
    <row r="1249" spans="18:30" x14ac:dyDescent="0.25">
      <c r="R1249" s="33"/>
      <c r="S1249" s="33"/>
      <c r="T1249" s="33"/>
      <c r="U1249" s="33"/>
      <c r="V1249" s="33"/>
      <c r="W1249" s="33"/>
      <c r="X1249" s="33"/>
      <c r="Y1249" s="33"/>
      <c r="Z1249" s="33"/>
      <c r="AA1249" s="33"/>
      <c r="AB1249" s="33"/>
      <c r="AC1249" s="33"/>
      <c r="AD1249" s="593"/>
    </row>
    <row r="1250" spans="18:30" x14ac:dyDescent="0.25">
      <c r="R1250" s="33"/>
      <c r="S1250" s="33"/>
      <c r="T1250" s="33"/>
      <c r="U1250" s="33"/>
      <c r="V1250" s="33"/>
      <c r="W1250" s="33"/>
      <c r="X1250" s="33"/>
      <c r="Y1250" s="33"/>
      <c r="Z1250" s="33"/>
      <c r="AA1250" s="33"/>
      <c r="AB1250" s="33"/>
      <c r="AC1250" s="33"/>
      <c r="AD1250" s="593"/>
    </row>
    <row r="1251" spans="18:30" x14ac:dyDescent="0.25">
      <c r="R1251" s="33"/>
      <c r="S1251" s="33"/>
      <c r="T1251" s="33"/>
      <c r="U1251" s="33"/>
      <c r="V1251" s="33"/>
      <c r="W1251" s="33"/>
      <c r="X1251" s="33"/>
      <c r="Y1251" s="33"/>
      <c r="Z1251" s="33"/>
      <c r="AA1251" s="33"/>
      <c r="AB1251" s="33"/>
      <c r="AC1251" s="33"/>
      <c r="AD1251" s="593"/>
    </row>
    <row r="1252" spans="18:30" x14ac:dyDescent="0.25">
      <c r="R1252" s="33"/>
      <c r="S1252" s="33"/>
      <c r="T1252" s="33"/>
      <c r="U1252" s="33"/>
      <c r="V1252" s="33"/>
      <c r="W1252" s="33"/>
      <c r="X1252" s="33"/>
      <c r="Y1252" s="33"/>
      <c r="Z1252" s="33"/>
      <c r="AA1252" s="33"/>
      <c r="AB1252" s="33"/>
      <c r="AC1252" s="33"/>
      <c r="AD1252" s="593"/>
    </row>
    <row r="1253" spans="18:30" x14ac:dyDescent="0.25">
      <c r="R1253" s="33"/>
      <c r="S1253" s="33"/>
      <c r="T1253" s="33"/>
      <c r="U1253" s="33"/>
      <c r="V1253" s="33"/>
      <c r="W1253" s="33"/>
      <c r="X1253" s="33"/>
      <c r="Y1253" s="33"/>
      <c r="Z1253" s="33"/>
      <c r="AA1253" s="33"/>
      <c r="AB1253" s="33"/>
      <c r="AC1253" s="33"/>
      <c r="AD1253" s="593"/>
    </row>
    <row r="1254" spans="18:30" x14ac:dyDescent="0.25">
      <c r="R1254" s="33"/>
      <c r="S1254" s="33"/>
      <c r="T1254" s="33"/>
      <c r="U1254" s="33"/>
      <c r="V1254" s="33"/>
      <c r="W1254" s="33"/>
      <c r="X1254" s="33"/>
      <c r="Y1254" s="33"/>
      <c r="Z1254" s="33"/>
      <c r="AA1254" s="33"/>
      <c r="AB1254" s="33"/>
      <c r="AC1254" s="33"/>
      <c r="AD1254" s="593"/>
    </row>
    <row r="1255" spans="18:30" x14ac:dyDescent="0.25">
      <c r="R1255" s="33"/>
      <c r="S1255" s="33"/>
      <c r="T1255" s="33"/>
      <c r="U1255" s="33"/>
      <c r="V1255" s="33"/>
      <c r="W1255" s="33"/>
      <c r="X1255" s="33"/>
      <c r="Y1255" s="33"/>
      <c r="Z1255" s="33"/>
      <c r="AA1255" s="33"/>
      <c r="AB1255" s="33"/>
      <c r="AC1255" s="33"/>
      <c r="AD1255" s="593"/>
    </row>
    <row r="1256" spans="18:30" x14ac:dyDescent="0.25">
      <c r="R1256" s="33"/>
      <c r="S1256" s="33"/>
      <c r="T1256" s="33"/>
      <c r="U1256" s="33"/>
      <c r="V1256" s="33"/>
      <c r="W1256" s="33"/>
      <c r="X1256" s="33"/>
      <c r="Y1256" s="33"/>
      <c r="Z1256" s="33"/>
      <c r="AA1256" s="33"/>
      <c r="AB1256" s="33"/>
      <c r="AC1256" s="33"/>
      <c r="AD1256" s="593"/>
    </row>
    <row r="1257" spans="18:30" x14ac:dyDescent="0.25">
      <c r="R1257" s="33"/>
      <c r="S1257" s="33"/>
      <c r="T1257" s="33"/>
      <c r="U1257" s="33"/>
      <c r="V1257" s="33"/>
      <c r="W1257" s="33"/>
      <c r="X1257" s="33"/>
      <c r="Y1257" s="33"/>
      <c r="Z1257" s="33"/>
      <c r="AA1257" s="33"/>
      <c r="AB1257" s="33"/>
      <c r="AC1257" s="33"/>
      <c r="AD1257" s="593"/>
    </row>
    <row r="1258" spans="18:30" x14ac:dyDescent="0.25">
      <c r="R1258" s="33"/>
      <c r="S1258" s="33"/>
      <c r="T1258" s="33"/>
      <c r="U1258" s="33"/>
      <c r="V1258" s="33"/>
      <c r="W1258" s="33"/>
      <c r="X1258" s="33"/>
      <c r="Y1258" s="33"/>
      <c r="Z1258" s="33"/>
      <c r="AA1258" s="33"/>
      <c r="AB1258" s="33"/>
      <c r="AC1258" s="33"/>
      <c r="AD1258" s="593"/>
    </row>
    <row r="1259" spans="18:30" x14ac:dyDescent="0.25">
      <c r="R1259" s="33"/>
      <c r="S1259" s="33"/>
      <c r="T1259" s="33"/>
      <c r="U1259" s="33"/>
      <c r="V1259" s="33"/>
      <c r="W1259" s="33"/>
      <c r="X1259" s="33"/>
      <c r="Y1259" s="33"/>
      <c r="Z1259" s="33"/>
      <c r="AA1259" s="33"/>
      <c r="AB1259" s="33"/>
      <c r="AC1259" s="33"/>
      <c r="AD1259" s="593"/>
    </row>
    <row r="1260" spans="18:30" x14ac:dyDescent="0.25">
      <c r="R1260" s="33"/>
      <c r="S1260" s="33"/>
      <c r="T1260" s="33"/>
      <c r="U1260" s="33"/>
      <c r="V1260" s="33"/>
      <c r="W1260" s="33"/>
      <c r="X1260" s="33"/>
      <c r="Y1260" s="33"/>
      <c r="Z1260" s="33"/>
      <c r="AA1260" s="33"/>
      <c r="AB1260" s="33"/>
      <c r="AC1260" s="33"/>
      <c r="AD1260" s="593"/>
    </row>
    <row r="1261" spans="18:30" x14ac:dyDescent="0.25">
      <c r="R1261" s="33"/>
      <c r="S1261" s="33"/>
      <c r="T1261" s="33"/>
      <c r="U1261" s="33"/>
      <c r="V1261" s="33"/>
      <c r="W1261" s="33"/>
      <c r="X1261" s="33"/>
      <c r="Y1261" s="33"/>
      <c r="Z1261" s="33"/>
      <c r="AA1261" s="33"/>
      <c r="AB1261" s="33"/>
      <c r="AC1261" s="33"/>
      <c r="AD1261" s="593"/>
    </row>
    <row r="1262" spans="18:30" x14ac:dyDescent="0.25">
      <c r="R1262" s="33"/>
      <c r="S1262" s="33"/>
      <c r="T1262" s="33"/>
      <c r="U1262" s="33"/>
      <c r="V1262" s="33"/>
      <c r="W1262" s="33"/>
      <c r="X1262" s="33"/>
      <c r="Y1262" s="33"/>
      <c r="Z1262" s="33"/>
      <c r="AA1262" s="33"/>
      <c r="AB1262" s="33"/>
      <c r="AC1262" s="33"/>
      <c r="AD1262" s="593"/>
    </row>
    <row r="1263" spans="18:30" x14ac:dyDescent="0.25">
      <c r="R1263" s="33"/>
      <c r="S1263" s="33"/>
      <c r="T1263" s="33"/>
      <c r="U1263" s="33"/>
      <c r="V1263" s="33"/>
      <c r="W1263" s="33"/>
      <c r="X1263" s="33"/>
      <c r="Y1263" s="33"/>
      <c r="Z1263" s="33"/>
      <c r="AA1263" s="33"/>
      <c r="AB1263" s="33"/>
      <c r="AC1263" s="33"/>
      <c r="AD1263" s="593"/>
    </row>
    <row r="1264" spans="18:30" x14ac:dyDescent="0.25">
      <c r="R1264" s="33"/>
      <c r="S1264" s="33"/>
      <c r="T1264" s="33"/>
      <c r="U1264" s="33"/>
      <c r="V1264" s="33"/>
      <c r="W1264" s="33"/>
      <c r="X1264" s="33"/>
      <c r="Y1264" s="33"/>
      <c r="Z1264" s="33"/>
      <c r="AA1264" s="33"/>
      <c r="AB1264" s="33"/>
      <c r="AC1264" s="33"/>
      <c r="AD1264" s="593"/>
    </row>
    <row r="1265" spans="18:30" x14ac:dyDescent="0.25">
      <c r="R1265" s="33"/>
      <c r="S1265" s="33"/>
      <c r="T1265" s="33"/>
      <c r="U1265" s="33"/>
      <c r="V1265" s="33"/>
      <c r="W1265" s="33"/>
      <c r="X1265" s="33"/>
      <c r="Y1265" s="33"/>
      <c r="Z1265" s="33"/>
      <c r="AA1265" s="33"/>
      <c r="AB1265" s="33"/>
      <c r="AC1265" s="33"/>
      <c r="AD1265" s="593"/>
    </row>
    <row r="1266" spans="18:30" x14ac:dyDescent="0.25">
      <c r="R1266" s="33"/>
      <c r="S1266" s="33"/>
      <c r="T1266" s="33"/>
      <c r="U1266" s="33"/>
      <c r="V1266" s="33"/>
      <c r="W1266" s="33"/>
      <c r="X1266" s="33"/>
      <c r="Y1266" s="33"/>
      <c r="Z1266" s="33"/>
      <c r="AA1266" s="33"/>
      <c r="AB1266" s="33"/>
      <c r="AC1266" s="33"/>
      <c r="AD1266" s="593"/>
    </row>
    <row r="1267" spans="18:30" x14ac:dyDescent="0.25">
      <c r="R1267" s="33"/>
      <c r="S1267" s="33"/>
      <c r="T1267" s="33"/>
      <c r="U1267" s="33"/>
      <c r="V1267" s="33"/>
      <c r="W1267" s="33"/>
      <c r="X1267" s="33"/>
      <c r="Y1267" s="33"/>
      <c r="Z1267" s="33"/>
      <c r="AA1267" s="33"/>
      <c r="AB1267" s="33"/>
      <c r="AC1267" s="33"/>
      <c r="AD1267" s="593"/>
    </row>
    <row r="1268" spans="18:30" x14ac:dyDescent="0.25">
      <c r="R1268" s="33"/>
      <c r="S1268" s="33"/>
      <c r="T1268" s="33"/>
      <c r="U1268" s="33"/>
      <c r="V1268" s="33"/>
      <c r="W1268" s="33"/>
      <c r="X1268" s="33"/>
      <c r="Y1268" s="33"/>
      <c r="Z1268" s="33"/>
      <c r="AA1268" s="33"/>
      <c r="AB1268" s="33"/>
      <c r="AC1268" s="33"/>
      <c r="AD1268" s="593"/>
    </row>
    <row r="1269" spans="18:30" x14ac:dyDescent="0.25">
      <c r="R1269" s="33"/>
      <c r="S1269" s="33"/>
      <c r="T1269" s="33"/>
      <c r="U1269" s="33"/>
      <c r="V1269" s="33"/>
      <c r="W1269" s="33"/>
      <c r="X1269" s="33"/>
      <c r="Y1269" s="33"/>
      <c r="Z1269" s="33"/>
      <c r="AA1269" s="33"/>
      <c r="AB1269" s="33"/>
      <c r="AC1269" s="33"/>
      <c r="AD1269" s="593"/>
    </row>
    <row r="1270" spans="18:30" x14ac:dyDescent="0.25">
      <c r="R1270" s="33"/>
      <c r="S1270" s="33"/>
      <c r="T1270" s="33"/>
      <c r="U1270" s="33"/>
      <c r="V1270" s="33"/>
      <c r="W1270" s="33"/>
      <c r="X1270" s="33"/>
      <c r="Y1270" s="33"/>
      <c r="Z1270" s="33"/>
      <c r="AA1270" s="33"/>
      <c r="AB1270" s="33"/>
      <c r="AC1270" s="33"/>
      <c r="AD1270" s="593"/>
    </row>
    <row r="1271" spans="18:30" x14ac:dyDescent="0.25">
      <c r="R1271" s="33"/>
      <c r="S1271" s="33"/>
      <c r="T1271" s="33"/>
      <c r="U1271" s="33"/>
      <c r="V1271" s="33"/>
      <c r="W1271" s="33"/>
      <c r="X1271" s="33"/>
      <c r="Y1271" s="33"/>
      <c r="Z1271" s="33"/>
      <c r="AA1271" s="33"/>
      <c r="AB1271" s="33"/>
      <c r="AC1271" s="33"/>
      <c r="AD1271" s="593"/>
    </row>
    <row r="1272" spans="18:30" x14ac:dyDescent="0.25">
      <c r="R1272" s="33"/>
      <c r="S1272" s="33"/>
      <c r="T1272" s="33"/>
      <c r="U1272" s="33"/>
      <c r="V1272" s="33"/>
      <c r="W1272" s="33"/>
      <c r="X1272" s="33"/>
      <c r="Y1272" s="33"/>
      <c r="Z1272" s="33"/>
      <c r="AA1272" s="33"/>
      <c r="AB1272" s="33"/>
      <c r="AC1272" s="33"/>
      <c r="AD1272" s="593"/>
    </row>
    <row r="1273" spans="18:30" x14ac:dyDescent="0.25">
      <c r="R1273" s="33"/>
      <c r="S1273" s="33"/>
      <c r="T1273" s="33"/>
      <c r="U1273" s="33"/>
      <c r="V1273" s="33"/>
      <c r="W1273" s="33"/>
      <c r="X1273" s="33"/>
      <c r="Y1273" s="33"/>
      <c r="Z1273" s="33"/>
      <c r="AA1273" s="33"/>
      <c r="AB1273" s="33"/>
      <c r="AC1273" s="33"/>
      <c r="AD1273" s="593"/>
    </row>
    <row r="1274" spans="18:30" x14ac:dyDescent="0.25">
      <c r="R1274" s="33"/>
      <c r="S1274" s="33"/>
      <c r="T1274" s="33"/>
      <c r="U1274" s="33"/>
      <c r="V1274" s="33"/>
      <c r="W1274" s="33"/>
      <c r="X1274" s="33"/>
      <c r="Y1274" s="33"/>
      <c r="Z1274" s="33"/>
      <c r="AA1274" s="33"/>
      <c r="AB1274" s="33"/>
      <c r="AC1274" s="33"/>
      <c r="AD1274" s="593"/>
    </row>
    <row r="1275" spans="18:30" x14ac:dyDescent="0.25">
      <c r="R1275" s="33"/>
      <c r="S1275" s="33"/>
      <c r="T1275" s="33"/>
      <c r="U1275" s="33"/>
      <c r="V1275" s="33"/>
      <c r="W1275" s="33"/>
      <c r="X1275" s="33"/>
      <c r="Y1275" s="33"/>
      <c r="Z1275" s="33"/>
      <c r="AA1275" s="33"/>
      <c r="AB1275" s="33"/>
      <c r="AC1275" s="33"/>
      <c r="AD1275" s="593"/>
    </row>
    <row r="1276" spans="18:30" x14ac:dyDescent="0.25">
      <c r="R1276" s="33"/>
      <c r="S1276" s="33"/>
      <c r="T1276" s="33"/>
      <c r="U1276" s="33"/>
      <c r="V1276" s="33"/>
      <c r="W1276" s="33"/>
      <c r="X1276" s="33"/>
      <c r="Y1276" s="33"/>
      <c r="Z1276" s="33"/>
      <c r="AA1276" s="33"/>
      <c r="AB1276" s="33"/>
      <c r="AC1276" s="33"/>
      <c r="AD1276" s="593"/>
    </row>
    <row r="1277" spans="18:30" x14ac:dyDescent="0.25">
      <c r="R1277" s="33"/>
      <c r="S1277" s="33"/>
      <c r="T1277" s="33"/>
      <c r="U1277" s="33"/>
      <c r="V1277" s="33"/>
      <c r="W1277" s="33"/>
      <c r="X1277" s="33"/>
      <c r="Y1277" s="33"/>
      <c r="Z1277" s="33"/>
      <c r="AA1277" s="33"/>
      <c r="AB1277" s="33"/>
      <c r="AC1277" s="33"/>
      <c r="AD1277" s="593"/>
    </row>
    <row r="1278" spans="18:30" x14ac:dyDescent="0.25">
      <c r="R1278" s="33"/>
      <c r="S1278" s="33"/>
      <c r="T1278" s="33"/>
      <c r="U1278" s="33"/>
      <c r="V1278" s="33"/>
      <c r="W1278" s="33"/>
      <c r="X1278" s="33"/>
      <c r="Y1278" s="33"/>
      <c r="Z1278" s="33"/>
      <c r="AA1278" s="33"/>
      <c r="AB1278" s="33"/>
      <c r="AC1278" s="33"/>
      <c r="AD1278" s="593"/>
    </row>
    <row r="1279" spans="18:30" x14ac:dyDescent="0.25">
      <c r="R1279" s="33"/>
      <c r="S1279" s="33"/>
      <c r="T1279" s="33"/>
      <c r="U1279" s="33"/>
      <c r="V1279" s="33"/>
      <c r="W1279" s="33"/>
      <c r="X1279" s="33"/>
      <c r="Y1279" s="33"/>
      <c r="Z1279" s="33"/>
      <c r="AA1279" s="33"/>
      <c r="AB1279" s="33"/>
      <c r="AC1279" s="33"/>
      <c r="AD1279" s="593"/>
    </row>
    <row r="1280" spans="18:30" x14ac:dyDescent="0.25">
      <c r="R1280" s="33"/>
      <c r="S1280" s="33"/>
      <c r="T1280" s="33"/>
      <c r="U1280" s="33"/>
      <c r="V1280" s="33"/>
      <c r="W1280" s="33"/>
      <c r="X1280" s="33"/>
      <c r="Y1280" s="33"/>
      <c r="Z1280" s="33"/>
      <c r="AA1280" s="33"/>
      <c r="AB1280" s="33"/>
      <c r="AC1280" s="33"/>
      <c r="AD1280" s="593"/>
    </row>
    <row r="1281" spans="18:30" x14ac:dyDescent="0.25">
      <c r="R1281" s="33"/>
      <c r="S1281" s="33"/>
      <c r="T1281" s="33"/>
      <c r="U1281" s="33"/>
      <c r="V1281" s="33"/>
      <c r="W1281" s="33"/>
      <c r="X1281" s="33"/>
      <c r="Y1281" s="33"/>
      <c r="Z1281" s="33"/>
      <c r="AA1281" s="33"/>
      <c r="AB1281" s="33"/>
      <c r="AC1281" s="33"/>
      <c r="AD1281" s="593"/>
    </row>
    <row r="1282" spans="18:30" x14ac:dyDescent="0.25">
      <c r="R1282" s="33"/>
      <c r="S1282" s="33"/>
      <c r="T1282" s="33"/>
      <c r="U1282" s="33"/>
      <c r="V1282" s="33"/>
      <c r="W1282" s="33"/>
      <c r="X1282" s="33"/>
      <c r="Y1282" s="33"/>
      <c r="Z1282" s="33"/>
      <c r="AA1282" s="33"/>
      <c r="AB1282" s="33"/>
      <c r="AC1282" s="33"/>
      <c r="AD1282" s="593"/>
    </row>
    <row r="1283" spans="18:30" x14ac:dyDescent="0.25">
      <c r="R1283" s="33"/>
      <c r="S1283" s="33"/>
      <c r="T1283" s="33"/>
      <c r="U1283" s="33"/>
      <c r="V1283" s="33"/>
      <c r="W1283" s="33"/>
      <c r="X1283" s="33"/>
      <c r="Y1283" s="33"/>
      <c r="Z1283" s="33"/>
      <c r="AA1283" s="33"/>
      <c r="AB1283" s="33"/>
      <c r="AC1283" s="33"/>
      <c r="AD1283" s="593"/>
    </row>
    <row r="1284" spans="18:30" x14ac:dyDescent="0.25">
      <c r="R1284" s="33"/>
      <c r="S1284" s="33"/>
      <c r="T1284" s="33"/>
      <c r="U1284" s="33"/>
      <c r="V1284" s="33"/>
      <c r="W1284" s="33"/>
      <c r="X1284" s="33"/>
      <c r="Y1284" s="33"/>
      <c r="Z1284" s="33"/>
      <c r="AA1284" s="33"/>
      <c r="AB1284" s="33"/>
      <c r="AC1284" s="33"/>
      <c r="AD1284" s="593"/>
    </row>
    <row r="1285" spans="18:30" x14ac:dyDescent="0.25">
      <c r="R1285" s="33"/>
      <c r="S1285" s="33"/>
      <c r="T1285" s="33"/>
      <c r="U1285" s="33"/>
      <c r="V1285" s="33"/>
      <c r="W1285" s="33"/>
      <c r="X1285" s="33"/>
      <c r="Y1285" s="33"/>
      <c r="Z1285" s="33"/>
      <c r="AA1285" s="33"/>
      <c r="AB1285" s="33"/>
      <c r="AC1285" s="33"/>
      <c r="AD1285" s="593"/>
    </row>
    <row r="1286" spans="18:30" x14ac:dyDescent="0.25">
      <c r="R1286" s="33"/>
      <c r="S1286" s="33"/>
      <c r="T1286" s="33"/>
      <c r="U1286" s="33"/>
      <c r="V1286" s="33"/>
      <c r="W1286" s="33"/>
      <c r="X1286" s="33"/>
      <c r="Y1286" s="33"/>
      <c r="Z1286" s="33"/>
      <c r="AA1286" s="33"/>
      <c r="AB1286" s="33"/>
      <c r="AC1286" s="33"/>
      <c r="AD1286" s="593"/>
    </row>
    <row r="1287" spans="18:30" x14ac:dyDescent="0.25">
      <c r="R1287" s="33"/>
      <c r="S1287" s="33"/>
      <c r="T1287" s="33"/>
      <c r="U1287" s="33"/>
      <c r="V1287" s="33"/>
      <c r="W1287" s="33"/>
      <c r="X1287" s="33"/>
      <c r="Y1287" s="33"/>
      <c r="Z1287" s="33"/>
      <c r="AA1287" s="33"/>
      <c r="AB1287" s="33"/>
      <c r="AC1287" s="33"/>
      <c r="AD1287" s="593"/>
    </row>
    <row r="1288" spans="18:30" x14ac:dyDescent="0.25">
      <c r="R1288" s="33"/>
      <c r="S1288" s="33"/>
      <c r="T1288" s="33"/>
      <c r="U1288" s="33"/>
      <c r="V1288" s="33"/>
      <c r="W1288" s="33"/>
      <c r="X1288" s="33"/>
      <c r="Y1288" s="33"/>
      <c r="Z1288" s="33"/>
      <c r="AA1288" s="33"/>
      <c r="AB1288" s="33"/>
      <c r="AC1288" s="33"/>
      <c r="AD1288" s="593"/>
    </row>
    <row r="1289" spans="18:30" x14ac:dyDescent="0.25">
      <c r="R1289" s="33"/>
      <c r="S1289" s="33"/>
      <c r="T1289" s="33"/>
      <c r="U1289" s="33"/>
      <c r="V1289" s="33"/>
      <c r="W1289" s="33"/>
      <c r="X1289" s="33"/>
      <c r="Y1289" s="33"/>
      <c r="Z1289" s="33"/>
      <c r="AA1289" s="33"/>
      <c r="AB1289" s="33"/>
      <c r="AC1289" s="33"/>
      <c r="AD1289" s="593"/>
    </row>
    <row r="1290" spans="18:30" x14ac:dyDescent="0.25">
      <c r="R1290" s="33"/>
      <c r="S1290" s="33"/>
      <c r="T1290" s="33"/>
      <c r="U1290" s="33"/>
      <c r="V1290" s="33"/>
      <c r="W1290" s="33"/>
      <c r="X1290" s="33"/>
      <c r="Y1290" s="33"/>
      <c r="Z1290" s="33"/>
      <c r="AA1290" s="33"/>
      <c r="AB1290" s="33"/>
      <c r="AC1290" s="33"/>
      <c r="AD1290" s="593"/>
    </row>
    <row r="1291" spans="18:30" x14ac:dyDescent="0.25">
      <c r="R1291" s="33"/>
      <c r="S1291" s="33"/>
      <c r="T1291" s="33"/>
      <c r="U1291" s="33"/>
      <c r="V1291" s="33"/>
      <c r="W1291" s="33"/>
      <c r="X1291" s="33"/>
      <c r="Y1291" s="33"/>
      <c r="Z1291" s="33"/>
      <c r="AA1291" s="33"/>
      <c r="AB1291" s="33"/>
      <c r="AC1291" s="33"/>
      <c r="AD1291" s="593"/>
    </row>
    <row r="1292" spans="18:30" x14ac:dyDescent="0.25">
      <c r="R1292" s="33"/>
      <c r="S1292" s="33"/>
      <c r="T1292" s="33"/>
      <c r="U1292" s="33"/>
      <c r="V1292" s="33"/>
      <c r="W1292" s="33"/>
      <c r="X1292" s="33"/>
      <c r="Y1292" s="33"/>
      <c r="Z1292" s="33"/>
      <c r="AA1292" s="33"/>
      <c r="AB1292" s="33"/>
      <c r="AC1292" s="33"/>
      <c r="AD1292" s="593"/>
    </row>
    <row r="1293" spans="18:30" x14ac:dyDescent="0.25">
      <c r="R1293" s="33"/>
      <c r="S1293" s="33"/>
      <c r="T1293" s="33"/>
      <c r="U1293" s="33"/>
      <c r="V1293" s="33"/>
      <c r="W1293" s="33"/>
      <c r="X1293" s="33"/>
      <c r="Y1293" s="33"/>
      <c r="Z1293" s="33"/>
      <c r="AA1293" s="33"/>
      <c r="AB1293" s="33"/>
      <c r="AC1293" s="33"/>
      <c r="AD1293" s="593"/>
    </row>
    <row r="1294" spans="18:30" x14ac:dyDescent="0.25">
      <c r="R1294" s="33"/>
      <c r="S1294" s="33"/>
      <c r="T1294" s="33"/>
      <c r="U1294" s="33"/>
      <c r="V1294" s="33"/>
      <c r="W1294" s="33"/>
      <c r="X1294" s="33"/>
      <c r="Y1294" s="33"/>
      <c r="Z1294" s="33"/>
      <c r="AA1294" s="33"/>
      <c r="AB1294" s="33"/>
      <c r="AC1294" s="33"/>
      <c r="AD1294" s="593"/>
    </row>
    <row r="1295" spans="18:30" x14ac:dyDescent="0.25">
      <c r="R1295" s="33"/>
      <c r="S1295" s="33"/>
      <c r="T1295" s="33"/>
      <c r="U1295" s="33"/>
      <c r="V1295" s="33"/>
      <c r="W1295" s="33"/>
      <c r="X1295" s="33"/>
      <c r="Y1295" s="33"/>
      <c r="Z1295" s="33"/>
      <c r="AA1295" s="33"/>
      <c r="AB1295" s="33"/>
      <c r="AC1295" s="33"/>
      <c r="AD1295" s="593"/>
    </row>
    <row r="1296" spans="18:30" x14ac:dyDescent="0.25">
      <c r="R1296" s="33"/>
      <c r="S1296" s="33"/>
      <c r="T1296" s="33"/>
      <c r="U1296" s="33"/>
      <c r="V1296" s="33"/>
      <c r="W1296" s="33"/>
      <c r="X1296" s="33"/>
      <c r="Y1296" s="33"/>
      <c r="Z1296" s="33"/>
      <c r="AA1296" s="33"/>
      <c r="AB1296" s="33"/>
      <c r="AC1296" s="33"/>
      <c r="AD1296" s="593"/>
    </row>
    <row r="1297" spans="18:30" x14ac:dyDescent="0.25">
      <c r="R1297" s="33"/>
      <c r="S1297" s="33"/>
      <c r="T1297" s="33"/>
      <c r="U1297" s="33"/>
      <c r="V1297" s="33"/>
      <c r="W1297" s="33"/>
      <c r="X1297" s="33"/>
      <c r="Y1297" s="33"/>
      <c r="Z1297" s="33"/>
      <c r="AA1297" s="33"/>
      <c r="AB1297" s="33"/>
      <c r="AC1297" s="33"/>
      <c r="AD1297" s="593"/>
    </row>
    <row r="1298" spans="18:30" x14ac:dyDescent="0.25">
      <c r="R1298" s="33"/>
      <c r="S1298" s="33"/>
      <c r="T1298" s="33"/>
      <c r="U1298" s="33"/>
      <c r="V1298" s="33"/>
      <c r="W1298" s="33"/>
      <c r="X1298" s="33"/>
      <c r="Y1298" s="33"/>
      <c r="Z1298" s="33"/>
      <c r="AA1298" s="33"/>
      <c r="AB1298" s="33"/>
      <c r="AC1298" s="33"/>
      <c r="AD1298" s="593"/>
    </row>
    <row r="1299" spans="18:30" x14ac:dyDescent="0.25">
      <c r="R1299" s="33"/>
      <c r="S1299" s="33"/>
      <c r="T1299" s="33"/>
      <c r="U1299" s="33"/>
      <c r="V1299" s="33"/>
      <c r="W1299" s="33"/>
      <c r="X1299" s="33"/>
      <c r="Y1299" s="33"/>
      <c r="Z1299" s="33"/>
      <c r="AA1299" s="33"/>
      <c r="AB1299" s="33"/>
      <c r="AC1299" s="33"/>
      <c r="AD1299" s="593"/>
    </row>
    <row r="1300" spans="18:30" x14ac:dyDescent="0.25">
      <c r="R1300" s="33"/>
      <c r="S1300" s="33"/>
      <c r="T1300" s="33"/>
      <c r="U1300" s="33"/>
      <c r="V1300" s="33"/>
      <c r="W1300" s="33"/>
      <c r="X1300" s="33"/>
      <c r="Y1300" s="33"/>
      <c r="Z1300" s="33"/>
      <c r="AA1300" s="33"/>
      <c r="AB1300" s="33"/>
      <c r="AC1300" s="33"/>
      <c r="AD1300" s="593"/>
    </row>
    <row r="1301" spans="18:30" x14ac:dyDescent="0.25">
      <c r="R1301" s="33"/>
      <c r="S1301" s="33"/>
      <c r="T1301" s="33"/>
      <c r="U1301" s="33"/>
      <c r="V1301" s="33"/>
      <c r="W1301" s="33"/>
      <c r="X1301" s="33"/>
      <c r="Y1301" s="33"/>
      <c r="Z1301" s="33"/>
      <c r="AA1301" s="33"/>
      <c r="AB1301" s="33"/>
      <c r="AC1301" s="33"/>
      <c r="AD1301" s="593"/>
    </row>
    <row r="1302" spans="18:30" x14ac:dyDescent="0.25">
      <c r="R1302" s="33"/>
      <c r="S1302" s="33"/>
      <c r="T1302" s="33"/>
      <c r="U1302" s="33"/>
      <c r="V1302" s="33"/>
      <c r="W1302" s="33"/>
      <c r="X1302" s="33"/>
      <c r="Y1302" s="33"/>
      <c r="Z1302" s="33"/>
      <c r="AA1302" s="33"/>
      <c r="AB1302" s="33"/>
      <c r="AC1302" s="33"/>
      <c r="AD1302" s="593"/>
    </row>
    <row r="1303" spans="18:30" x14ac:dyDescent="0.25">
      <c r="R1303" s="33"/>
      <c r="S1303" s="33"/>
      <c r="T1303" s="33"/>
      <c r="U1303" s="33"/>
      <c r="V1303" s="33"/>
      <c r="W1303" s="33"/>
      <c r="X1303" s="33"/>
      <c r="Y1303" s="33"/>
      <c r="Z1303" s="33"/>
      <c r="AA1303" s="33"/>
      <c r="AB1303" s="33"/>
      <c r="AC1303" s="33"/>
      <c r="AD1303" s="593"/>
    </row>
    <row r="1304" spans="18:30" x14ac:dyDescent="0.25">
      <c r="R1304" s="33"/>
      <c r="S1304" s="33"/>
      <c r="T1304" s="33"/>
      <c r="U1304" s="33"/>
      <c r="V1304" s="33"/>
      <c r="W1304" s="33"/>
      <c r="X1304" s="33"/>
      <c r="Y1304" s="33"/>
      <c r="Z1304" s="33"/>
      <c r="AA1304" s="33"/>
      <c r="AB1304" s="33"/>
      <c r="AC1304" s="33"/>
      <c r="AD1304" s="593"/>
    </row>
    <row r="1305" spans="18:30" x14ac:dyDescent="0.25">
      <c r="R1305" s="33"/>
      <c r="S1305" s="33"/>
      <c r="T1305" s="33"/>
      <c r="U1305" s="33"/>
      <c r="V1305" s="33"/>
      <c r="W1305" s="33"/>
      <c r="X1305" s="33"/>
      <c r="Y1305" s="33"/>
      <c r="Z1305" s="33"/>
      <c r="AA1305" s="33"/>
      <c r="AB1305" s="33"/>
      <c r="AC1305" s="33"/>
      <c r="AD1305" s="593"/>
    </row>
    <row r="1306" spans="18:30" x14ac:dyDescent="0.25">
      <c r="R1306" s="33"/>
      <c r="S1306" s="33"/>
      <c r="T1306" s="33"/>
      <c r="U1306" s="33"/>
      <c r="V1306" s="33"/>
      <c r="W1306" s="33"/>
      <c r="X1306" s="33"/>
      <c r="Y1306" s="33"/>
      <c r="Z1306" s="33"/>
      <c r="AA1306" s="33"/>
      <c r="AB1306" s="33"/>
      <c r="AC1306" s="33"/>
      <c r="AD1306" s="593"/>
    </row>
    <row r="1307" spans="18:30" x14ac:dyDescent="0.25">
      <c r="R1307" s="33"/>
      <c r="S1307" s="33"/>
      <c r="T1307" s="33"/>
      <c r="U1307" s="33"/>
      <c r="V1307" s="33"/>
      <c r="W1307" s="33"/>
      <c r="X1307" s="33"/>
      <c r="Y1307" s="33"/>
      <c r="Z1307" s="33"/>
      <c r="AA1307" s="33"/>
      <c r="AB1307" s="33"/>
      <c r="AC1307" s="33"/>
      <c r="AD1307" s="593"/>
    </row>
    <row r="1308" spans="18:30" x14ac:dyDescent="0.25">
      <c r="R1308" s="33"/>
      <c r="S1308" s="33"/>
      <c r="T1308" s="33"/>
      <c r="U1308" s="33"/>
      <c r="V1308" s="33"/>
      <c r="W1308" s="33"/>
      <c r="X1308" s="33"/>
      <c r="Y1308" s="33"/>
      <c r="Z1308" s="33"/>
      <c r="AA1308" s="33"/>
      <c r="AB1308" s="33"/>
      <c r="AC1308" s="33"/>
      <c r="AD1308" s="593"/>
    </row>
    <row r="1309" spans="18:30" x14ac:dyDescent="0.25">
      <c r="R1309" s="33"/>
      <c r="S1309" s="33"/>
      <c r="T1309" s="33"/>
      <c r="U1309" s="33"/>
      <c r="V1309" s="33"/>
      <c r="W1309" s="33"/>
      <c r="X1309" s="33"/>
      <c r="Y1309" s="33"/>
      <c r="Z1309" s="33"/>
      <c r="AA1309" s="33"/>
      <c r="AB1309" s="33"/>
      <c r="AC1309" s="33"/>
      <c r="AD1309" s="593"/>
    </row>
    <row r="1310" spans="18:30" x14ac:dyDescent="0.25">
      <c r="R1310" s="33"/>
      <c r="S1310" s="33"/>
      <c r="T1310" s="33"/>
      <c r="U1310" s="33"/>
      <c r="V1310" s="33"/>
      <c r="W1310" s="33"/>
      <c r="X1310" s="33"/>
      <c r="Y1310" s="33"/>
      <c r="Z1310" s="33"/>
      <c r="AA1310" s="33"/>
      <c r="AB1310" s="33"/>
      <c r="AC1310" s="33"/>
      <c r="AD1310" s="593"/>
    </row>
    <row r="1311" spans="18:30" x14ac:dyDescent="0.25">
      <c r="R1311" s="33"/>
      <c r="S1311" s="33"/>
      <c r="T1311" s="33"/>
      <c r="U1311" s="33"/>
      <c r="V1311" s="33"/>
      <c r="W1311" s="33"/>
      <c r="X1311" s="33"/>
      <c r="Y1311" s="33"/>
      <c r="Z1311" s="33"/>
      <c r="AA1311" s="33"/>
      <c r="AB1311" s="33"/>
      <c r="AC1311" s="33"/>
      <c r="AD1311" s="593"/>
    </row>
    <row r="1312" spans="18:30" x14ac:dyDescent="0.25">
      <c r="R1312" s="33"/>
      <c r="S1312" s="33"/>
      <c r="T1312" s="33"/>
      <c r="U1312" s="33"/>
      <c r="V1312" s="33"/>
      <c r="W1312" s="33"/>
      <c r="X1312" s="33"/>
      <c r="Y1312" s="33"/>
      <c r="Z1312" s="33"/>
      <c r="AA1312" s="33"/>
      <c r="AB1312" s="33"/>
      <c r="AC1312" s="33"/>
      <c r="AD1312" s="593"/>
    </row>
    <row r="1313" spans="18:30" x14ac:dyDescent="0.25">
      <c r="R1313" s="33"/>
      <c r="S1313" s="33"/>
      <c r="T1313" s="33"/>
      <c r="U1313" s="33"/>
      <c r="V1313" s="33"/>
      <c r="W1313" s="33"/>
      <c r="X1313" s="33"/>
      <c r="Y1313" s="33"/>
      <c r="Z1313" s="33"/>
      <c r="AA1313" s="33"/>
      <c r="AB1313" s="33"/>
      <c r="AC1313" s="33"/>
      <c r="AD1313" s="593"/>
    </row>
    <row r="1314" spans="18:30" x14ac:dyDescent="0.25">
      <c r="R1314" s="33"/>
      <c r="S1314" s="33"/>
      <c r="T1314" s="33"/>
      <c r="U1314" s="33"/>
      <c r="V1314" s="33"/>
      <c r="W1314" s="33"/>
      <c r="X1314" s="33"/>
      <c r="Y1314" s="33"/>
      <c r="Z1314" s="33"/>
      <c r="AA1314" s="33"/>
      <c r="AB1314" s="33"/>
      <c r="AC1314" s="33"/>
      <c r="AD1314" s="593"/>
    </row>
    <row r="1315" spans="18:30" x14ac:dyDescent="0.25">
      <c r="R1315" s="33"/>
      <c r="S1315" s="33"/>
      <c r="T1315" s="33"/>
      <c r="U1315" s="33"/>
      <c r="V1315" s="33"/>
      <c r="W1315" s="33"/>
      <c r="X1315" s="33"/>
      <c r="Y1315" s="33"/>
      <c r="Z1315" s="33"/>
      <c r="AA1315" s="33"/>
      <c r="AB1315" s="33"/>
      <c r="AC1315" s="33"/>
      <c r="AD1315" s="593"/>
    </row>
    <row r="1316" spans="18:30" x14ac:dyDescent="0.25">
      <c r="R1316" s="33"/>
      <c r="S1316" s="33"/>
      <c r="T1316" s="33"/>
      <c r="U1316" s="33"/>
      <c r="V1316" s="33"/>
      <c r="W1316" s="33"/>
      <c r="X1316" s="33"/>
      <c r="Y1316" s="33"/>
      <c r="Z1316" s="33"/>
      <c r="AA1316" s="33"/>
      <c r="AB1316" s="33"/>
      <c r="AC1316" s="33"/>
      <c r="AD1316" s="593"/>
    </row>
    <row r="1317" spans="18:30" x14ac:dyDescent="0.25">
      <c r="R1317" s="33"/>
      <c r="S1317" s="33"/>
      <c r="T1317" s="33"/>
      <c r="U1317" s="33"/>
      <c r="V1317" s="33"/>
      <c r="W1317" s="33"/>
      <c r="X1317" s="33"/>
      <c r="Y1317" s="33"/>
      <c r="Z1317" s="33"/>
      <c r="AA1317" s="33"/>
      <c r="AB1317" s="33"/>
      <c r="AC1317" s="33"/>
      <c r="AD1317" s="593"/>
    </row>
    <row r="1318" spans="18:30" x14ac:dyDescent="0.25">
      <c r="R1318" s="33"/>
      <c r="S1318" s="33"/>
      <c r="T1318" s="33"/>
      <c r="U1318" s="33"/>
      <c r="V1318" s="33"/>
      <c r="W1318" s="33"/>
      <c r="X1318" s="33"/>
      <c r="Y1318" s="33"/>
      <c r="Z1318" s="33"/>
      <c r="AA1318" s="33"/>
      <c r="AB1318" s="33"/>
      <c r="AC1318" s="33"/>
      <c r="AD1318" s="593"/>
    </row>
    <row r="1319" spans="18:30" x14ac:dyDescent="0.25">
      <c r="R1319" s="33"/>
      <c r="S1319" s="33"/>
      <c r="T1319" s="33"/>
      <c r="U1319" s="33"/>
      <c r="V1319" s="33"/>
      <c r="W1319" s="33"/>
      <c r="X1319" s="33"/>
      <c r="Y1319" s="33"/>
      <c r="Z1319" s="33"/>
      <c r="AA1319" s="33"/>
      <c r="AB1319" s="33"/>
      <c r="AC1319" s="33"/>
      <c r="AD1319" s="593"/>
    </row>
    <row r="1320" spans="18:30" x14ac:dyDescent="0.25">
      <c r="R1320" s="33"/>
      <c r="S1320" s="33"/>
      <c r="T1320" s="33"/>
      <c r="U1320" s="33"/>
      <c r="V1320" s="33"/>
      <c r="W1320" s="33"/>
      <c r="X1320" s="33"/>
      <c r="Y1320" s="33"/>
      <c r="Z1320" s="33"/>
      <c r="AA1320" s="33"/>
      <c r="AB1320" s="33"/>
      <c r="AC1320" s="33"/>
      <c r="AD1320" s="593"/>
    </row>
    <row r="1321" spans="18:30" x14ac:dyDescent="0.25">
      <c r="R1321" s="33"/>
      <c r="S1321" s="33"/>
      <c r="T1321" s="33"/>
      <c r="U1321" s="33"/>
      <c r="V1321" s="33"/>
      <c r="W1321" s="33"/>
      <c r="X1321" s="33"/>
      <c r="Y1321" s="33"/>
      <c r="Z1321" s="33"/>
      <c r="AA1321" s="33"/>
      <c r="AB1321" s="33"/>
      <c r="AC1321" s="33"/>
      <c r="AD1321" s="593"/>
    </row>
    <row r="1322" spans="18:30" x14ac:dyDescent="0.25">
      <c r="R1322" s="33"/>
      <c r="S1322" s="33"/>
      <c r="T1322" s="33"/>
      <c r="U1322" s="33"/>
      <c r="V1322" s="33"/>
      <c r="W1322" s="33"/>
      <c r="X1322" s="33"/>
      <c r="Y1322" s="33"/>
      <c r="Z1322" s="33"/>
      <c r="AA1322" s="33"/>
      <c r="AB1322" s="33"/>
      <c r="AC1322" s="33"/>
      <c r="AD1322" s="593"/>
    </row>
    <row r="1323" spans="18:30" x14ac:dyDescent="0.25">
      <c r="R1323" s="33"/>
      <c r="S1323" s="33"/>
      <c r="T1323" s="33"/>
      <c r="U1323" s="33"/>
      <c r="V1323" s="33"/>
      <c r="W1323" s="33"/>
      <c r="X1323" s="33"/>
      <c r="Y1323" s="33"/>
      <c r="Z1323" s="33"/>
      <c r="AA1323" s="33"/>
      <c r="AB1323" s="33"/>
      <c r="AC1323" s="33"/>
      <c r="AD1323" s="593"/>
    </row>
    <row r="1324" spans="18:30" x14ac:dyDescent="0.25">
      <c r="R1324" s="33"/>
      <c r="S1324" s="33"/>
      <c r="T1324" s="33"/>
      <c r="U1324" s="33"/>
      <c r="V1324" s="33"/>
      <c r="W1324" s="33"/>
      <c r="X1324" s="33"/>
      <c r="Y1324" s="33"/>
      <c r="Z1324" s="33"/>
      <c r="AA1324" s="33"/>
      <c r="AB1324" s="33"/>
      <c r="AC1324" s="33"/>
      <c r="AD1324" s="593"/>
    </row>
    <row r="1325" spans="18:30" x14ac:dyDescent="0.25">
      <c r="R1325" s="33"/>
      <c r="S1325" s="33"/>
      <c r="T1325" s="33"/>
      <c r="U1325" s="33"/>
      <c r="V1325" s="33"/>
      <c r="W1325" s="33"/>
      <c r="X1325" s="33"/>
      <c r="Y1325" s="33"/>
      <c r="Z1325" s="33"/>
      <c r="AA1325" s="33"/>
      <c r="AB1325" s="33"/>
      <c r="AC1325" s="33"/>
      <c r="AD1325" s="593"/>
    </row>
    <row r="1326" spans="18:30" x14ac:dyDescent="0.25">
      <c r="R1326" s="33"/>
      <c r="S1326" s="33"/>
      <c r="T1326" s="33"/>
      <c r="U1326" s="33"/>
      <c r="V1326" s="33"/>
      <c r="W1326" s="33"/>
      <c r="X1326" s="33"/>
      <c r="Y1326" s="33"/>
      <c r="Z1326" s="33"/>
      <c r="AA1326" s="33"/>
      <c r="AB1326" s="33"/>
      <c r="AC1326" s="33"/>
      <c r="AD1326" s="593"/>
    </row>
    <row r="1327" spans="18:30" x14ac:dyDescent="0.25">
      <c r="R1327" s="33"/>
      <c r="S1327" s="33"/>
      <c r="T1327" s="33"/>
      <c r="U1327" s="33"/>
      <c r="V1327" s="33"/>
      <c r="W1327" s="33"/>
      <c r="X1327" s="33"/>
      <c r="Y1327" s="33"/>
      <c r="Z1327" s="33"/>
      <c r="AA1327" s="33"/>
      <c r="AB1327" s="33"/>
      <c r="AC1327" s="33"/>
      <c r="AD1327" s="593"/>
    </row>
    <row r="1328" spans="18:30" x14ac:dyDescent="0.25">
      <c r="R1328" s="33"/>
      <c r="S1328" s="33"/>
      <c r="T1328" s="33"/>
      <c r="U1328" s="33"/>
      <c r="V1328" s="33"/>
      <c r="W1328" s="33"/>
      <c r="X1328" s="33"/>
      <c r="Y1328" s="33"/>
      <c r="Z1328" s="33"/>
      <c r="AA1328" s="33"/>
      <c r="AB1328" s="33"/>
      <c r="AC1328" s="33"/>
      <c r="AD1328" s="593"/>
    </row>
    <row r="1329" spans="18:30" x14ac:dyDescent="0.25">
      <c r="R1329" s="33"/>
      <c r="S1329" s="33"/>
      <c r="T1329" s="33"/>
      <c r="U1329" s="33"/>
      <c r="V1329" s="33"/>
      <c r="W1329" s="33"/>
      <c r="X1329" s="33"/>
      <c r="Y1329" s="33"/>
      <c r="Z1329" s="33"/>
      <c r="AA1329" s="33"/>
      <c r="AB1329" s="33"/>
      <c r="AC1329" s="33"/>
      <c r="AD1329" s="593"/>
    </row>
    <row r="1330" spans="18:30" x14ac:dyDescent="0.25">
      <c r="R1330" s="33"/>
      <c r="S1330" s="33"/>
      <c r="T1330" s="33"/>
      <c r="U1330" s="33"/>
      <c r="V1330" s="33"/>
      <c r="W1330" s="33"/>
      <c r="X1330" s="33"/>
      <c r="Y1330" s="33"/>
      <c r="Z1330" s="33"/>
      <c r="AA1330" s="33"/>
      <c r="AB1330" s="33"/>
      <c r="AC1330" s="33"/>
      <c r="AD1330" s="593"/>
    </row>
    <row r="1331" spans="18:30" x14ac:dyDescent="0.25">
      <c r="R1331" s="33"/>
      <c r="S1331" s="33"/>
      <c r="T1331" s="33"/>
      <c r="U1331" s="33"/>
      <c r="V1331" s="33"/>
      <c r="W1331" s="33"/>
      <c r="X1331" s="33"/>
      <c r="Y1331" s="33"/>
      <c r="Z1331" s="33"/>
      <c r="AA1331" s="33"/>
      <c r="AB1331" s="33"/>
      <c r="AC1331" s="33"/>
      <c r="AD1331" s="593"/>
    </row>
    <row r="1332" spans="18:30" x14ac:dyDescent="0.25">
      <c r="R1332" s="33"/>
      <c r="S1332" s="33"/>
      <c r="T1332" s="33"/>
      <c r="U1332" s="33"/>
      <c r="V1332" s="33"/>
      <c r="W1332" s="33"/>
      <c r="X1332" s="33"/>
      <c r="Y1332" s="33"/>
      <c r="Z1332" s="33"/>
      <c r="AA1332" s="33"/>
      <c r="AB1332" s="33"/>
      <c r="AC1332" s="33"/>
      <c r="AD1332" s="593"/>
    </row>
    <row r="1333" spans="18:30" x14ac:dyDescent="0.25">
      <c r="R1333" s="33"/>
      <c r="S1333" s="33"/>
      <c r="T1333" s="33"/>
      <c r="U1333" s="33"/>
      <c r="V1333" s="33"/>
      <c r="W1333" s="33"/>
      <c r="X1333" s="33"/>
      <c r="Y1333" s="33"/>
      <c r="Z1333" s="33"/>
      <c r="AA1333" s="33"/>
      <c r="AB1333" s="33"/>
      <c r="AC1333" s="33"/>
      <c r="AD1333" s="593"/>
    </row>
    <row r="1334" spans="18:30" x14ac:dyDescent="0.25">
      <c r="R1334" s="33"/>
      <c r="S1334" s="33"/>
      <c r="T1334" s="33"/>
      <c r="U1334" s="33"/>
      <c r="V1334" s="33"/>
      <c r="W1334" s="33"/>
      <c r="X1334" s="33"/>
      <c r="Y1334" s="33"/>
      <c r="Z1334" s="33"/>
      <c r="AA1334" s="33"/>
      <c r="AB1334" s="33"/>
      <c r="AC1334" s="33"/>
      <c r="AD1334" s="593"/>
    </row>
    <row r="1335" spans="18:30" x14ac:dyDescent="0.25">
      <c r="R1335" s="33"/>
      <c r="S1335" s="33"/>
      <c r="T1335" s="33"/>
      <c r="U1335" s="33"/>
      <c r="V1335" s="33"/>
      <c r="W1335" s="33"/>
      <c r="X1335" s="33"/>
      <c r="Y1335" s="33"/>
      <c r="Z1335" s="33"/>
      <c r="AA1335" s="33"/>
      <c r="AB1335" s="33"/>
      <c r="AC1335" s="33"/>
      <c r="AD1335" s="593"/>
    </row>
    <row r="1336" spans="18:30" x14ac:dyDescent="0.25">
      <c r="R1336" s="33"/>
      <c r="S1336" s="33"/>
      <c r="T1336" s="33"/>
      <c r="U1336" s="33"/>
      <c r="V1336" s="33"/>
      <c r="W1336" s="33"/>
      <c r="X1336" s="33"/>
      <c r="Y1336" s="33"/>
      <c r="Z1336" s="33"/>
      <c r="AA1336" s="33"/>
      <c r="AB1336" s="33"/>
      <c r="AC1336" s="33"/>
      <c r="AD1336" s="593"/>
    </row>
    <row r="1337" spans="18:30" x14ac:dyDescent="0.25">
      <c r="R1337" s="33"/>
      <c r="S1337" s="33"/>
      <c r="T1337" s="33"/>
      <c r="U1337" s="33"/>
      <c r="V1337" s="33"/>
      <c r="W1337" s="33"/>
      <c r="X1337" s="33"/>
      <c r="Y1337" s="33"/>
      <c r="Z1337" s="33"/>
      <c r="AA1337" s="33"/>
      <c r="AB1337" s="33"/>
      <c r="AC1337" s="33"/>
      <c r="AD1337" s="593"/>
    </row>
    <row r="1338" spans="18:30" x14ac:dyDescent="0.25">
      <c r="R1338" s="33"/>
      <c r="S1338" s="33"/>
      <c r="T1338" s="33"/>
      <c r="U1338" s="33"/>
      <c r="V1338" s="33"/>
      <c r="W1338" s="33"/>
      <c r="X1338" s="33"/>
      <c r="Y1338" s="33"/>
      <c r="Z1338" s="33"/>
      <c r="AA1338" s="33"/>
      <c r="AB1338" s="33"/>
      <c r="AC1338" s="33"/>
      <c r="AD1338" s="593"/>
    </row>
    <row r="1339" spans="18:30" x14ac:dyDescent="0.25">
      <c r="R1339" s="33"/>
      <c r="S1339" s="33"/>
      <c r="T1339" s="33"/>
      <c r="U1339" s="33"/>
      <c r="V1339" s="33"/>
      <c r="W1339" s="33"/>
      <c r="X1339" s="33"/>
      <c r="Y1339" s="33"/>
      <c r="Z1339" s="33"/>
      <c r="AA1339" s="33"/>
      <c r="AB1339" s="33"/>
      <c r="AC1339" s="33"/>
      <c r="AD1339" s="593"/>
    </row>
    <row r="1340" spans="18:30" x14ac:dyDescent="0.25">
      <c r="R1340" s="33"/>
      <c r="S1340" s="33"/>
      <c r="T1340" s="33"/>
      <c r="U1340" s="33"/>
      <c r="V1340" s="33"/>
      <c r="W1340" s="33"/>
      <c r="X1340" s="33"/>
      <c r="Y1340" s="33"/>
      <c r="Z1340" s="33"/>
      <c r="AA1340" s="33"/>
      <c r="AB1340" s="33"/>
      <c r="AC1340" s="33"/>
      <c r="AD1340" s="593"/>
    </row>
    <row r="1341" spans="18:30" x14ac:dyDescent="0.25">
      <c r="R1341" s="33"/>
      <c r="S1341" s="33"/>
      <c r="T1341" s="33"/>
      <c r="U1341" s="33"/>
      <c r="V1341" s="33"/>
      <c r="W1341" s="33"/>
      <c r="X1341" s="33"/>
      <c r="Y1341" s="33"/>
      <c r="Z1341" s="33"/>
      <c r="AA1341" s="33"/>
      <c r="AB1341" s="33"/>
      <c r="AC1341" s="33"/>
      <c r="AD1341" s="593"/>
    </row>
    <row r="1342" spans="18:30" x14ac:dyDescent="0.25">
      <c r="R1342" s="33"/>
      <c r="S1342" s="33"/>
      <c r="T1342" s="33"/>
      <c r="U1342" s="33"/>
      <c r="V1342" s="33"/>
      <c r="W1342" s="33"/>
      <c r="X1342" s="33"/>
      <c r="Y1342" s="33"/>
      <c r="Z1342" s="33"/>
      <c r="AA1342" s="33"/>
      <c r="AB1342" s="33"/>
      <c r="AC1342" s="33"/>
      <c r="AD1342" s="593"/>
    </row>
    <row r="1343" spans="18:30" x14ac:dyDescent="0.25">
      <c r="R1343" s="33"/>
      <c r="S1343" s="33"/>
      <c r="T1343" s="33"/>
      <c r="U1343" s="33"/>
      <c r="V1343" s="33"/>
      <c r="W1343" s="33"/>
      <c r="X1343" s="33"/>
      <c r="Y1343" s="33"/>
      <c r="Z1343" s="33"/>
      <c r="AA1343" s="33"/>
      <c r="AB1343" s="33"/>
      <c r="AC1343" s="33"/>
      <c r="AD1343" s="593"/>
    </row>
    <row r="1344" spans="18:30" x14ac:dyDescent="0.25">
      <c r="R1344" s="33"/>
      <c r="S1344" s="33"/>
      <c r="T1344" s="33"/>
      <c r="U1344" s="33"/>
      <c r="V1344" s="33"/>
      <c r="W1344" s="33"/>
      <c r="X1344" s="33"/>
      <c r="Y1344" s="33"/>
      <c r="Z1344" s="33"/>
      <c r="AA1344" s="33"/>
      <c r="AB1344" s="33"/>
      <c r="AC1344" s="33"/>
      <c r="AD1344" s="593"/>
    </row>
    <row r="1345" spans="18:30" x14ac:dyDescent="0.25">
      <c r="R1345" s="33"/>
      <c r="S1345" s="33"/>
      <c r="T1345" s="33"/>
      <c r="U1345" s="33"/>
      <c r="V1345" s="33"/>
      <c r="W1345" s="33"/>
      <c r="X1345" s="33"/>
      <c r="Y1345" s="33"/>
      <c r="Z1345" s="33"/>
      <c r="AA1345" s="33"/>
      <c r="AB1345" s="33"/>
      <c r="AC1345" s="33"/>
      <c r="AD1345" s="593"/>
    </row>
    <row r="1346" spans="18:30" x14ac:dyDescent="0.25">
      <c r="R1346" s="33"/>
      <c r="S1346" s="33"/>
      <c r="T1346" s="33"/>
      <c r="U1346" s="33"/>
      <c r="V1346" s="33"/>
      <c r="W1346" s="33"/>
      <c r="X1346" s="33"/>
      <c r="Y1346" s="33"/>
      <c r="Z1346" s="33"/>
      <c r="AA1346" s="33"/>
      <c r="AB1346" s="33"/>
      <c r="AC1346" s="33"/>
      <c r="AD1346" s="593"/>
    </row>
    <row r="1347" spans="18:30" x14ac:dyDescent="0.25">
      <c r="R1347" s="33"/>
      <c r="S1347" s="33"/>
      <c r="T1347" s="33"/>
      <c r="U1347" s="33"/>
      <c r="V1347" s="33"/>
      <c r="W1347" s="33"/>
      <c r="X1347" s="33"/>
      <c r="Y1347" s="33"/>
      <c r="Z1347" s="33"/>
      <c r="AA1347" s="33"/>
      <c r="AB1347" s="33"/>
      <c r="AC1347" s="33"/>
      <c r="AD1347" s="593"/>
    </row>
    <row r="1348" spans="18:30" x14ac:dyDescent="0.25">
      <c r="R1348" s="33"/>
      <c r="S1348" s="33"/>
      <c r="T1348" s="33"/>
      <c r="U1348" s="33"/>
      <c r="V1348" s="33"/>
      <c r="W1348" s="33"/>
      <c r="X1348" s="33"/>
      <c r="Y1348" s="33"/>
      <c r="Z1348" s="33"/>
      <c r="AA1348" s="33"/>
      <c r="AB1348" s="33"/>
      <c r="AC1348" s="33"/>
      <c r="AD1348" s="593"/>
    </row>
    <row r="1349" spans="18:30" x14ac:dyDescent="0.25">
      <c r="R1349" s="33"/>
      <c r="S1349" s="33"/>
      <c r="T1349" s="33"/>
      <c r="U1349" s="33"/>
      <c r="V1349" s="33"/>
      <c r="W1349" s="33"/>
      <c r="X1349" s="33"/>
      <c r="Y1349" s="33"/>
      <c r="Z1349" s="33"/>
      <c r="AA1349" s="33"/>
      <c r="AB1349" s="33"/>
      <c r="AC1349" s="33"/>
      <c r="AD1349" s="593"/>
    </row>
    <row r="1350" spans="18:30" x14ac:dyDescent="0.25">
      <c r="R1350" s="33"/>
      <c r="S1350" s="33"/>
      <c r="T1350" s="33"/>
      <c r="U1350" s="33"/>
      <c r="V1350" s="33"/>
      <c r="W1350" s="33"/>
      <c r="X1350" s="33"/>
      <c r="Y1350" s="33"/>
      <c r="Z1350" s="33"/>
      <c r="AA1350" s="33"/>
      <c r="AB1350" s="33"/>
      <c r="AC1350" s="33"/>
      <c r="AD1350" s="593"/>
    </row>
    <row r="1351" spans="18:30" x14ac:dyDescent="0.25">
      <c r="R1351" s="33"/>
      <c r="S1351" s="33"/>
      <c r="T1351" s="33"/>
      <c r="U1351" s="33"/>
      <c r="V1351" s="33"/>
      <c r="W1351" s="33"/>
      <c r="X1351" s="33"/>
      <c r="Y1351" s="33"/>
      <c r="Z1351" s="33"/>
      <c r="AA1351" s="33"/>
      <c r="AB1351" s="33"/>
      <c r="AC1351" s="33"/>
      <c r="AD1351" s="593"/>
    </row>
    <row r="1352" spans="18:30" x14ac:dyDescent="0.25">
      <c r="R1352" s="33"/>
      <c r="S1352" s="33"/>
      <c r="T1352" s="33"/>
      <c r="U1352" s="33"/>
      <c r="V1352" s="33"/>
      <c r="W1352" s="33"/>
      <c r="X1352" s="33"/>
      <c r="Y1352" s="33"/>
      <c r="Z1352" s="33"/>
      <c r="AA1352" s="33"/>
      <c r="AB1352" s="33"/>
      <c r="AC1352" s="33"/>
      <c r="AD1352" s="593"/>
    </row>
    <row r="1353" spans="18:30" x14ac:dyDescent="0.25">
      <c r="R1353" s="33"/>
      <c r="S1353" s="33"/>
      <c r="T1353" s="33"/>
      <c r="U1353" s="33"/>
      <c r="V1353" s="33"/>
      <c r="W1353" s="33"/>
      <c r="X1353" s="33"/>
      <c r="Y1353" s="33"/>
      <c r="Z1353" s="33"/>
      <c r="AA1353" s="33"/>
      <c r="AB1353" s="33"/>
      <c r="AC1353" s="33"/>
      <c r="AD1353" s="593"/>
    </row>
    <row r="1354" spans="18:30" x14ac:dyDescent="0.25">
      <c r="R1354" s="33"/>
      <c r="S1354" s="33"/>
      <c r="T1354" s="33"/>
      <c r="U1354" s="33"/>
      <c r="V1354" s="33"/>
      <c r="W1354" s="33"/>
      <c r="X1354" s="33"/>
      <c r="Y1354" s="33"/>
      <c r="Z1354" s="33"/>
      <c r="AA1354" s="33"/>
      <c r="AB1354" s="33"/>
      <c r="AC1354" s="33"/>
      <c r="AD1354" s="593"/>
    </row>
    <row r="1355" spans="18:30" x14ac:dyDescent="0.25">
      <c r="R1355" s="33"/>
      <c r="S1355" s="33"/>
      <c r="T1355" s="33"/>
      <c r="U1355" s="33"/>
      <c r="V1355" s="33"/>
      <c r="W1355" s="33"/>
      <c r="X1355" s="33"/>
      <c r="Y1355" s="33"/>
      <c r="Z1355" s="33"/>
      <c r="AA1355" s="33"/>
      <c r="AB1355" s="33"/>
      <c r="AC1355" s="33"/>
      <c r="AD1355" s="593"/>
    </row>
    <row r="1356" spans="18:30" x14ac:dyDescent="0.25">
      <c r="R1356" s="33"/>
      <c r="S1356" s="33"/>
      <c r="T1356" s="33"/>
      <c r="U1356" s="33"/>
      <c r="V1356" s="33"/>
      <c r="W1356" s="33"/>
      <c r="X1356" s="33"/>
      <c r="Y1356" s="33"/>
      <c r="Z1356" s="33"/>
      <c r="AA1356" s="33"/>
      <c r="AB1356" s="33"/>
      <c r="AC1356" s="33"/>
      <c r="AD1356" s="593"/>
    </row>
    <row r="1357" spans="18:30" x14ac:dyDescent="0.25">
      <c r="R1357" s="33"/>
      <c r="S1357" s="33"/>
      <c r="T1357" s="33"/>
      <c r="U1357" s="33"/>
      <c r="V1357" s="33"/>
      <c r="W1357" s="33"/>
      <c r="X1357" s="33"/>
      <c r="Y1357" s="33"/>
      <c r="Z1357" s="33"/>
      <c r="AA1357" s="33"/>
      <c r="AB1357" s="33"/>
      <c r="AC1357" s="33"/>
      <c r="AD1357" s="593"/>
    </row>
    <row r="1358" spans="18:30" x14ac:dyDescent="0.25">
      <c r="R1358" s="33"/>
      <c r="S1358" s="33"/>
      <c r="T1358" s="33"/>
      <c r="U1358" s="33"/>
      <c r="V1358" s="33"/>
      <c r="W1358" s="33"/>
      <c r="X1358" s="33"/>
      <c r="Y1358" s="33"/>
      <c r="Z1358" s="33"/>
      <c r="AA1358" s="33"/>
      <c r="AB1358" s="33"/>
      <c r="AC1358" s="33"/>
      <c r="AD1358" s="593"/>
    </row>
    <row r="1359" spans="18:30" x14ac:dyDescent="0.25">
      <c r="R1359" s="33"/>
      <c r="S1359" s="33"/>
      <c r="T1359" s="33"/>
      <c r="U1359" s="33"/>
      <c r="V1359" s="33"/>
      <c r="W1359" s="33"/>
      <c r="X1359" s="33"/>
      <c r="Y1359" s="33"/>
      <c r="Z1359" s="33"/>
      <c r="AA1359" s="33"/>
      <c r="AB1359" s="33"/>
      <c r="AC1359" s="33"/>
      <c r="AD1359" s="593"/>
    </row>
    <row r="1360" spans="18:30" x14ac:dyDescent="0.25">
      <c r="R1360" s="33"/>
      <c r="S1360" s="33"/>
      <c r="T1360" s="33"/>
      <c r="U1360" s="33"/>
      <c r="V1360" s="33"/>
      <c r="W1360" s="33"/>
      <c r="X1360" s="33"/>
      <c r="Y1360" s="33"/>
      <c r="Z1360" s="33"/>
      <c r="AA1360" s="33"/>
      <c r="AB1360" s="33"/>
      <c r="AC1360" s="33"/>
      <c r="AD1360" s="593"/>
    </row>
    <row r="1361" spans="18:30" x14ac:dyDescent="0.25">
      <c r="R1361" s="33"/>
      <c r="S1361" s="33"/>
      <c r="T1361" s="33"/>
      <c r="U1361" s="33"/>
      <c r="V1361" s="33"/>
      <c r="W1361" s="33"/>
      <c r="X1361" s="33"/>
      <c r="Y1361" s="33"/>
      <c r="Z1361" s="33"/>
      <c r="AA1361" s="33"/>
      <c r="AB1361" s="33"/>
      <c r="AC1361" s="33"/>
      <c r="AD1361" s="593"/>
    </row>
    <row r="1362" spans="18:30" x14ac:dyDescent="0.25">
      <c r="R1362" s="33"/>
      <c r="S1362" s="33"/>
      <c r="T1362" s="33"/>
      <c r="U1362" s="33"/>
      <c r="V1362" s="33"/>
      <c r="W1362" s="33"/>
      <c r="X1362" s="33"/>
      <c r="Y1362" s="33"/>
      <c r="Z1362" s="33"/>
      <c r="AA1362" s="33"/>
      <c r="AB1362" s="33"/>
      <c r="AC1362" s="33"/>
      <c r="AD1362" s="593"/>
    </row>
    <row r="1363" spans="18:30" x14ac:dyDescent="0.25">
      <c r="R1363" s="33"/>
      <c r="S1363" s="33"/>
      <c r="T1363" s="33"/>
      <c r="U1363" s="33"/>
      <c r="V1363" s="33"/>
      <c r="W1363" s="33"/>
      <c r="X1363" s="33"/>
      <c r="Y1363" s="33"/>
      <c r="Z1363" s="33"/>
      <c r="AA1363" s="33"/>
      <c r="AB1363" s="33"/>
      <c r="AC1363" s="33"/>
      <c r="AD1363" s="593"/>
    </row>
    <row r="1364" spans="18:30" x14ac:dyDescent="0.25">
      <c r="R1364" s="33"/>
      <c r="S1364" s="33"/>
      <c r="T1364" s="33"/>
      <c r="U1364" s="33"/>
      <c r="V1364" s="33"/>
      <c r="W1364" s="33"/>
      <c r="X1364" s="33"/>
      <c r="Y1364" s="33"/>
      <c r="Z1364" s="33"/>
      <c r="AA1364" s="33"/>
      <c r="AB1364" s="33"/>
      <c r="AC1364" s="33"/>
      <c r="AD1364" s="593"/>
    </row>
    <row r="1365" spans="18:30" x14ac:dyDescent="0.25">
      <c r="R1365" s="33"/>
      <c r="S1365" s="33"/>
      <c r="T1365" s="33"/>
      <c r="U1365" s="33"/>
      <c r="V1365" s="33"/>
      <c r="W1365" s="33"/>
      <c r="X1365" s="33"/>
      <c r="Y1365" s="33"/>
      <c r="Z1365" s="33"/>
      <c r="AA1365" s="33"/>
      <c r="AB1365" s="33"/>
      <c r="AC1365" s="33"/>
      <c r="AD1365" s="593"/>
    </row>
    <row r="1366" spans="18:30" x14ac:dyDescent="0.25">
      <c r="R1366" s="33"/>
      <c r="S1366" s="33"/>
      <c r="T1366" s="33"/>
      <c r="U1366" s="33"/>
      <c r="V1366" s="33"/>
      <c r="W1366" s="33"/>
      <c r="X1366" s="33"/>
      <c r="Y1366" s="33"/>
      <c r="Z1366" s="33"/>
      <c r="AA1366" s="33"/>
      <c r="AB1366" s="33"/>
      <c r="AC1366" s="33"/>
      <c r="AD1366" s="593"/>
    </row>
    <row r="1367" spans="18:30" x14ac:dyDescent="0.25">
      <c r="R1367" s="33"/>
      <c r="S1367" s="33"/>
      <c r="T1367" s="33"/>
      <c r="U1367" s="33"/>
      <c r="V1367" s="33"/>
      <c r="W1367" s="33"/>
      <c r="X1367" s="33"/>
      <c r="Y1367" s="33"/>
      <c r="Z1367" s="33"/>
      <c r="AA1367" s="33"/>
      <c r="AB1367" s="33"/>
      <c r="AC1367" s="33"/>
      <c r="AD1367" s="593"/>
    </row>
    <row r="1368" spans="18:30" x14ac:dyDescent="0.25">
      <c r="R1368" s="33"/>
      <c r="S1368" s="33"/>
      <c r="T1368" s="33"/>
      <c r="U1368" s="33"/>
      <c r="V1368" s="33"/>
      <c r="W1368" s="33"/>
      <c r="X1368" s="33"/>
      <c r="Y1368" s="33"/>
      <c r="Z1368" s="33"/>
      <c r="AA1368" s="33"/>
      <c r="AB1368" s="33"/>
      <c r="AC1368" s="33"/>
      <c r="AD1368" s="593"/>
    </row>
    <row r="1369" spans="18:30" x14ac:dyDescent="0.25">
      <c r="R1369" s="33"/>
      <c r="S1369" s="33"/>
      <c r="T1369" s="33"/>
      <c r="U1369" s="33"/>
      <c r="V1369" s="33"/>
      <c r="W1369" s="33"/>
      <c r="X1369" s="33"/>
      <c r="Y1369" s="33"/>
      <c r="Z1369" s="33"/>
      <c r="AA1369" s="33"/>
      <c r="AB1369" s="33"/>
      <c r="AC1369" s="33"/>
      <c r="AD1369" s="593"/>
    </row>
    <row r="1370" spans="18:30" x14ac:dyDescent="0.25">
      <c r="R1370" s="33"/>
      <c r="S1370" s="33"/>
      <c r="T1370" s="33"/>
      <c r="U1370" s="33"/>
      <c r="V1370" s="33"/>
      <c r="W1370" s="33"/>
      <c r="X1370" s="33"/>
      <c r="Y1370" s="33"/>
      <c r="Z1370" s="33"/>
      <c r="AA1370" s="33"/>
      <c r="AB1370" s="33"/>
      <c r="AC1370" s="33"/>
      <c r="AD1370" s="593"/>
    </row>
    <row r="1371" spans="18:30" x14ac:dyDescent="0.25">
      <c r="R1371" s="33"/>
      <c r="S1371" s="33"/>
      <c r="T1371" s="33"/>
      <c r="U1371" s="33"/>
      <c r="V1371" s="33"/>
      <c r="W1371" s="33"/>
      <c r="X1371" s="33"/>
      <c r="Y1371" s="33"/>
      <c r="Z1371" s="33"/>
      <c r="AA1371" s="33"/>
      <c r="AB1371" s="33"/>
      <c r="AC1371" s="33"/>
      <c r="AD1371" s="593"/>
    </row>
    <row r="1372" spans="18:30" x14ac:dyDescent="0.25">
      <c r="R1372" s="33"/>
      <c r="S1372" s="33"/>
      <c r="T1372" s="33"/>
      <c r="U1372" s="33"/>
      <c r="V1372" s="33"/>
      <c r="W1372" s="33"/>
      <c r="X1372" s="33"/>
      <c r="Y1372" s="33"/>
      <c r="Z1372" s="33"/>
      <c r="AA1372" s="33"/>
      <c r="AB1372" s="33"/>
      <c r="AC1372" s="33"/>
      <c r="AD1372" s="593"/>
    </row>
    <row r="1373" spans="18:30" x14ac:dyDescent="0.25">
      <c r="R1373" s="33"/>
      <c r="S1373" s="33"/>
      <c r="T1373" s="33"/>
      <c r="U1373" s="33"/>
      <c r="V1373" s="33"/>
      <c r="W1373" s="33"/>
      <c r="X1373" s="33"/>
      <c r="Y1373" s="33"/>
      <c r="Z1373" s="33"/>
      <c r="AA1373" s="33"/>
      <c r="AB1373" s="33"/>
      <c r="AC1373" s="33"/>
      <c r="AD1373" s="593"/>
    </row>
    <row r="1374" spans="18:30" x14ac:dyDescent="0.25">
      <c r="R1374" s="33"/>
      <c r="S1374" s="33"/>
      <c r="T1374" s="33"/>
      <c r="U1374" s="33"/>
      <c r="V1374" s="33"/>
      <c r="W1374" s="33"/>
      <c r="X1374" s="33"/>
      <c r="Y1374" s="33"/>
      <c r="Z1374" s="33"/>
      <c r="AA1374" s="33"/>
      <c r="AB1374" s="33"/>
      <c r="AC1374" s="33"/>
      <c r="AD1374" s="593"/>
    </row>
    <row r="1375" spans="18:30" x14ac:dyDescent="0.25">
      <c r="R1375" s="33"/>
      <c r="S1375" s="33"/>
      <c r="T1375" s="33"/>
      <c r="U1375" s="33"/>
      <c r="V1375" s="33"/>
      <c r="W1375" s="33"/>
      <c r="X1375" s="33"/>
      <c r="Y1375" s="33"/>
      <c r="Z1375" s="33"/>
      <c r="AA1375" s="33"/>
      <c r="AB1375" s="33"/>
      <c r="AC1375" s="33"/>
      <c r="AD1375" s="593"/>
    </row>
    <row r="1376" spans="18:30" x14ac:dyDescent="0.25">
      <c r="R1376" s="33"/>
      <c r="S1376" s="33"/>
      <c r="T1376" s="33"/>
      <c r="U1376" s="33"/>
      <c r="V1376" s="33"/>
      <c r="W1376" s="33"/>
      <c r="X1376" s="33"/>
      <c r="Y1376" s="33"/>
      <c r="Z1376" s="33"/>
      <c r="AA1376" s="33"/>
      <c r="AB1376" s="33"/>
      <c r="AC1376" s="33"/>
      <c r="AD1376" s="593"/>
    </row>
    <row r="1377" spans="18:30" x14ac:dyDescent="0.25">
      <c r="R1377" s="33"/>
      <c r="S1377" s="33"/>
      <c r="T1377" s="33"/>
      <c r="U1377" s="33"/>
      <c r="V1377" s="33"/>
      <c r="W1377" s="33"/>
      <c r="X1377" s="33"/>
      <c r="Y1377" s="33"/>
      <c r="Z1377" s="33"/>
      <c r="AA1377" s="33"/>
      <c r="AB1377" s="33"/>
      <c r="AC1377" s="33"/>
      <c r="AD1377" s="593"/>
    </row>
    <row r="1378" spans="18:30" x14ac:dyDescent="0.25">
      <c r="R1378" s="33"/>
      <c r="S1378" s="33"/>
      <c r="T1378" s="33"/>
      <c r="U1378" s="33"/>
      <c r="V1378" s="33"/>
      <c r="W1378" s="33"/>
      <c r="X1378" s="33"/>
      <c r="Y1378" s="33"/>
      <c r="Z1378" s="33"/>
      <c r="AA1378" s="33"/>
      <c r="AB1378" s="33"/>
      <c r="AC1378" s="33"/>
      <c r="AD1378" s="593"/>
    </row>
    <row r="1379" spans="18:30" x14ac:dyDescent="0.25">
      <c r="R1379" s="33"/>
      <c r="S1379" s="33"/>
      <c r="T1379" s="33"/>
      <c r="U1379" s="33"/>
      <c r="V1379" s="33"/>
      <c r="W1379" s="33"/>
      <c r="X1379" s="33"/>
      <c r="Y1379" s="33"/>
      <c r="Z1379" s="33"/>
      <c r="AA1379" s="33"/>
      <c r="AB1379" s="33"/>
      <c r="AC1379" s="33"/>
      <c r="AD1379" s="593"/>
    </row>
    <row r="1380" spans="18:30" x14ac:dyDescent="0.25">
      <c r="R1380" s="33"/>
      <c r="S1380" s="33"/>
      <c r="T1380" s="33"/>
      <c r="U1380" s="33"/>
      <c r="V1380" s="33"/>
      <c r="W1380" s="33"/>
      <c r="X1380" s="33"/>
      <c r="Y1380" s="33"/>
      <c r="Z1380" s="33"/>
      <c r="AA1380" s="33"/>
      <c r="AB1380" s="33"/>
      <c r="AC1380" s="33"/>
      <c r="AD1380" s="593"/>
    </row>
    <row r="1381" spans="18:30" x14ac:dyDescent="0.25">
      <c r="R1381" s="33"/>
      <c r="S1381" s="33"/>
      <c r="T1381" s="33"/>
      <c r="U1381" s="33"/>
      <c r="V1381" s="33"/>
      <c r="W1381" s="33"/>
      <c r="X1381" s="33"/>
      <c r="Y1381" s="33"/>
      <c r="Z1381" s="33"/>
      <c r="AA1381" s="33"/>
      <c r="AB1381" s="33"/>
      <c r="AC1381" s="33"/>
      <c r="AD1381" s="593"/>
    </row>
    <row r="1382" spans="18:30" x14ac:dyDescent="0.25">
      <c r="R1382" s="33"/>
      <c r="S1382" s="33"/>
      <c r="T1382" s="33"/>
      <c r="U1382" s="33"/>
      <c r="V1382" s="33"/>
      <c r="W1382" s="33"/>
      <c r="X1382" s="33"/>
      <c r="Y1382" s="33"/>
      <c r="Z1382" s="33"/>
      <c r="AA1382" s="33"/>
      <c r="AB1382" s="33"/>
      <c r="AC1382" s="33"/>
      <c r="AD1382" s="593"/>
    </row>
    <row r="1383" spans="18:30" x14ac:dyDescent="0.25">
      <c r="R1383" s="33"/>
      <c r="S1383" s="33"/>
      <c r="T1383" s="33"/>
      <c r="U1383" s="33"/>
      <c r="V1383" s="33"/>
      <c r="W1383" s="33"/>
      <c r="X1383" s="33"/>
      <c r="Y1383" s="33"/>
      <c r="Z1383" s="33"/>
      <c r="AA1383" s="33"/>
      <c r="AB1383" s="33"/>
      <c r="AC1383" s="33"/>
      <c r="AD1383" s="593"/>
    </row>
    <row r="1384" spans="18:30" x14ac:dyDescent="0.25">
      <c r="R1384" s="33"/>
      <c r="S1384" s="33"/>
      <c r="T1384" s="33"/>
      <c r="U1384" s="33"/>
      <c r="V1384" s="33"/>
      <c r="W1384" s="33"/>
      <c r="X1384" s="33"/>
      <c r="Y1384" s="33"/>
      <c r="Z1384" s="33"/>
      <c r="AA1384" s="33"/>
      <c r="AB1384" s="33"/>
      <c r="AC1384" s="33"/>
      <c r="AD1384" s="593"/>
    </row>
    <row r="1385" spans="18:30" x14ac:dyDescent="0.25">
      <c r="R1385" s="33"/>
      <c r="S1385" s="33"/>
      <c r="T1385" s="33"/>
      <c r="U1385" s="33"/>
      <c r="V1385" s="33"/>
      <c r="W1385" s="33"/>
      <c r="X1385" s="33"/>
      <c r="Y1385" s="33"/>
      <c r="Z1385" s="33"/>
      <c r="AA1385" s="33"/>
      <c r="AB1385" s="33"/>
      <c r="AC1385" s="33"/>
      <c r="AD1385" s="593"/>
    </row>
    <row r="1386" spans="18:30" x14ac:dyDescent="0.25">
      <c r="R1386" s="33"/>
      <c r="S1386" s="33"/>
      <c r="T1386" s="33"/>
      <c r="U1386" s="33"/>
      <c r="V1386" s="33"/>
      <c r="W1386" s="33"/>
      <c r="X1386" s="33"/>
      <c r="Y1386" s="33"/>
      <c r="Z1386" s="33"/>
      <c r="AA1386" s="33"/>
      <c r="AB1386" s="33"/>
      <c r="AC1386" s="33"/>
      <c r="AD1386" s="593"/>
    </row>
    <row r="1387" spans="18:30" x14ac:dyDescent="0.25">
      <c r="R1387" s="33"/>
      <c r="S1387" s="33"/>
      <c r="T1387" s="33"/>
      <c r="U1387" s="33"/>
      <c r="V1387" s="33"/>
      <c r="W1387" s="33"/>
      <c r="X1387" s="33"/>
      <c r="Y1387" s="33"/>
      <c r="Z1387" s="33"/>
      <c r="AA1387" s="33"/>
      <c r="AB1387" s="33"/>
      <c r="AC1387" s="33"/>
      <c r="AD1387" s="593"/>
    </row>
    <row r="1388" spans="18:30" x14ac:dyDescent="0.25">
      <c r="R1388" s="33"/>
      <c r="S1388" s="33"/>
      <c r="T1388" s="33"/>
      <c r="U1388" s="33"/>
      <c r="V1388" s="33"/>
      <c r="W1388" s="33"/>
      <c r="X1388" s="33"/>
      <c r="Y1388" s="33"/>
      <c r="Z1388" s="33"/>
      <c r="AA1388" s="33"/>
      <c r="AB1388" s="33"/>
      <c r="AC1388" s="33"/>
      <c r="AD1388" s="593"/>
    </row>
    <row r="1389" spans="18:30" x14ac:dyDescent="0.25">
      <c r="R1389" s="33"/>
      <c r="S1389" s="33"/>
      <c r="T1389" s="33"/>
      <c r="U1389" s="33"/>
      <c r="V1389" s="33"/>
      <c r="W1389" s="33"/>
      <c r="X1389" s="33"/>
      <c r="Y1389" s="33"/>
      <c r="Z1389" s="33"/>
      <c r="AA1389" s="33"/>
      <c r="AB1389" s="33"/>
      <c r="AC1389" s="33"/>
      <c r="AD1389" s="593"/>
    </row>
    <row r="1390" spans="18:30" x14ac:dyDescent="0.25">
      <c r="R1390" s="33"/>
      <c r="S1390" s="33"/>
      <c r="T1390" s="33"/>
      <c r="U1390" s="33"/>
      <c r="V1390" s="33"/>
      <c r="W1390" s="33"/>
      <c r="X1390" s="33"/>
      <c r="Y1390" s="33"/>
      <c r="Z1390" s="33"/>
      <c r="AA1390" s="33"/>
      <c r="AB1390" s="33"/>
      <c r="AC1390" s="33"/>
      <c r="AD1390" s="593"/>
    </row>
    <row r="1391" spans="18:30" x14ac:dyDescent="0.25">
      <c r="R1391" s="33"/>
      <c r="S1391" s="33"/>
      <c r="T1391" s="33"/>
      <c r="U1391" s="33"/>
      <c r="V1391" s="33"/>
      <c r="W1391" s="33"/>
      <c r="X1391" s="33"/>
      <c r="Y1391" s="33"/>
      <c r="Z1391" s="33"/>
      <c r="AA1391" s="33"/>
      <c r="AB1391" s="33"/>
      <c r="AC1391" s="33"/>
      <c r="AD1391" s="593"/>
    </row>
    <row r="1392" spans="18:30" x14ac:dyDescent="0.25">
      <c r="R1392" s="33"/>
      <c r="S1392" s="33"/>
      <c r="T1392" s="33"/>
      <c r="U1392" s="33"/>
      <c r="V1392" s="33"/>
      <c r="W1392" s="33"/>
      <c r="X1392" s="33"/>
      <c r="Y1392" s="33"/>
      <c r="Z1392" s="33"/>
      <c r="AA1392" s="33"/>
      <c r="AB1392" s="33"/>
      <c r="AC1392" s="33"/>
      <c r="AD1392" s="593"/>
    </row>
    <row r="1393" spans="18:30" x14ac:dyDescent="0.25">
      <c r="R1393" s="33"/>
      <c r="S1393" s="33"/>
      <c r="T1393" s="33"/>
      <c r="U1393" s="33"/>
      <c r="V1393" s="33"/>
      <c r="W1393" s="33"/>
      <c r="X1393" s="33"/>
      <c r="Y1393" s="33"/>
      <c r="Z1393" s="33"/>
      <c r="AA1393" s="33"/>
      <c r="AB1393" s="33"/>
      <c r="AC1393" s="33"/>
      <c r="AD1393" s="593"/>
    </row>
    <row r="1394" spans="18:30" x14ac:dyDescent="0.25">
      <c r="R1394" s="33"/>
      <c r="S1394" s="33"/>
      <c r="T1394" s="33"/>
      <c r="U1394" s="33"/>
      <c r="V1394" s="33"/>
      <c r="W1394" s="33"/>
      <c r="X1394" s="33"/>
      <c r="Y1394" s="33"/>
      <c r="Z1394" s="33"/>
      <c r="AA1394" s="33"/>
      <c r="AB1394" s="33"/>
      <c r="AC1394" s="33"/>
      <c r="AD1394" s="593"/>
    </row>
    <row r="1395" spans="18:30" x14ac:dyDescent="0.25">
      <c r="R1395" s="33"/>
      <c r="S1395" s="33"/>
      <c r="T1395" s="33"/>
      <c r="U1395" s="33"/>
      <c r="V1395" s="33"/>
      <c r="W1395" s="33"/>
      <c r="X1395" s="33"/>
      <c r="Y1395" s="33"/>
      <c r="Z1395" s="33"/>
      <c r="AA1395" s="33"/>
      <c r="AB1395" s="33"/>
      <c r="AC1395" s="33"/>
      <c r="AD1395" s="593"/>
    </row>
    <row r="1396" spans="18:30" x14ac:dyDescent="0.25">
      <c r="R1396" s="33"/>
      <c r="S1396" s="33"/>
      <c r="T1396" s="33"/>
      <c r="U1396" s="33"/>
      <c r="V1396" s="33"/>
      <c r="W1396" s="33"/>
      <c r="X1396" s="33"/>
      <c r="Y1396" s="33"/>
      <c r="Z1396" s="33"/>
      <c r="AA1396" s="33"/>
      <c r="AB1396" s="33"/>
      <c r="AC1396" s="33"/>
      <c r="AD1396" s="593"/>
    </row>
    <row r="1397" spans="18:30" x14ac:dyDescent="0.25">
      <c r="R1397" s="33"/>
      <c r="S1397" s="33"/>
      <c r="T1397" s="33"/>
      <c r="U1397" s="33"/>
      <c r="V1397" s="33"/>
      <c r="W1397" s="33"/>
      <c r="X1397" s="33"/>
      <c r="Y1397" s="33"/>
      <c r="Z1397" s="33"/>
      <c r="AA1397" s="33"/>
      <c r="AB1397" s="33"/>
      <c r="AC1397" s="33"/>
      <c r="AD1397" s="593"/>
    </row>
    <row r="1398" spans="18:30" x14ac:dyDescent="0.25">
      <c r="R1398" s="33"/>
      <c r="S1398" s="33"/>
      <c r="T1398" s="33"/>
      <c r="U1398" s="33"/>
      <c r="V1398" s="33"/>
      <c r="W1398" s="33"/>
      <c r="X1398" s="33"/>
      <c r="Y1398" s="33"/>
      <c r="Z1398" s="33"/>
      <c r="AA1398" s="33"/>
      <c r="AB1398" s="33"/>
      <c r="AC1398" s="33"/>
      <c r="AD1398" s="593"/>
    </row>
    <row r="1399" spans="18:30" x14ac:dyDescent="0.25">
      <c r="R1399" s="33"/>
      <c r="S1399" s="33"/>
      <c r="T1399" s="33"/>
      <c r="U1399" s="33"/>
      <c r="V1399" s="33"/>
      <c r="W1399" s="33"/>
      <c r="X1399" s="33"/>
      <c r="Y1399" s="33"/>
      <c r="Z1399" s="33"/>
      <c r="AA1399" s="33"/>
      <c r="AB1399" s="33"/>
      <c r="AC1399" s="33"/>
      <c r="AD1399" s="593"/>
    </row>
    <row r="1400" spans="18:30" x14ac:dyDescent="0.25">
      <c r="R1400" s="33"/>
      <c r="S1400" s="33"/>
      <c r="T1400" s="33"/>
      <c r="U1400" s="33"/>
      <c r="V1400" s="33"/>
      <c r="W1400" s="33"/>
      <c r="X1400" s="33"/>
      <c r="Y1400" s="33"/>
      <c r="Z1400" s="33"/>
      <c r="AA1400" s="33"/>
      <c r="AB1400" s="33"/>
      <c r="AC1400" s="33"/>
      <c r="AD1400" s="593"/>
    </row>
    <row r="1401" spans="18:30" x14ac:dyDescent="0.25">
      <c r="R1401" s="33"/>
      <c r="S1401" s="33"/>
      <c r="T1401" s="33"/>
      <c r="U1401" s="33"/>
      <c r="V1401" s="33"/>
      <c r="W1401" s="33"/>
      <c r="X1401" s="33"/>
      <c r="Y1401" s="33"/>
      <c r="Z1401" s="33"/>
      <c r="AA1401" s="33"/>
      <c r="AB1401" s="33"/>
      <c r="AC1401" s="33"/>
      <c r="AD1401" s="593"/>
    </row>
    <row r="1402" spans="18:30" x14ac:dyDescent="0.25">
      <c r="R1402" s="33"/>
      <c r="S1402" s="33"/>
      <c r="T1402" s="33"/>
      <c r="U1402" s="33"/>
      <c r="V1402" s="33"/>
      <c r="W1402" s="33"/>
      <c r="X1402" s="33"/>
      <c r="Y1402" s="33"/>
      <c r="Z1402" s="33"/>
      <c r="AA1402" s="33"/>
      <c r="AB1402" s="33"/>
      <c r="AC1402" s="33"/>
      <c r="AD1402" s="593"/>
    </row>
    <row r="1403" spans="18:30" x14ac:dyDescent="0.25">
      <c r="R1403" s="33"/>
      <c r="S1403" s="33"/>
      <c r="T1403" s="33"/>
      <c r="U1403" s="33"/>
      <c r="V1403" s="33"/>
      <c r="W1403" s="33"/>
      <c r="X1403" s="33"/>
      <c r="Y1403" s="33"/>
      <c r="Z1403" s="33"/>
      <c r="AA1403" s="33"/>
      <c r="AB1403" s="33"/>
      <c r="AC1403" s="33"/>
      <c r="AD1403" s="593"/>
    </row>
    <row r="1404" spans="18:30" x14ac:dyDescent="0.25">
      <c r="R1404" s="33"/>
      <c r="S1404" s="33"/>
      <c r="T1404" s="33"/>
      <c r="U1404" s="33"/>
      <c r="V1404" s="33"/>
      <c r="W1404" s="33"/>
      <c r="X1404" s="33"/>
      <c r="Y1404" s="33"/>
      <c r="Z1404" s="33"/>
      <c r="AA1404" s="33"/>
      <c r="AB1404" s="33"/>
      <c r="AC1404" s="33"/>
      <c r="AD1404" s="593"/>
    </row>
    <row r="1405" spans="18:30" x14ac:dyDescent="0.25">
      <c r="R1405" s="33"/>
      <c r="S1405" s="33"/>
      <c r="T1405" s="33"/>
      <c r="U1405" s="33"/>
      <c r="V1405" s="33"/>
      <c r="W1405" s="33"/>
      <c r="X1405" s="33"/>
      <c r="Y1405" s="33"/>
      <c r="Z1405" s="33"/>
      <c r="AA1405" s="33"/>
      <c r="AB1405" s="33"/>
      <c r="AC1405" s="33"/>
      <c r="AD1405" s="593"/>
    </row>
    <row r="1406" spans="18:30" x14ac:dyDescent="0.25">
      <c r="R1406" s="33"/>
      <c r="S1406" s="33"/>
      <c r="T1406" s="33"/>
      <c r="U1406" s="33"/>
      <c r="V1406" s="33"/>
      <c r="W1406" s="33"/>
      <c r="X1406" s="33"/>
      <c r="Y1406" s="33"/>
      <c r="Z1406" s="33"/>
      <c r="AA1406" s="33"/>
      <c r="AB1406" s="33"/>
      <c r="AC1406" s="33"/>
      <c r="AD1406" s="593"/>
    </row>
    <row r="1407" spans="18:30" x14ac:dyDescent="0.25">
      <c r="R1407" s="33"/>
      <c r="S1407" s="33"/>
      <c r="T1407" s="33"/>
      <c r="U1407" s="33"/>
      <c r="V1407" s="33"/>
      <c r="W1407" s="33"/>
      <c r="X1407" s="33"/>
      <c r="Y1407" s="33"/>
      <c r="Z1407" s="33"/>
      <c r="AA1407" s="33"/>
      <c r="AB1407" s="33"/>
      <c r="AC1407" s="33"/>
      <c r="AD1407" s="593"/>
    </row>
    <row r="1408" spans="18:30" x14ac:dyDescent="0.25">
      <c r="R1408" s="33"/>
      <c r="S1408" s="33"/>
      <c r="T1408" s="33"/>
      <c r="U1408" s="33"/>
      <c r="V1408" s="33"/>
      <c r="W1408" s="33"/>
      <c r="X1408" s="33"/>
      <c r="Y1408" s="33"/>
      <c r="Z1408" s="33"/>
      <c r="AA1408" s="33"/>
      <c r="AB1408" s="33"/>
      <c r="AC1408" s="33"/>
      <c r="AD1408" s="593"/>
    </row>
    <row r="1409" spans="18:30" x14ac:dyDescent="0.25">
      <c r="R1409" s="33"/>
      <c r="S1409" s="33"/>
      <c r="T1409" s="33"/>
      <c r="U1409" s="33"/>
      <c r="V1409" s="33"/>
      <c r="W1409" s="33"/>
      <c r="X1409" s="33"/>
      <c r="Y1409" s="33"/>
      <c r="Z1409" s="33"/>
      <c r="AA1409" s="33"/>
      <c r="AB1409" s="33"/>
      <c r="AC1409" s="33"/>
      <c r="AD1409" s="593"/>
    </row>
    <row r="1410" spans="18:30" x14ac:dyDescent="0.25">
      <c r="R1410" s="33"/>
      <c r="S1410" s="33"/>
      <c r="T1410" s="33"/>
      <c r="U1410" s="33"/>
      <c r="V1410" s="33"/>
      <c r="W1410" s="33"/>
      <c r="X1410" s="33"/>
      <c r="Y1410" s="33"/>
      <c r="Z1410" s="33"/>
      <c r="AA1410" s="33"/>
      <c r="AB1410" s="33"/>
      <c r="AC1410" s="33"/>
      <c r="AD1410" s="593"/>
    </row>
    <row r="1411" spans="18:30" x14ac:dyDescent="0.25">
      <c r="R1411" s="33"/>
      <c r="S1411" s="33"/>
      <c r="T1411" s="33"/>
      <c r="U1411" s="33"/>
      <c r="V1411" s="33"/>
      <c r="W1411" s="33"/>
      <c r="X1411" s="33"/>
      <c r="Y1411" s="33"/>
      <c r="Z1411" s="33"/>
      <c r="AA1411" s="33"/>
      <c r="AB1411" s="33"/>
      <c r="AC1411" s="33"/>
      <c r="AD1411" s="593"/>
    </row>
    <row r="1412" spans="18:30" x14ac:dyDescent="0.25">
      <c r="R1412" s="33"/>
      <c r="S1412" s="33"/>
      <c r="T1412" s="33"/>
      <c r="U1412" s="33"/>
      <c r="V1412" s="33"/>
      <c r="W1412" s="33"/>
      <c r="X1412" s="33"/>
      <c r="Y1412" s="33"/>
      <c r="Z1412" s="33"/>
      <c r="AA1412" s="33"/>
      <c r="AB1412" s="33"/>
      <c r="AC1412" s="33"/>
      <c r="AD1412" s="593"/>
    </row>
    <row r="1413" spans="18:30" x14ac:dyDescent="0.25">
      <c r="R1413" s="33"/>
      <c r="S1413" s="33"/>
      <c r="T1413" s="33"/>
      <c r="U1413" s="33"/>
      <c r="V1413" s="33"/>
      <c r="W1413" s="33"/>
      <c r="X1413" s="33"/>
      <c r="Y1413" s="33"/>
      <c r="Z1413" s="33"/>
      <c r="AA1413" s="33"/>
      <c r="AB1413" s="33"/>
      <c r="AC1413" s="33"/>
      <c r="AD1413" s="593"/>
    </row>
    <row r="1414" spans="18:30" x14ac:dyDescent="0.25">
      <c r="R1414" s="33"/>
      <c r="S1414" s="33"/>
      <c r="T1414" s="33"/>
      <c r="U1414" s="33"/>
      <c r="V1414" s="33"/>
      <c r="W1414" s="33"/>
      <c r="X1414" s="33"/>
      <c r="Y1414" s="33"/>
      <c r="Z1414" s="33"/>
      <c r="AA1414" s="33"/>
      <c r="AB1414" s="33"/>
      <c r="AC1414" s="33"/>
      <c r="AD1414" s="593"/>
    </row>
    <row r="1415" spans="18:30" x14ac:dyDescent="0.25">
      <c r="R1415" s="33"/>
      <c r="S1415" s="33"/>
      <c r="T1415" s="33"/>
      <c r="U1415" s="33"/>
      <c r="V1415" s="33"/>
      <c r="W1415" s="33"/>
      <c r="X1415" s="33"/>
      <c r="Y1415" s="33"/>
      <c r="Z1415" s="33"/>
      <c r="AA1415" s="33"/>
      <c r="AB1415" s="33"/>
      <c r="AC1415" s="33"/>
      <c r="AD1415" s="593"/>
    </row>
    <row r="1416" spans="18:30" x14ac:dyDescent="0.25">
      <c r="R1416" s="33"/>
      <c r="S1416" s="33"/>
      <c r="T1416" s="33"/>
      <c r="U1416" s="33"/>
      <c r="V1416" s="33"/>
      <c r="W1416" s="33"/>
      <c r="X1416" s="33"/>
      <c r="Y1416" s="33"/>
      <c r="Z1416" s="33"/>
      <c r="AA1416" s="33"/>
      <c r="AB1416" s="33"/>
      <c r="AC1416" s="33"/>
      <c r="AD1416" s="593"/>
    </row>
    <row r="1417" spans="18:30" x14ac:dyDescent="0.25">
      <c r="R1417" s="33"/>
      <c r="S1417" s="33"/>
      <c r="T1417" s="33"/>
      <c r="U1417" s="33"/>
      <c r="V1417" s="33"/>
      <c r="W1417" s="33"/>
      <c r="X1417" s="33"/>
      <c r="Y1417" s="33"/>
      <c r="Z1417" s="33"/>
      <c r="AA1417" s="33"/>
      <c r="AB1417" s="33"/>
      <c r="AC1417" s="33"/>
      <c r="AD1417" s="593"/>
    </row>
    <row r="1418" spans="18:30" x14ac:dyDescent="0.25">
      <c r="R1418" s="33"/>
      <c r="S1418" s="33"/>
      <c r="T1418" s="33"/>
      <c r="U1418" s="33"/>
      <c r="V1418" s="33"/>
      <c r="W1418" s="33"/>
      <c r="X1418" s="33"/>
      <c r="Y1418" s="33"/>
      <c r="Z1418" s="33"/>
      <c r="AA1418" s="33"/>
      <c r="AB1418" s="33"/>
      <c r="AC1418" s="33"/>
      <c r="AD1418" s="593"/>
    </row>
    <row r="1419" spans="18:30" x14ac:dyDescent="0.25">
      <c r="R1419" s="33"/>
      <c r="S1419" s="33"/>
      <c r="T1419" s="33"/>
      <c r="U1419" s="33"/>
      <c r="V1419" s="33"/>
      <c r="W1419" s="33"/>
      <c r="X1419" s="33"/>
      <c r="Y1419" s="33"/>
      <c r="Z1419" s="33"/>
      <c r="AA1419" s="33"/>
      <c r="AB1419" s="33"/>
      <c r="AC1419" s="33"/>
      <c r="AD1419" s="593"/>
    </row>
    <row r="1420" spans="18:30" x14ac:dyDescent="0.25">
      <c r="R1420" s="33"/>
      <c r="S1420" s="33"/>
      <c r="T1420" s="33"/>
      <c r="U1420" s="33"/>
      <c r="V1420" s="33"/>
      <c r="W1420" s="33"/>
      <c r="X1420" s="33"/>
      <c r="Y1420" s="33"/>
      <c r="Z1420" s="33"/>
      <c r="AA1420" s="33"/>
      <c r="AB1420" s="33"/>
      <c r="AC1420" s="33"/>
      <c r="AD1420" s="593"/>
    </row>
    <row r="1421" spans="18:30" x14ac:dyDescent="0.25">
      <c r="R1421" s="33"/>
      <c r="S1421" s="33"/>
      <c r="T1421" s="33"/>
      <c r="U1421" s="33"/>
      <c r="V1421" s="33"/>
      <c r="W1421" s="33"/>
      <c r="X1421" s="33"/>
      <c r="Y1421" s="33"/>
      <c r="Z1421" s="33"/>
      <c r="AA1421" s="33"/>
      <c r="AB1421" s="33"/>
      <c r="AC1421" s="33"/>
      <c r="AD1421" s="593"/>
    </row>
    <row r="1422" spans="18:30" x14ac:dyDescent="0.25">
      <c r="R1422" s="33"/>
      <c r="S1422" s="33"/>
      <c r="T1422" s="33"/>
      <c r="U1422" s="33"/>
      <c r="V1422" s="33"/>
      <c r="W1422" s="33"/>
      <c r="X1422" s="33"/>
      <c r="Y1422" s="33"/>
      <c r="Z1422" s="33"/>
      <c r="AA1422" s="33"/>
      <c r="AB1422" s="33"/>
      <c r="AC1422" s="33"/>
      <c r="AD1422" s="593"/>
    </row>
    <row r="1423" spans="18:30" x14ac:dyDescent="0.25">
      <c r="R1423" s="33"/>
      <c r="S1423" s="33"/>
      <c r="T1423" s="33"/>
      <c r="U1423" s="33"/>
      <c r="V1423" s="33"/>
      <c r="W1423" s="33"/>
      <c r="X1423" s="33"/>
      <c r="Y1423" s="33"/>
      <c r="Z1423" s="33"/>
      <c r="AA1423" s="33"/>
      <c r="AB1423" s="33"/>
      <c r="AC1423" s="33"/>
      <c r="AD1423" s="593"/>
    </row>
    <row r="1424" spans="18:30" x14ac:dyDescent="0.25">
      <c r="R1424" s="33"/>
      <c r="S1424" s="33"/>
      <c r="T1424" s="33"/>
      <c r="U1424" s="33"/>
      <c r="V1424" s="33"/>
      <c r="W1424" s="33"/>
      <c r="X1424" s="33"/>
      <c r="Y1424" s="33"/>
      <c r="Z1424" s="33"/>
      <c r="AA1424" s="33"/>
      <c r="AB1424" s="33"/>
      <c r="AC1424" s="33"/>
      <c r="AD1424" s="593"/>
    </row>
    <row r="1425" spans="18:30" x14ac:dyDescent="0.25">
      <c r="R1425" s="33"/>
      <c r="S1425" s="33"/>
      <c r="T1425" s="33"/>
      <c r="U1425" s="33"/>
      <c r="V1425" s="33"/>
      <c r="W1425" s="33"/>
      <c r="X1425" s="33"/>
      <c r="Y1425" s="33"/>
      <c r="Z1425" s="33"/>
      <c r="AA1425" s="33"/>
      <c r="AB1425" s="33"/>
      <c r="AC1425" s="33"/>
      <c r="AD1425" s="593"/>
    </row>
    <row r="1426" spans="18:30" x14ac:dyDescent="0.25">
      <c r="R1426" s="33"/>
      <c r="S1426" s="33"/>
      <c r="T1426" s="33"/>
      <c r="U1426" s="33"/>
      <c r="V1426" s="33"/>
      <c r="W1426" s="33"/>
      <c r="X1426" s="33"/>
      <c r="Y1426" s="33"/>
      <c r="Z1426" s="33"/>
      <c r="AA1426" s="33"/>
      <c r="AB1426" s="33"/>
      <c r="AC1426" s="33"/>
      <c r="AD1426" s="593"/>
    </row>
    <row r="1427" spans="18:30" x14ac:dyDescent="0.25">
      <c r="R1427" s="33"/>
      <c r="S1427" s="33"/>
      <c r="T1427" s="33"/>
      <c r="U1427" s="33"/>
      <c r="V1427" s="33"/>
      <c r="W1427" s="33"/>
      <c r="X1427" s="33"/>
      <c r="Y1427" s="33"/>
      <c r="Z1427" s="33"/>
      <c r="AA1427" s="33"/>
      <c r="AB1427" s="33"/>
      <c r="AC1427" s="33"/>
      <c r="AD1427" s="593"/>
    </row>
    <row r="1428" spans="18:30" x14ac:dyDescent="0.25">
      <c r="R1428" s="33"/>
      <c r="S1428" s="33"/>
      <c r="T1428" s="33"/>
      <c r="U1428" s="33"/>
      <c r="V1428" s="33"/>
      <c r="W1428" s="33"/>
      <c r="X1428" s="33"/>
      <c r="Y1428" s="33"/>
      <c r="Z1428" s="33"/>
      <c r="AA1428" s="33"/>
      <c r="AB1428" s="33"/>
      <c r="AC1428" s="33"/>
      <c r="AD1428" s="593"/>
    </row>
    <row r="1429" spans="18:30" x14ac:dyDescent="0.25">
      <c r="R1429" s="33"/>
      <c r="S1429" s="33"/>
      <c r="T1429" s="33"/>
      <c r="U1429" s="33"/>
      <c r="V1429" s="33"/>
      <c r="W1429" s="33"/>
      <c r="X1429" s="33"/>
      <c r="Y1429" s="33"/>
      <c r="Z1429" s="33"/>
      <c r="AA1429" s="33"/>
      <c r="AB1429" s="33"/>
      <c r="AC1429" s="33"/>
      <c r="AD1429" s="593"/>
    </row>
    <row r="1430" spans="18:30" x14ac:dyDescent="0.25">
      <c r="R1430" s="33"/>
      <c r="S1430" s="33"/>
      <c r="T1430" s="33"/>
      <c r="U1430" s="33"/>
      <c r="V1430" s="33"/>
      <c r="W1430" s="33"/>
      <c r="X1430" s="33"/>
      <c r="Y1430" s="33"/>
      <c r="Z1430" s="33"/>
      <c r="AA1430" s="33"/>
      <c r="AB1430" s="33"/>
      <c r="AC1430" s="33"/>
      <c r="AD1430" s="593"/>
    </row>
    <row r="1431" spans="18:30" x14ac:dyDescent="0.25">
      <c r="R1431" s="33"/>
      <c r="S1431" s="33"/>
      <c r="T1431" s="33"/>
      <c r="U1431" s="33"/>
      <c r="V1431" s="33"/>
      <c r="W1431" s="33"/>
      <c r="X1431" s="33"/>
      <c r="Y1431" s="33"/>
      <c r="Z1431" s="33"/>
      <c r="AA1431" s="33"/>
      <c r="AB1431" s="33"/>
      <c r="AC1431" s="33"/>
      <c r="AD1431" s="593"/>
    </row>
    <row r="1432" spans="18:30" x14ac:dyDescent="0.25">
      <c r="R1432" s="33"/>
      <c r="S1432" s="33"/>
      <c r="T1432" s="33"/>
      <c r="U1432" s="33"/>
      <c r="V1432" s="33"/>
      <c r="W1432" s="33"/>
      <c r="X1432" s="33"/>
      <c r="Y1432" s="33"/>
      <c r="Z1432" s="33"/>
      <c r="AA1432" s="33"/>
      <c r="AB1432" s="33"/>
      <c r="AC1432" s="33"/>
      <c r="AD1432" s="593"/>
    </row>
    <row r="1433" spans="18:30" x14ac:dyDescent="0.25">
      <c r="R1433" s="33"/>
      <c r="S1433" s="33"/>
      <c r="T1433" s="33"/>
      <c r="U1433" s="33"/>
      <c r="V1433" s="33"/>
      <c r="W1433" s="33"/>
      <c r="X1433" s="33"/>
      <c r="Y1433" s="33"/>
      <c r="Z1433" s="33"/>
      <c r="AA1433" s="33"/>
      <c r="AB1433" s="33"/>
      <c r="AC1433" s="33"/>
      <c r="AD1433" s="593"/>
    </row>
    <row r="1434" spans="18:30" x14ac:dyDescent="0.25">
      <c r="R1434" s="33"/>
      <c r="S1434" s="33"/>
      <c r="T1434" s="33"/>
      <c r="U1434" s="33"/>
      <c r="V1434" s="33"/>
      <c r="W1434" s="33"/>
      <c r="X1434" s="33"/>
      <c r="Y1434" s="33"/>
      <c r="Z1434" s="33"/>
      <c r="AA1434" s="33"/>
      <c r="AB1434" s="33"/>
      <c r="AC1434" s="33"/>
      <c r="AD1434" s="593"/>
    </row>
    <row r="1435" spans="18:30" x14ac:dyDescent="0.25">
      <c r="R1435" s="33"/>
      <c r="S1435" s="33"/>
      <c r="T1435" s="33"/>
      <c r="U1435" s="33"/>
      <c r="V1435" s="33"/>
      <c r="W1435" s="33"/>
      <c r="X1435" s="33"/>
      <c r="Y1435" s="33"/>
      <c r="Z1435" s="33"/>
      <c r="AA1435" s="33"/>
      <c r="AB1435" s="33"/>
      <c r="AC1435" s="33"/>
      <c r="AD1435" s="593"/>
    </row>
    <row r="1436" spans="18:30" x14ac:dyDescent="0.25">
      <c r="R1436" s="33"/>
      <c r="S1436" s="33"/>
      <c r="T1436" s="33"/>
      <c r="U1436" s="33"/>
      <c r="V1436" s="33"/>
      <c r="W1436" s="33"/>
      <c r="X1436" s="33"/>
      <c r="Y1436" s="33"/>
      <c r="Z1436" s="33"/>
      <c r="AA1436" s="33"/>
      <c r="AB1436" s="33"/>
      <c r="AC1436" s="33"/>
      <c r="AD1436" s="593"/>
    </row>
    <row r="1437" spans="18:30" x14ac:dyDescent="0.25">
      <c r="R1437" s="33"/>
      <c r="S1437" s="33"/>
      <c r="T1437" s="33"/>
      <c r="U1437" s="33"/>
      <c r="V1437" s="33"/>
      <c r="W1437" s="33"/>
      <c r="X1437" s="33"/>
      <c r="Y1437" s="33"/>
      <c r="Z1437" s="33"/>
      <c r="AA1437" s="33"/>
      <c r="AB1437" s="33"/>
      <c r="AC1437" s="33"/>
      <c r="AD1437" s="593"/>
    </row>
    <row r="1438" spans="18:30" x14ac:dyDescent="0.25">
      <c r="R1438" s="33"/>
      <c r="S1438" s="33"/>
      <c r="T1438" s="33"/>
      <c r="U1438" s="33"/>
      <c r="V1438" s="33"/>
      <c r="W1438" s="33"/>
      <c r="X1438" s="33"/>
      <c r="Y1438" s="33"/>
      <c r="Z1438" s="33"/>
      <c r="AA1438" s="33"/>
      <c r="AB1438" s="33"/>
      <c r="AC1438" s="33"/>
      <c r="AD1438" s="593"/>
    </row>
    <row r="1439" spans="18:30" x14ac:dyDescent="0.25">
      <c r="R1439" s="33"/>
      <c r="S1439" s="33"/>
      <c r="T1439" s="33"/>
      <c r="U1439" s="33"/>
      <c r="V1439" s="33"/>
      <c r="W1439" s="33"/>
      <c r="X1439" s="33"/>
      <c r="Y1439" s="33"/>
      <c r="Z1439" s="33"/>
      <c r="AA1439" s="33"/>
      <c r="AB1439" s="33"/>
      <c r="AC1439" s="33"/>
      <c r="AD1439" s="593"/>
    </row>
    <row r="1440" spans="18:30" x14ac:dyDescent="0.25">
      <c r="R1440" s="33"/>
      <c r="S1440" s="33"/>
      <c r="T1440" s="33"/>
      <c r="U1440" s="33"/>
      <c r="V1440" s="33"/>
      <c r="W1440" s="33"/>
      <c r="X1440" s="33"/>
      <c r="Y1440" s="33"/>
      <c r="Z1440" s="33"/>
      <c r="AA1440" s="33"/>
      <c r="AB1440" s="33"/>
      <c r="AC1440" s="33"/>
      <c r="AD1440" s="593"/>
    </row>
    <row r="1441" spans="18:30" x14ac:dyDescent="0.25">
      <c r="R1441" s="33"/>
      <c r="S1441" s="33"/>
      <c r="T1441" s="33"/>
      <c r="U1441" s="33"/>
      <c r="V1441" s="33"/>
      <c r="W1441" s="33"/>
      <c r="X1441" s="33"/>
      <c r="Y1441" s="33"/>
      <c r="Z1441" s="33"/>
      <c r="AA1441" s="33"/>
      <c r="AB1441" s="33"/>
      <c r="AC1441" s="33"/>
      <c r="AD1441" s="593"/>
    </row>
    <row r="1442" spans="18:30" x14ac:dyDescent="0.25">
      <c r="R1442" s="33"/>
      <c r="S1442" s="33"/>
      <c r="T1442" s="33"/>
      <c r="U1442" s="33"/>
      <c r="V1442" s="33"/>
      <c r="W1442" s="33"/>
      <c r="X1442" s="33"/>
      <c r="Y1442" s="33"/>
      <c r="Z1442" s="33"/>
      <c r="AA1442" s="33"/>
      <c r="AB1442" s="33"/>
      <c r="AC1442" s="33"/>
      <c r="AD1442" s="593"/>
    </row>
    <row r="1443" spans="18:30" x14ac:dyDescent="0.25">
      <c r="R1443" s="33"/>
      <c r="S1443" s="33"/>
      <c r="T1443" s="33"/>
      <c r="U1443" s="33"/>
      <c r="V1443" s="33"/>
      <c r="W1443" s="33"/>
      <c r="X1443" s="33"/>
      <c r="Y1443" s="33"/>
      <c r="Z1443" s="33"/>
      <c r="AA1443" s="33"/>
      <c r="AB1443" s="33"/>
      <c r="AC1443" s="33"/>
      <c r="AD1443" s="593"/>
    </row>
    <row r="1444" spans="18:30" x14ac:dyDescent="0.25">
      <c r="R1444" s="33"/>
      <c r="S1444" s="33"/>
      <c r="T1444" s="33"/>
      <c r="U1444" s="33"/>
      <c r="V1444" s="33"/>
      <c r="W1444" s="33"/>
      <c r="X1444" s="33"/>
      <c r="Y1444" s="33"/>
      <c r="Z1444" s="33"/>
      <c r="AA1444" s="33"/>
      <c r="AB1444" s="33"/>
      <c r="AC1444" s="33"/>
      <c r="AD1444" s="593"/>
    </row>
    <row r="1445" spans="18:30" x14ac:dyDescent="0.25">
      <c r="R1445" s="33"/>
      <c r="S1445" s="33"/>
      <c r="T1445" s="33"/>
      <c r="U1445" s="33"/>
      <c r="V1445" s="33"/>
      <c r="W1445" s="33"/>
      <c r="X1445" s="33"/>
      <c r="Y1445" s="33"/>
      <c r="Z1445" s="33"/>
      <c r="AA1445" s="33"/>
      <c r="AB1445" s="33"/>
      <c r="AC1445" s="33"/>
      <c r="AD1445" s="593"/>
    </row>
    <row r="1446" spans="18:30" x14ac:dyDescent="0.25">
      <c r="R1446" s="33"/>
      <c r="S1446" s="33"/>
      <c r="T1446" s="33"/>
      <c r="U1446" s="33"/>
      <c r="V1446" s="33"/>
      <c r="W1446" s="33"/>
      <c r="X1446" s="33"/>
      <c r="Y1446" s="33"/>
      <c r="Z1446" s="33"/>
      <c r="AA1446" s="33"/>
      <c r="AB1446" s="33"/>
      <c r="AC1446" s="33"/>
      <c r="AD1446" s="593"/>
    </row>
    <row r="1447" spans="18:30" x14ac:dyDescent="0.25">
      <c r="R1447" s="33"/>
      <c r="S1447" s="33"/>
      <c r="T1447" s="33"/>
      <c r="U1447" s="33"/>
      <c r="V1447" s="33"/>
      <c r="W1447" s="33"/>
      <c r="X1447" s="33"/>
      <c r="Y1447" s="33"/>
      <c r="Z1447" s="33"/>
      <c r="AA1447" s="33"/>
      <c r="AB1447" s="33"/>
      <c r="AC1447" s="33"/>
      <c r="AD1447" s="593"/>
    </row>
    <row r="1448" spans="18:30" x14ac:dyDescent="0.25">
      <c r="R1448" s="33"/>
      <c r="S1448" s="33"/>
      <c r="T1448" s="33"/>
      <c r="U1448" s="33"/>
      <c r="V1448" s="33"/>
      <c r="W1448" s="33"/>
      <c r="X1448" s="33"/>
      <c r="Y1448" s="33"/>
      <c r="Z1448" s="33"/>
      <c r="AA1448" s="33"/>
      <c r="AB1448" s="33"/>
      <c r="AC1448" s="33"/>
      <c r="AD1448" s="593"/>
    </row>
    <row r="1449" spans="18:30" x14ac:dyDescent="0.25">
      <c r="R1449" s="33"/>
      <c r="S1449" s="33"/>
      <c r="T1449" s="33"/>
      <c r="U1449" s="33"/>
      <c r="V1449" s="33"/>
      <c r="W1449" s="33"/>
      <c r="X1449" s="33"/>
      <c r="Y1449" s="33"/>
      <c r="Z1449" s="33"/>
      <c r="AA1449" s="33"/>
      <c r="AB1449" s="33"/>
      <c r="AC1449" s="33"/>
      <c r="AD1449" s="593"/>
    </row>
    <row r="1450" spans="18:30" x14ac:dyDescent="0.25">
      <c r="R1450" s="33"/>
      <c r="S1450" s="33"/>
      <c r="T1450" s="33"/>
      <c r="U1450" s="33"/>
      <c r="V1450" s="33"/>
      <c r="W1450" s="33"/>
      <c r="X1450" s="33"/>
      <c r="Y1450" s="33"/>
      <c r="Z1450" s="33"/>
      <c r="AA1450" s="33"/>
      <c r="AB1450" s="33"/>
      <c r="AC1450" s="33"/>
      <c r="AD1450" s="593"/>
    </row>
    <row r="1451" spans="18:30" x14ac:dyDescent="0.25">
      <c r="R1451" s="33"/>
      <c r="S1451" s="33"/>
      <c r="T1451" s="33"/>
      <c r="U1451" s="33"/>
      <c r="V1451" s="33"/>
      <c r="W1451" s="33"/>
      <c r="X1451" s="33"/>
      <c r="Y1451" s="33"/>
      <c r="Z1451" s="33"/>
      <c r="AA1451" s="33"/>
      <c r="AB1451" s="33"/>
      <c r="AC1451" s="33"/>
      <c r="AD1451" s="593"/>
    </row>
    <row r="1452" spans="18:30" x14ac:dyDescent="0.25">
      <c r="R1452" s="33"/>
      <c r="S1452" s="33"/>
      <c r="T1452" s="33"/>
      <c r="U1452" s="33"/>
      <c r="V1452" s="33"/>
      <c r="W1452" s="33"/>
      <c r="X1452" s="33"/>
      <c r="Y1452" s="33"/>
      <c r="Z1452" s="33"/>
      <c r="AA1452" s="33"/>
      <c r="AB1452" s="33"/>
      <c r="AC1452" s="33"/>
      <c r="AD1452" s="593"/>
    </row>
    <row r="1453" spans="18:30" x14ac:dyDescent="0.25">
      <c r="R1453" s="33"/>
      <c r="S1453" s="33"/>
      <c r="T1453" s="33"/>
      <c r="U1453" s="33"/>
      <c r="V1453" s="33"/>
      <c r="W1453" s="33"/>
      <c r="X1453" s="33"/>
      <c r="Y1453" s="33"/>
      <c r="Z1453" s="33"/>
      <c r="AA1453" s="33"/>
      <c r="AB1453" s="33"/>
      <c r="AC1453" s="33"/>
      <c r="AD1453" s="593"/>
    </row>
    <row r="1454" spans="18:30" x14ac:dyDescent="0.25">
      <c r="R1454" s="33"/>
      <c r="S1454" s="33"/>
      <c r="T1454" s="33"/>
      <c r="U1454" s="33"/>
      <c r="V1454" s="33"/>
      <c r="W1454" s="33"/>
      <c r="X1454" s="33"/>
      <c r="Y1454" s="33"/>
      <c r="Z1454" s="33"/>
      <c r="AA1454" s="33"/>
      <c r="AB1454" s="33"/>
      <c r="AC1454" s="33"/>
      <c r="AD1454" s="593"/>
    </row>
    <row r="1455" spans="18:30" x14ac:dyDescent="0.25">
      <c r="R1455" s="33"/>
      <c r="S1455" s="33"/>
      <c r="T1455" s="33"/>
      <c r="U1455" s="33"/>
      <c r="V1455" s="33"/>
      <c r="W1455" s="33"/>
      <c r="X1455" s="33"/>
      <c r="Y1455" s="33"/>
      <c r="Z1455" s="33"/>
      <c r="AA1455" s="33"/>
      <c r="AB1455" s="33"/>
      <c r="AC1455" s="33"/>
      <c r="AD1455" s="593"/>
    </row>
    <row r="1456" spans="18:30" x14ac:dyDescent="0.25">
      <c r="R1456" s="33"/>
      <c r="S1456" s="33"/>
      <c r="T1456" s="33"/>
      <c r="U1456" s="33"/>
      <c r="V1456" s="33"/>
      <c r="W1456" s="33"/>
      <c r="X1456" s="33"/>
      <c r="Y1456" s="33"/>
      <c r="Z1456" s="33"/>
      <c r="AA1456" s="33"/>
      <c r="AB1456" s="33"/>
      <c r="AC1456" s="33"/>
      <c r="AD1456" s="593"/>
    </row>
    <row r="1457" spans="18:30" x14ac:dyDescent="0.25">
      <c r="R1457" s="33"/>
      <c r="S1457" s="33"/>
      <c r="T1457" s="33"/>
      <c r="U1457" s="33"/>
      <c r="V1457" s="33"/>
      <c r="W1457" s="33"/>
      <c r="X1457" s="33"/>
      <c r="Y1457" s="33"/>
      <c r="Z1457" s="33"/>
      <c r="AA1457" s="33"/>
      <c r="AB1457" s="33"/>
      <c r="AC1457" s="33"/>
      <c r="AD1457" s="593"/>
    </row>
    <row r="1458" spans="18:30" x14ac:dyDescent="0.25">
      <c r="R1458" s="33"/>
      <c r="S1458" s="33"/>
      <c r="T1458" s="33"/>
      <c r="U1458" s="33"/>
      <c r="V1458" s="33"/>
      <c r="W1458" s="33"/>
      <c r="X1458" s="33"/>
      <c r="Y1458" s="33"/>
      <c r="Z1458" s="33"/>
      <c r="AA1458" s="33"/>
      <c r="AB1458" s="33"/>
      <c r="AC1458" s="33"/>
      <c r="AD1458" s="593"/>
    </row>
    <row r="1459" spans="18:30" x14ac:dyDescent="0.25">
      <c r="R1459" s="33"/>
      <c r="S1459" s="33"/>
      <c r="T1459" s="33"/>
      <c r="U1459" s="33"/>
      <c r="V1459" s="33"/>
      <c r="W1459" s="33"/>
      <c r="X1459" s="33"/>
      <c r="Y1459" s="33"/>
      <c r="Z1459" s="33"/>
      <c r="AA1459" s="33"/>
      <c r="AB1459" s="33"/>
      <c r="AC1459" s="33"/>
      <c r="AD1459" s="593"/>
    </row>
    <row r="1460" spans="18:30" x14ac:dyDescent="0.25">
      <c r="R1460" s="33"/>
      <c r="S1460" s="33"/>
      <c r="T1460" s="33"/>
      <c r="U1460" s="33"/>
      <c r="V1460" s="33"/>
      <c r="W1460" s="33"/>
      <c r="X1460" s="33"/>
      <c r="Y1460" s="33"/>
      <c r="Z1460" s="33"/>
      <c r="AA1460" s="33"/>
      <c r="AB1460" s="33"/>
      <c r="AC1460" s="33"/>
      <c r="AD1460" s="593"/>
    </row>
    <row r="1461" spans="18:30" x14ac:dyDescent="0.25">
      <c r="R1461" s="33"/>
      <c r="S1461" s="33"/>
      <c r="T1461" s="33"/>
      <c r="U1461" s="33"/>
      <c r="V1461" s="33"/>
      <c r="W1461" s="33"/>
      <c r="X1461" s="33"/>
      <c r="Y1461" s="33"/>
      <c r="Z1461" s="33"/>
      <c r="AA1461" s="33"/>
      <c r="AB1461" s="33"/>
      <c r="AC1461" s="33"/>
      <c r="AD1461" s="593"/>
    </row>
    <row r="1462" spans="18:30" x14ac:dyDescent="0.25">
      <c r="R1462" s="33"/>
      <c r="S1462" s="33"/>
      <c r="T1462" s="33"/>
      <c r="U1462" s="33"/>
      <c r="V1462" s="33"/>
      <c r="W1462" s="33"/>
      <c r="X1462" s="33"/>
      <c r="Y1462" s="33"/>
      <c r="Z1462" s="33"/>
      <c r="AA1462" s="33"/>
      <c r="AB1462" s="33"/>
      <c r="AC1462" s="33"/>
      <c r="AD1462" s="593"/>
    </row>
    <row r="1463" spans="18:30" x14ac:dyDescent="0.25">
      <c r="R1463" s="33"/>
      <c r="S1463" s="33"/>
      <c r="T1463" s="33"/>
      <c r="U1463" s="33"/>
      <c r="V1463" s="33"/>
      <c r="W1463" s="33"/>
      <c r="X1463" s="33"/>
      <c r="Y1463" s="33"/>
      <c r="Z1463" s="33"/>
      <c r="AA1463" s="33"/>
      <c r="AB1463" s="33"/>
      <c r="AC1463" s="33"/>
      <c r="AD1463" s="593"/>
    </row>
    <row r="1464" spans="18:30" x14ac:dyDescent="0.25">
      <c r="R1464" s="33"/>
      <c r="S1464" s="33"/>
      <c r="T1464" s="33"/>
      <c r="U1464" s="33"/>
      <c r="V1464" s="33"/>
      <c r="W1464" s="33"/>
      <c r="X1464" s="33"/>
      <c r="Y1464" s="33"/>
      <c r="Z1464" s="33"/>
      <c r="AA1464" s="33"/>
      <c r="AB1464" s="33"/>
      <c r="AC1464" s="33"/>
      <c r="AD1464" s="593"/>
    </row>
    <row r="1465" spans="18:30" x14ac:dyDescent="0.25">
      <c r="R1465" s="33"/>
      <c r="S1465" s="33"/>
      <c r="T1465" s="33"/>
      <c r="U1465" s="33"/>
      <c r="V1465" s="33"/>
      <c r="W1465" s="33"/>
      <c r="X1465" s="33"/>
      <c r="Y1465" s="33"/>
      <c r="Z1465" s="33"/>
      <c r="AA1465" s="33"/>
      <c r="AB1465" s="33"/>
      <c r="AC1465" s="33"/>
      <c r="AD1465" s="593"/>
    </row>
    <row r="1466" spans="18:30" x14ac:dyDescent="0.25">
      <c r="R1466" s="33"/>
      <c r="S1466" s="33"/>
      <c r="T1466" s="33"/>
      <c r="U1466" s="33"/>
      <c r="V1466" s="33"/>
      <c r="W1466" s="33"/>
      <c r="X1466" s="33"/>
      <c r="Y1466" s="33"/>
      <c r="Z1466" s="33"/>
      <c r="AA1466" s="33"/>
      <c r="AB1466" s="33"/>
      <c r="AC1466" s="33"/>
      <c r="AD1466" s="593"/>
    </row>
    <row r="1467" spans="18:30" x14ac:dyDescent="0.25">
      <c r="R1467" s="33"/>
      <c r="S1467" s="33"/>
      <c r="T1467" s="33"/>
      <c r="U1467" s="33"/>
      <c r="V1467" s="33"/>
      <c r="W1467" s="33"/>
      <c r="X1467" s="33"/>
      <c r="Y1467" s="33"/>
      <c r="Z1467" s="33"/>
      <c r="AA1467" s="33"/>
      <c r="AB1467" s="33"/>
      <c r="AC1467" s="33"/>
      <c r="AD1467" s="593"/>
    </row>
    <row r="1468" spans="18:30" x14ac:dyDescent="0.25">
      <c r="R1468" s="33"/>
      <c r="S1468" s="33"/>
      <c r="T1468" s="33"/>
      <c r="U1468" s="33"/>
      <c r="V1468" s="33"/>
      <c r="W1468" s="33"/>
      <c r="X1468" s="33"/>
      <c r="Y1468" s="33"/>
      <c r="Z1468" s="33"/>
      <c r="AA1468" s="33"/>
      <c r="AB1468" s="33"/>
      <c r="AC1468" s="33"/>
      <c r="AD1468" s="593"/>
    </row>
    <row r="1469" spans="18:30" x14ac:dyDescent="0.25">
      <c r="R1469" s="33"/>
      <c r="S1469" s="33"/>
      <c r="T1469" s="33"/>
      <c r="U1469" s="33"/>
      <c r="V1469" s="33"/>
      <c r="W1469" s="33"/>
      <c r="X1469" s="33"/>
      <c r="Y1469" s="33"/>
      <c r="Z1469" s="33"/>
      <c r="AA1469" s="33"/>
      <c r="AB1469" s="33"/>
      <c r="AC1469" s="33"/>
      <c r="AD1469" s="593"/>
    </row>
    <row r="1470" spans="18:30" x14ac:dyDescent="0.25">
      <c r="R1470" s="33"/>
      <c r="S1470" s="33"/>
      <c r="T1470" s="33"/>
      <c r="U1470" s="33"/>
      <c r="V1470" s="33"/>
      <c r="W1470" s="33"/>
      <c r="X1470" s="33"/>
      <c r="Y1470" s="33"/>
      <c r="Z1470" s="33"/>
      <c r="AA1470" s="33"/>
      <c r="AB1470" s="33"/>
      <c r="AC1470" s="33"/>
      <c r="AD1470" s="593"/>
    </row>
    <row r="1471" spans="18:30" x14ac:dyDescent="0.25">
      <c r="R1471" s="33"/>
      <c r="S1471" s="33"/>
      <c r="T1471" s="33"/>
      <c r="U1471" s="33"/>
      <c r="V1471" s="33"/>
      <c r="W1471" s="33"/>
      <c r="X1471" s="33"/>
      <c r="Y1471" s="33"/>
      <c r="Z1471" s="33"/>
      <c r="AA1471" s="33"/>
      <c r="AB1471" s="33"/>
      <c r="AC1471" s="33"/>
      <c r="AD1471" s="593"/>
    </row>
    <row r="1472" spans="18:30" x14ac:dyDescent="0.25">
      <c r="R1472" s="33"/>
      <c r="S1472" s="33"/>
      <c r="T1472" s="33"/>
      <c r="U1472" s="33"/>
      <c r="V1472" s="33"/>
      <c r="W1472" s="33"/>
      <c r="X1472" s="33"/>
      <c r="Y1472" s="33"/>
      <c r="Z1472" s="33"/>
      <c r="AA1472" s="33"/>
      <c r="AB1472" s="33"/>
      <c r="AC1472" s="33"/>
      <c r="AD1472" s="593"/>
    </row>
    <row r="1473" spans="18:30" x14ac:dyDescent="0.25">
      <c r="R1473" s="33"/>
      <c r="S1473" s="33"/>
      <c r="T1473" s="33"/>
      <c r="U1473" s="33"/>
      <c r="V1473" s="33"/>
      <c r="W1473" s="33"/>
      <c r="X1473" s="33"/>
      <c r="Y1473" s="33"/>
      <c r="Z1473" s="33"/>
      <c r="AA1473" s="33"/>
      <c r="AB1473" s="33"/>
      <c r="AC1473" s="33"/>
      <c r="AD1473" s="593"/>
    </row>
    <row r="1474" spans="18:30" x14ac:dyDescent="0.25">
      <c r="R1474" s="33"/>
      <c r="S1474" s="33"/>
      <c r="T1474" s="33"/>
      <c r="U1474" s="33"/>
      <c r="V1474" s="33"/>
      <c r="W1474" s="33"/>
      <c r="X1474" s="33"/>
      <c r="Y1474" s="33"/>
      <c r="Z1474" s="33"/>
      <c r="AA1474" s="33"/>
      <c r="AB1474" s="33"/>
      <c r="AC1474" s="33"/>
      <c r="AD1474" s="593"/>
    </row>
    <row r="1475" spans="18:30" x14ac:dyDescent="0.25">
      <c r="R1475" s="33"/>
      <c r="S1475" s="33"/>
      <c r="T1475" s="33"/>
      <c r="U1475" s="33"/>
      <c r="V1475" s="33"/>
      <c r="W1475" s="33"/>
      <c r="X1475" s="33"/>
      <c r="Y1475" s="33"/>
      <c r="Z1475" s="33"/>
      <c r="AA1475" s="33"/>
      <c r="AB1475" s="33"/>
      <c r="AC1475" s="33"/>
      <c r="AD1475" s="593"/>
    </row>
    <row r="1476" spans="18:30" x14ac:dyDescent="0.25">
      <c r="R1476" s="33"/>
      <c r="S1476" s="33"/>
      <c r="T1476" s="33"/>
      <c r="U1476" s="33"/>
      <c r="V1476" s="33"/>
      <c r="W1476" s="33"/>
      <c r="X1476" s="33"/>
      <c r="Y1476" s="33"/>
      <c r="Z1476" s="33"/>
      <c r="AA1476" s="33"/>
      <c r="AB1476" s="33"/>
      <c r="AC1476" s="33"/>
      <c r="AD1476" s="593"/>
    </row>
    <row r="1477" spans="18:30" x14ac:dyDescent="0.25">
      <c r="R1477" s="33"/>
      <c r="S1477" s="33"/>
      <c r="T1477" s="33"/>
      <c r="U1477" s="33"/>
      <c r="V1477" s="33"/>
      <c r="W1477" s="33"/>
      <c r="X1477" s="33"/>
      <c r="Y1477" s="33"/>
      <c r="Z1477" s="33"/>
      <c r="AA1477" s="33"/>
      <c r="AB1477" s="33"/>
      <c r="AC1477" s="33"/>
      <c r="AD1477" s="593"/>
    </row>
    <row r="1478" spans="18:30" x14ac:dyDescent="0.25">
      <c r="R1478" s="33"/>
      <c r="S1478" s="33"/>
      <c r="T1478" s="33"/>
      <c r="U1478" s="33"/>
      <c r="V1478" s="33"/>
      <c r="W1478" s="33"/>
      <c r="X1478" s="33"/>
      <c r="Y1478" s="33"/>
      <c r="Z1478" s="33"/>
      <c r="AA1478" s="33"/>
      <c r="AB1478" s="33"/>
      <c r="AC1478" s="33"/>
      <c r="AD1478" s="593"/>
    </row>
    <row r="1479" spans="18:30" x14ac:dyDescent="0.25">
      <c r="R1479" s="33"/>
      <c r="S1479" s="33"/>
      <c r="T1479" s="33"/>
      <c r="U1479" s="33"/>
      <c r="V1479" s="33"/>
      <c r="W1479" s="33"/>
      <c r="X1479" s="33"/>
      <c r="Y1479" s="33"/>
      <c r="Z1479" s="33"/>
      <c r="AA1479" s="33"/>
      <c r="AB1479" s="33"/>
      <c r="AC1479" s="33"/>
      <c r="AD1479" s="593"/>
    </row>
    <row r="1480" spans="18:30" x14ac:dyDescent="0.25">
      <c r="R1480" s="33"/>
      <c r="S1480" s="33"/>
      <c r="T1480" s="33"/>
      <c r="U1480" s="33"/>
      <c r="V1480" s="33"/>
      <c r="W1480" s="33"/>
      <c r="X1480" s="33"/>
      <c r="Y1480" s="33"/>
      <c r="Z1480" s="33"/>
      <c r="AA1480" s="33"/>
      <c r="AB1480" s="33"/>
      <c r="AC1480" s="33"/>
      <c r="AD1480" s="593"/>
    </row>
    <row r="1481" spans="18:30" x14ac:dyDescent="0.25">
      <c r="R1481" s="33"/>
      <c r="S1481" s="33"/>
      <c r="T1481" s="33"/>
      <c r="U1481" s="33"/>
      <c r="V1481" s="33"/>
      <c r="W1481" s="33"/>
      <c r="X1481" s="33"/>
      <c r="Y1481" s="33"/>
      <c r="Z1481" s="33"/>
      <c r="AA1481" s="33"/>
      <c r="AB1481" s="33"/>
      <c r="AC1481" s="33"/>
      <c r="AD1481" s="593"/>
    </row>
    <row r="1482" spans="18:30" x14ac:dyDescent="0.25">
      <c r="R1482" s="33"/>
      <c r="S1482" s="33"/>
      <c r="T1482" s="33"/>
      <c r="U1482" s="33"/>
      <c r="V1482" s="33"/>
      <c r="W1482" s="33"/>
      <c r="X1482" s="33"/>
      <c r="Y1482" s="33"/>
      <c r="Z1482" s="33"/>
      <c r="AA1482" s="33"/>
      <c r="AB1482" s="33"/>
      <c r="AC1482" s="33"/>
      <c r="AD1482" s="593"/>
    </row>
    <row r="1483" spans="18:30" x14ac:dyDescent="0.25">
      <c r="R1483" s="33"/>
      <c r="S1483" s="33"/>
      <c r="T1483" s="33"/>
      <c r="U1483" s="33"/>
      <c r="V1483" s="33"/>
      <c r="W1483" s="33"/>
      <c r="X1483" s="33"/>
      <c r="Y1483" s="33"/>
      <c r="Z1483" s="33"/>
      <c r="AA1483" s="33"/>
      <c r="AB1483" s="33"/>
      <c r="AC1483" s="33"/>
      <c r="AD1483" s="593"/>
    </row>
    <row r="1484" spans="18:30" x14ac:dyDescent="0.25">
      <c r="R1484" s="33"/>
      <c r="S1484" s="33"/>
      <c r="T1484" s="33"/>
      <c r="U1484" s="33"/>
      <c r="V1484" s="33"/>
      <c r="W1484" s="33"/>
      <c r="X1484" s="33"/>
      <c r="Y1484" s="33"/>
      <c r="Z1484" s="33"/>
      <c r="AA1484" s="33"/>
      <c r="AB1484" s="33"/>
      <c r="AC1484" s="33"/>
      <c r="AD1484" s="593"/>
    </row>
    <row r="1485" spans="18:30" x14ac:dyDescent="0.25">
      <c r="R1485" s="33"/>
      <c r="S1485" s="33"/>
      <c r="T1485" s="33"/>
      <c r="U1485" s="33"/>
      <c r="V1485" s="33"/>
      <c r="W1485" s="33"/>
      <c r="X1485" s="33"/>
      <c r="Y1485" s="33"/>
      <c r="Z1485" s="33"/>
      <c r="AA1485" s="33"/>
      <c r="AB1485" s="33"/>
      <c r="AC1485" s="33"/>
      <c r="AD1485" s="593"/>
    </row>
    <row r="1486" spans="18:30" x14ac:dyDescent="0.25">
      <c r="R1486" s="33"/>
      <c r="S1486" s="33"/>
      <c r="T1486" s="33"/>
      <c r="U1486" s="33"/>
      <c r="V1486" s="33"/>
      <c r="W1486" s="33"/>
      <c r="X1486" s="33"/>
      <c r="Y1486" s="33"/>
      <c r="Z1486" s="33"/>
      <c r="AA1486" s="33"/>
      <c r="AB1486" s="33"/>
      <c r="AC1486" s="33"/>
      <c r="AD1486" s="593"/>
    </row>
    <row r="1487" spans="18:30" x14ac:dyDescent="0.25">
      <c r="R1487" s="33"/>
      <c r="S1487" s="33"/>
      <c r="T1487" s="33"/>
      <c r="U1487" s="33"/>
      <c r="V1487" s="33"/>
      <c r="W1487" s="33"/>
      <c r="X1487" s="33"/>
      <c r="Y1487" s="33"/>
      <c r="Z1487" s="33"/>
      <c r="AA1487" s="33"/>
      <c r="AB1487" s="33"/>
      <c r="AC1487" s="33"/>
      <c r="AD1487" s="593"/>
    </row>
    <row r="1488" spans="18:30" x14ac:dyDescent="0.25">
      <c r="R1488" s="33"/>
      <c r="S1488" s="33"/>
      <c r="T1488" s="33"/>
      <c r="U1488" s="33"/>
      <c r="V1488" s="33"/>
      <c r="W1488" s="33"/>
      <c r="X1488" s="33"/>
      <c r="Y1488" s="33"/>
      <c r="Z1488" s="33"/>
      <c r="AA1488" s="33"/>
      <c r="AB1488" s="33"/>
      <c r="AC1488" s="33"/>
      <c r="AD1488" s="593"/>
    </row>
    <row r="1489" spans="18:30" x14ac:dyDescent="0.25">
      <c r="R1489" s="33"/>
      <c r="S1489" s="33"/>
      <c r="T1489" s="33"/>
      <c r="U1489" s="33"/>
      <c r="V1489" s="33"/>
      <c r="W1489" s="33"/>
      <c r="X1489" s="33"/>
      <c r="Y1489" s="33"/>
      <c r="Z1489" s="33"/>
      <c r="AA1489" s="33"/>
      <c r="AB1489" s="33"/>
      <c r="AC1489" s="33"/>
      <c r="AD1489" s="593"/>
    </row>
    <row r="1490" spans="18:30" x14ac:dyDescent="0.25">
      <c r="R1490" s="33"/>
      <c r="S1490" s="33"/>
      <c r="T1490" s="33"/>
      <c r="U1490" s="33"/>
      <c r="V1490" s="33"/>
      <c r="W1490" s="33"/>
      <c r="X1490" s="33"/>
      <c r="Y1490" s="33"/>
      <c r="Z1490" s="33"/>
      <c r="AA1490" s="33"/>
      <c r="AB1490" s="33"/>
      <c r="AC1490" s="33"/>
      <c r="AD1490" s="593"/>
    </row>
    <row r="1491" spans="18:30" x14ac:dyDescent="0.25">
      <c r="R1491" s="33"/>
      <c r="S1491" s="33"/>
      <c r="T1491" s="33"/>
      <c r="U1491" s="33"/>
      <c r="V1491" s="33"/>
      <c r="W1491" s="33"/>
      <c r="X1491" s="33"/>
      <c r="Y1491" s="33"/>
      <c r="Z1491" s="33"/>
      <c r="AA1491" s="33"/>
      <c r="AB1491" s="33"/>
      <c r="AC1491" s="33"/>
      <c r="AD1491" s="593"/>
    </row>
    <row r="1492" spans="18:30" x14ac:dyDescent="0.25">
      <c r="R1492" s="33"/>
      <c r="S1492" s="33"/>
      <c r="T1492" s="33"/>
      <c r="U1492" s="33"/>
      <c r="V1492" s="33"/>
      <c r="W1492" s="33"/>
      <c r="X1492" s="33"/>
      <c r="Y1492" s="33"/>
      <c r="Z1492" s="33"/>
      <c r="AA1492" s="33"/>
      <c r="AB1492" s="33"/>
      <c r="AC1492" s="33"/>
      <c r="AD1492" s="593"/>
    </row>
    <row r="1493" spans="18:30" x14ac:dyDescent="0.25">
      <c r="R1493" s="33"/>
      <c r="S1493" s="33"/>
      <c r="T1493" s="33"/>
      <c r="U1493" s="33"/>
      <c r="V1493" s="33"/>
      <c r="W1493" s="33"/>
      <c r="X1493" s="33"/>
      <c r="Y1493" s="33"/>
      <c r="Z1493" s="33"/>
      <c r="AA1493" s="33"/>
      <c r="AB1493" s="33"/>
      <c r="AC1493" s="33"/>
      <c r="AD1493" s="593"/>
    </row>
    <row r="1494" spans="18:30" x14ac:dyDescent="0.25">
      <c r="R1494" s="33"/>
      <c r="S1494" s="33"/>
      <c r="T1494" s="33"/>
      <c r="U1494" s="33"/>
      <c r="V1494" s="33"/>
      <c r="W1494" s="33"/>
      <c r="X1494" s="33"/>
      <c r="Y1494" s="33"/>
      <c r="Z1494" s="33"/>
      <c r="AA1494" s="33"/>
      <c r="AB1494" s="33"/>
      <c r="AC1494" s="33"/>
      <c r="AD1494" s="593"/>
    </row>
    <row r="1495" spans="18:30" x14ac:dyDescent="0.25">
      <c r="R1495" s="33"/>
      <c r="S1495" s="33"/>
      <c r="T1495" s="33"/>
      <c r="U1495" s="33"/>
      <c r="V1495" s="33"/>
      <c r="W1495" s="33"/>
      <c r="X1495" s="33"/>
      <c r="Y1495" s="33"/>
      <c r="Z1495" s="33"/>
      <c r="AA1495" s="33"/>
      <c r="AB1495" s="33"/>
      <c r="AC1495" s="33"/>
      <c r="AD1495" s="593"/>
    </row>
    <row r="1496" spans="18:30" x14ac:dyDescent="0.25">
      <c r="R1496" s="33"/>
      <c r="S1496" s="33"/>
      <c r="T1496" s="33"/>
      <c r="U1496" s="33"/>
      <c r="V1496" s="33"/>
      <c r="W1496" s="33"/>
      <c r="X1496" s="33"/>
      <c r="Y1496" s="33"/>
      <c r="Z1496" s="33"/>
      <c r="AA1496" s="33"/>
      <c r="AB1496" s="33"/>
      <c r="AC1496" s="33"/>
      <c r="AD1496" s="593"/>
    </row>
    <row r="1497" spans="18:30" x14ac:dyDescent="0.25">
      <c r="R1497" s="33"/>
      <c r="S1497" s="33"/>
      <c r="T1497" s="33"/>
      <c r="U1497" s="33"/>
      <c r="V1497" s="33"/>
      <c r="W1497" s="33"/>
      <c r="X1497" s="33"/>
      <c r="Y1497" s="33"/>
      <c r="Z1497" s="33"/>
      <c r="AA1497" s="33"/>
      <c r="AB1497" s="33"/>
      <c r="AC1497" s="33"/>
      <c r="AD1497" s="593"/>
    </row>
    <row r="1498" spans="18:30" x14ac:dyDescent="0.25">
      <c r="R1498" s="33"/>
      <c r="S1498" s="33"/>
      <c r="T1498" s="33"/>
      <c r="U1498" s="33"/>
      <c r="V1498" s="33"/>
      <c r="W1498" s="33"/>
      <c r="X1498" s="33"/>
      <c r="Y1498" s="33"/>
      <c r="Z1498" s="33"/>
      <c r="AA1498" s="33"/>
      <c r="AB1498" s="33"/>
      <c r="AC1498" s="33"/>
      <c r="AD1498" s="593"/>
    </row>
    <row r="1499" spans="18:30" x14ac:dyDescent="0.25">
      <c r="R1499" s="33"/>
      <c r="S1499" s="33"/>
      <c r="T1499" s="33"/>
      <c r="U1499" s="33"/>
      <c r="V1499" s="33"/>
      <c r="W1499" s="33"/>
      <c r="X1499" s="33"/>
      <c r="Y1499" s="33"/>
      <c r="Z1499" s="33"/>
      <c r="AA1499" s="33"/>
      <c r="AB1499" s="33"/>
      <c r="AC1499" s="33"/>
      <c r="AD1499" s="593"/>
    </row>
    <row r="1500" spans="18:30" x14ac:dyDescent="0.25">
      <c r="R1500" s="33"/>
      <c r="S1500" s="33"/>
      <c r="T1500" s="33"/>
      <c r="U1500" s="33"/>
      <c r="V1500" s="33"/>
      <c r="W1500" s="33"/>
      <c r="X1500" s="33"/>
      <c r="Y1500" s="33"/>
      <c r="Z1500" s="33"/>
      <c r="AA1500" s="33"/>
      <c r="AB1500" s="33"/>
      <c r="AC1500" s="33"/>
      <c r="AD1500" s="593"/>
    </row>
    <row r="1501" spans="18:30" x14ac:dyDescent="0.25">
      <c r="R1501" s="33"/>
      <c r="S1501" s="33"/>
      <c r="T1501" s="33"/>
      <c r="U1501" s="33"/>
      <c r="V1501" s="33"/>
      <c r="W1501" s="33"/>
      <c r="X1501" s="33"/>
      <c r="Y1501" s="33"/>
      <c r="Z1501" s="33"/>
      <c r="AA1501" s="33"/>
      <c r="AB1501" s="33"/>
      <c r="AC1501" s="33"/>
      <c r="AD1501" s="593"/>
    </row>
    <row r="1502" spans="18:30" x14ac:dyDescent="0.25">
      <c r="R1502" s="33"/>
      <c r="S1502" s="33"/>
      <c r="T1502" s="33"/>
      <c r="U1502" s="33"/>
      <c r="V1502" s="33"/>
      <c r="W1502" s="33"/>
      <c r="X1502" s="33"/>
      <c r="Y1502" s="33"/>
      <c r="Z1502" s="33"/>
      <c r="AA1502" s="33"/>
      <c r="AB1502" s="33"/>
      <c r="AC1502" s="33"/>
      <c r="AD1502" s="593"/>
    </row>
    <row r="1503" spans="18:30" x14ac:dyDescent="0.25">
      <c r="R1503" s="33"/>
      <c r="S1503" s="33"/>
      <c r="T1503" s="33"/>
      <c r="U1503" s="33"/>
      <c r="V1503" s="33"/>
      <c r="W1503" s="33"/>
      <c r="X1503" s="33"/>
      <c r="Y1503" s="33"/>
      <c r="Z1503" s="33"/>
      <c r="AA1503" s="33"/>
      <c r="AB1503" s="33"/>
      <c r="AC1503" s="33"/>
      <c r="AD1503" s="593"/>
    </row>
    <row r="1504" spans="18:30" x14ac:dyDescent="0.25">
      <c r="R1504" s="33"/>
      <c r="S1504" s="33"/>
      <c r="T1504" s="33"/>
      <c r="U1504" s="33"/>
      <c r="V1504" s="33"/>
      <c r="W1504" s="33"/>
      <c r="X1504" s="33"/>
      <c r="Y1504" s="33"/>
      <c r="Z1504" s="33"/>
      <c r="AA1504" s="33"/>
      <c r="AB1504" s="33"/>
      <c r="AC1504" s="33"/>
      <c r="AD1504" s="593"/>
    </row>
    <row r="1505" spans="18:30" x14ac:dyDescent="0.25">
      <c r="R1505" s="33"/>
      <c r="S1505" s="33"/>
      <c r="T1505" s="33"/>
      <c r="U1505" s="33"/>
      <c r="V1505" s="33"/>
      <c r="W1505" s="33"/>
      <c r="X1505" s="33"/>
      <c r="Y1505" s="33"/>
      <c r="Z1505" s="33"/>
      <c r="AA1505" s="33"/>
      <c r="AB1505" s="33"/>
      <c r="AC1505" s="33"/>
      <c r="AD1505" s="593"/>
    </row>
    <row r="1506" spans="18:30" x14ac:dyDescent="0.25">
      <c r="R1506" s="33"/>
      <c r="S1506" s="33"/>
      <c r="T1506" s="33"/>
      <c r="U1506" s="33"/>
      <c r="V1506" s="33"/>
      <c r="W1506" s="33"/>
      <c r="X1506" s="33"/>
      <c r="Y1506" s="33"/>
      <c r="Z1506" s="33"/>
      <c r="AA1506" s="33"/>
      <c r="AB1506" s="33"/>
      <c r="AC1506" s="33"/>
      <c r="AD1506" s="593"/>
    </row>
    <row r="1507" spans="18:30" x14ac:dyDescent="0.25">
      <c r="R1507" s="33"/>
      <c r="S1507" s="33"/>
      <c r="T1507" s="33"/>
      <c r="U1507" s="33"/>
      <c r="V1507" s="33"/>
      <c r="W1507" s="33"/>
      <c r="X1507" s="33"/>
      <c r="Y1507" s="33"/>
      <c r="Z1507" s="33"/>
      <c r="AA1507" s="33"/>
      <c r="AB1507" s="33"/>
      <c r="AC1507" s="33"/>
      <c r="AD1507" s="593"/>
    </row>
    <row r="1508" spans="18:30" x14ac:dyDescent="0.25">
      <c r="R1508" s="33"/>
      <c r="S1508" s="33"/>
      <c r="T1508" s="33"/>
      <c r="U1508" s="33"/>
      <c r="V1508" s="33"/>
      <c r="W1508" s="33"/>
      <c r="X1508" s="33"/>
      <c r="Y1508" s="33"/>
      <c r="Z1508" s="33"/>
      <c r="AA1508" s="33"/>
      <c r="AB1508" s="33"/>
      <c r="AC1508" s="33"/>
      <c r="AD1508" s="593"/>
    </row>
    <row r="1509" spans="18:30" x14ac:dyDescent="0.25">
      <c r="R1509" s="33"/>
      <c r="S1509" s="33"/>
      <c r="T1509" s="33"/>
      <c r="U1509" s="33"/>
      <c r="V1509" s="33"/>
      <c r="W1509" s="33"/>
      <c r="X1509" s="33"/>
      <c r="Y1509" s="33"/>
      <c r="Z1509" s="33"/>
      <c r="AA1509" s="33"/>
      <c r="AB1509" s="33"/>
      <c r="AC1509" s="33"/>
      <c r="AD1509" s="593"/>
    </row>
    <row r="1510" spans="18:30" x14ac:dyDescent="0.25">
      <c r="R1510" s="33"/>
      <c r="S1510" s="33"/>
      <c r="T1510" s="33"/>
      <c r="U1510" s="33"/>
      <c r="V1510" s="33"/>
      <c r="W1510" s="33"/>
      <c r="X1510" s="33"/>
      <c r="Y1510" s="33"/>
      <c r="Z1510" s="33"/>
      <c r="AA1510" s="33"/>
      <c r="AB1510" s="33"/>
      <c r="AC1510" s="33"/>
      <c r="AD1510" s="593"/>
    </row>
    <row r="1511" spans="18:30" x14ac:dyDescent="0.25">
      <c r="R1511" s="33"/>
      <c r="S1511" s="33"/>
      <c r="T1511" s="33"/>
      <c r="U1511" s="33"/>
      <c r="V1511" s="33"/>
      <c r="W1511" s="33"/>
      <c r="X1511" s="33"/>
      <c r="Y1511" s="33"/>
      <c r="Z1511" s="33"/>
      <c r="AA1511" s="33"/>
      <c r="AB1511" s="33"/>
      <c r="AC1511" s="33"/>
      <c r="AD1511" s="593"/>
    </row>
    <row r="1512" spans="18:30" x14ac:dyDescent="0.25">
      <c r="R1512" s="33"/>
      <c r="S1512" s="33"/>
      <c r="T1512" s="33"/>
      <c r="U1512" s="33"/>
      <c r="V1512" s="33"/>
      <c r="W1512" s="33"/>
      <c r="X1512" s="33"/>
      <c r="Y1512" s="33"/>
      <c r="Z1512" s="33"/>
      <c r="AA1512" s="33"/>
      <c r="AB1512" s="33"/>
      <c r="AC1512" s="33"/>
      <c r="AD1512" s="593"/>
    </row>
    <row r="1513" spans="18:30" x14ac:dyDescent="0.25">
      <c r="R1513" s="33"/>
      <c r="S1513" s="33"/>
      <c r="T1513" s="33"/>
      <c r="U1513" s="33"/>
      <c r="V1513" s="33"/>
      <c r="W1513" s="33"/>
      <c r="X1513" s="33"/>
      <c r="Y1513" s="33"/>
      <c r="Z1513" s="33"/>
      <c r="AA1513" s="33"/>
      <c r="AB1513" s="33"/>
      <c r="AC1513" s="33"/>
      <c r="AD1513" s="593"/>
    </row>
    <row r="1514" spans="18:30" x14ac:dyDescent="0.25">
      <c r="R1514" s="33"/>
      <c r="S1514" s="33"/>
      <c r="T1514" s="33"/>
      <c r="U1514" s="33"/>
      <c r="V1514" s="33"/>
      <c r="W1514" s="33"/>
      <c r="X1514" s="33"/>
      <c r="Y1514" s="33"/>
      <c r="Z1514" s="33"/>
      <c r="AA1514" s="33"/>
      <c r="AB1514" s="33"/>
      <c r="AC1514" s="33"/>
      <c r="AD1514" s="593"/>
    </row>
    <row r="1515" spans="18:30" x14ac:dyDescent="0.25">
      <c r="R1515" s="33"/>
      <c r="S1515" s="33"/>
      <c r="T1515" s="33"/>
      <c r="U1515" s="33"/>
      <c r="V1515" s="33"/>
      <c r="W1515" s="33"/>
      <c r="X1515" s="33"/>
      <c r="Y1515" s="33"/>
      <c r="Z1515" s="33"/>
      <c r="AA1515" s="33"/>
      <c r="AB1515" s="33"/>
      <c r="AC1515" s="33"/>
      <c r="AD1515" s="593"/>
    </row>
    <row r="1516" spans="18:30" x14ac:dyDescent="0.25">
      <c r="R1516" s="33"/>
      <c r="S1516" s="33"/>
      <c r="T1516" s="33"/>
      <c r="U1516" s="33"/>
      <c r="V1516" s="33"/>
      <c r="W1516" s="33"/>
      <c r="X1516" s="33"/>
      <c r="Y1516" s="33"/>
      <c r="Z1516" s="33"/>
      <c r="AA1516" s="33"/>
      <c r="AB1516" s="33"/>
      <c r="AC1516" s="33"/>
      <c r="AD1516" s="593"/>
    </row>
    <row r="1517" spans="18:30" x14ac:dyDescent="0.25">
      <c r="R1517" s="33"/>
      <c r="S1517" s="33"/>
      <c r="T1517" s="33"/>
      <c r="U1517" s="33"/>
      <c r="V1517" s="33"/>
      <c r="W1517" s="33"/>
      <c r="X1517" s="33"/>
      <c r="Y1517" s="33"/>
      <c r="Z1517" s="33"/>
      <c r="AA1517" s="33"/>
      <c r="AB1517" s="33"/>
      <c r="AC1517" s="33"/>
      <c r="AD1517" s="593"/>
    </row>
    <row r="1518" spans="18:30" x14ac:dyDescent="0.25">
      <c r="R1518" s="33"/>
      <c r="S1518" s="33"/>
      <c r="T1518" s="33"/>
      <c r="U1518" s="33"/>
      <c r="V1518" s="33"/>
      <c r="W1518" s="33"/>
      <c r="X1518" s="33"/>
      <c r="Y1518" s="33"/>
      <c r="Z1518" s="33"/>
      <c r="AA1518" s="33"/>
      <c r="AB1518" s="33"/>
      <c r="AC1518" s="33"/>
      <c r="AD1518" s="593"/>
    </row>
    <row r="1519" spans="18:30" x14ac:dyDescent="0.25">
      <c r="R1519" s="33"/>
      <c r="S1519" s="33"/>
      <c r="T1519" s="33"/>
      <c r="U1519" s="33"/>
      <c r="V1519" s="33"/>
      <c r="W1519" s="33"/>
      <c r="X1519" s="33"/>
      <c r="Y1519" s="33"/>
      <c r="Z1519" s="33"/>
      <c r="AA1519" s="33"/>
      <c r="AB1519" s="33"/>
      <c r="AC1519" s="33"/>
      <c r="AD1519" s="593"/>
    </row>
    <row r="1520" spans="18:30" x14ac:dyDescent="0.25">
      <c r="R1520" s="33"/>
      <c r="S1520" s="33"/>
      <c r="T1520" s="33"/>
      <c r="U1520" s="33"/>
      <c r="V1520" s="33"/>
      <c r="W1520" s="33"/>
      <c r="X1520" s="33"/>
      <c r="Y1520" s="33"/>
      <c r="Z1520" s="33"/>
      <c r="AA1520" s="33"/>
      <c r="AB1520" s="33"/>
      <c r="AC1520" s="33"/>
      <c r="AD1520" s="593"/>
    </row>
    <row r="1521" spans="18:30" x14ac:dyDescent="0.25">
      <c r="R1521" s="33"/>
      <c r="S1521" s="33"/>
      <c r="T1521" s="33"/>
      <c r="U1521" s="33"/>
      <c r="V1521" s="33"/>
      <c r="W1521" s="33"/>
      <c r="X1521" s="33"/>
      <c r="Y1521" s="33"/>
      <c r="Z1521" s="33"/>
      <c r="AA1521" s="33"/>
      <c r="AB1521" s="33"/>
      <c r="AC1521" s="33"/>
      <c r="AD1521" s="593"/>
    </row>
    <row r="1522" spans="18:30" x14ac:dyDescent="0.25">
      <c r="R1522" s="33"/>
      <c r="S1522" s="33"/>
      <c r="T1522" s="33"/>
      <c r="U1522" s="33"/>
      <c r="V1522" s="33"/>
      <c r="W1522" s="33"/>
      <c r="X1522" s="33"/>
      <c r="Y1522" s="33"/>
      <c r="Z1522" s="33"/>
      <c r="AA1522" s="33"/>
      <c r="AB1522" s="33"/>
      <c r="AC1522" s="33"/>
      <c r="AD1522" s="593"/>
    </row>
    <row r="1523" spans="18:30" x14ac:dyDescent="0.25">
      <c r="R1523" s="33"/>
      <c r="S1523" s="33"/>
      <c r="T1523" s="33"/>
      <c r="U1523" s="33"/>
      <c r="V1523" s="33"/>
      <c r="W1523" s="33"/>
      <c r="X1523" s="33"/>
      <c r="Y1523" s="33"/>
      <c r="Z1523" s="33"/>
      <c r="AA1523" s="33"/>
      <c r="AB1523" s="33"/>
      <c r="AC1523" s="33"/>
      <c r="AD1523" s="593"/>
    </row>
    <row r="1524" spans="18:30" x14ac:dyDescent="0.25">
      <c r="R1524" s="33"/>
      <c r="S1524" s="33"/>
      <c r="T1524" s="33"/>
      <c r="U1524" s="33"/>
      <c r="V1524" s="33"/>
      <c r="W1524" s="33"/>
      <c r="X1524" s="33"/>
      <c r="Y1524" s="33"/>
      <c r="Z1524" s="33"/>
      <c r="AA1524" s="33"/>
      <c r="AB1524" s="33"/>
      <c r="AC1524" s="33"/>
      <c r="AD1524" s="593"/>
    </row>
    <row r="1525" spans="18:30" x14ac:dyDescent="0.25">
      <c r="R1525" s="33"/>
      <c r="S1525" s="33"/>
      <c r="T1525" s="33"/>
      <c r="U1525" s="33"/>
      <c r="V1525" s="33"/>
      <c r="W1525" s="33"/>
      <c r="X1525" s="33"/>
      <c r="Y1525" s="33"/>
      <c r="Z1525" s="33"/>
      <c r="AA1525" s="33"/>
      <c r="AB1525" s="33"/>
      <c r="AC1525" s="33"/>
      <c r="AD1525" s="593"/>
    </row>
    <row r="1526" spans="18:30" x14ac:dyDescent="0.25">
      <c r="R1526" s="33"/>
      <c r="S1526" s="33"/>
      <c r="T1526" s="33"/>
      <c r="U1526" s="33"/>
      <c r="V1526" s="33"/>
      <c r="W1526" s="33"/>
      <c r="X1526" s="33"/>
      <c r="Y1526" s="33"/>
      <c r="Z1526" s="33"/>
      <c r="AA1526" s="33"/>
      <c r="AB1526" s="33"/>
      <c r="AC1526" s="33"/>
      <c r="AD1526" s="593"/>
    </row>
    <row r="1527" spans="18:30" x14ac:dyDescent="0.25">
      <c r="R1527" s="33"/>
      <c r="S1527" s="33"/>
      <c r="T1527" s="33"/>
      <c r="U1527" s="33"/>
      <c r="V1527" s="33"/>
      <c r="W1527" s="33"/>
      <c r="X1527" s="33"/>
      <c r="Y1527" s="33"/>
      <c r="Z1527" s="33"/>
      <c r="AA1527" s="33"/>
      <c r="AB1527" s="33"/>
      <c r="AC1527" s="33"/>
      <c r="AD1527" s="593"/>
    </row>
    <row r="1528" spans="18:30" x14ac:dyDescent="0.25">
      <c r="R1528" s="33"/>
      <c r="S1528" s="33"/>
      <c r="T1528" s="33"/>
      <c r="U1528" s="33"/>
      <c r="V1528" s="33"/>
      <c r="W1528" s="33"/>
      <c r="X1528" s="33"/>
      <c r="Y1528" s="33"/>
      <c r="Z1528" s="33"/>
      <c r="AA1528" s="33"/>
      <c r="AB1528" s="33"/>
      <c r="AC1528" s="33"/>
      <c r="AD1528" s="593"/>
    </row>
    <row r="1529" spans="18:30" x14ac:dyDescent="0.25">
      <c r="R1529" s="33"/>
      <c r="S1529" s="33"/>
      <c r="T1529" s="33"/>
      <c r="U1529" s="33"/>
      <c r="V1529" s="33"/>
      <c r="W1529" s="33"/>
      <c r="X1529" s="33"/>
      <c r="Y1529" s="33"/>
      <c r="Z1529" s="33"/>
      <c r="AA1529" s="33"/>
      <c r="AB1529" s="33"/>
      <c r="AC1529" s="33"/>
      <c r="AD1529" s="593"/>
    </row>
    <row r="1530" spans="18:30" x14ac:dyDescent="0.25">
      <c r="R1530" s="33"/>
      <c r="S1530" s="33"/>
      <c r="T1530" s="33"/>
      <c r="U1530" s="33"/>
      <c r="V1530" s="33"/>
      <c r="W1530" s="33"/>
      <c r="X1530" s="33"/>
      <c r="Y1530" s="33"/>
      <c r="Z1530" s="33"/>
      <c r="AA1530" s="33"/>
      <c r="AB1530" s="33"/>
      <c r="AC1530" s="33"/>
      <c r="AD1530" s="593"/>
    </row>
    <row r="1531" spans="18:30" x14ac:dyDescent="0.25">
      <c r="R1531" s="33"/>
      <c r="S1531" s="33"/>
      <c r="T1531" s="33"/>
      <c r="U1531" s="33"/>
      <c r="V1531" s="33"/>
      <c r="W1531" s="33"/>
      <c r="X1531" s="33"/>
      <c r="Y1531" s="33"/>
      <c r="Z1531" s="33"/>
      <c r="AA1531" s="33"/>
      <c r="AB1531" s="33"/>
      <c r="AC1531" s="33"/>
      <c r="AD1531" s="593"/>
    </row>
    <row r="1532" spans="18:30" x14ac:dyDescent="0.25">
      <c r="R1532" s="33"/>
      <c r="S1532" s="33"/>
      <c r="T1532" s="33"/>
      <c r="U1532" s="33"/>
      <c r="V1532" s="33"/>
      <c r="W1532" s="33"/>
      <c r="X1532" s="33"/>
      <c r="Y1532" s="33"/>
      <c r="Z1532" s="33"/>
      <c r="AA1532" s="33"/>
      <c r="AB1532" s="33"/>
      <c r="AC1532" s="33"/>
      <c r="AD1532" s="593"/>
    </row>
    <row r="1533" spans="18:30" x14ac:dyDescent="0.25">
      <c r="R1533" s="33"/>
      <c r="S1533" s="33"/>
      <c r="T1533" s="33"/>
      <c r="U1533" s="33"/>
      <c r="V1533" s="33"/>
      <c r="W1533" s="33"/>
      <c r="X1533" s="33"/>
      <c r="Y1533" s="33"/>
      <c r="Z1533" s="33"/>
      <c r="AA1533" s="33"/>
      <c r="AB1533" s="33"/>
      <c r="AC1533" s="33"/>
      <c r="AD1533" s="593"/>
    </row>
    <row r="1534" spans="18:30" x14ac:dyDescent="0.25">
      <c r="R1534" s="33"/>
      <c r="S1534" s="33"/>
      <c r="T1534" s="33"/>
      <c r="U1534" s="33"/>
      <c r="V1534" s="33"/>
      <c r="W1534" s="33"/>
      <c r="X1534" s="33"/>
      <c r="Y1534" s="33"/>
      <c r="Z1534" s="33"/>
      <c r="AA1534" s="33"/>
      <c r="AB1534" s="33"/>
      <c r="AC1534" s="33"/>
      <c r="AD1534" s="593"/>
    </row>
    <row r="1535" spans="18:30" x14ac:dyDescent="0.25">
      <c r="R1535" s="33"/>
      <c r="S1535" s="33"/>
      <c r="T1535" s="33"/>
      <c r="U1535" s="33"/>
      <c r="V1535" s="33"/>
      <c r="W1535" s="33"/>
      <c r="X1535" s="33"/>
      <c r="Y1535" s="33"/>
      <c r="Z1535" s="33"/>
      <c r="AA1535" s="33"/>
      <c r="AB1535" s="33"/>
      <c r="AC1535" s="33"/>
      <c r="AD1535" s="593"/>
    </row>
    <row r="1536" spans="18:30" x14ac:dyDescent="0.25">
      <c r="R1536" s="33"/>
      <c r="S1536" s="33"/>
      <c r="T1536" s="33"/>
      <c r="U1536" s="33"/>
      <c r="V1536" s="33"/>
      <c r="W1536" s="33"/>
      <c r="X1536" s="33"/>
      <c r="Y1536" s="33"/>
      <c r="Z1536" s="33"/>
      <c r="AA1536" s="33"/>
      <c r="AB1536" s="33"/>
      <c r="AC1536" s="33"/>
      <c r="AD1536" s="593"/>
    </row>
    <row r="1537" spans="18:30" x14ac:dyDescent="0.25">
      <c r="R1537" s="33"/>
      <c r="S1537" s="33"/>
      <c r="T1537" s="33"/>
      <c r="U1537" s="33"/>
      <c r="V1537" s="33"/>
      <c r="W1537" s="33"/>
      <c r="X1537" s="33"/>
      <c r="Y1537" s="33"/>
      <c r="Z1537" s="33"/>
      <c r="AA1537" s="33"/>
      <c r="AB1537" s="33"/>
      <c r="AC1537" s="33"/>
      <c r="AD1537" s="593"/>
    </row>
    <row r="1538" spans="18:30" x14ac:dyDescent="0.25">
      <c r="R1538" s="33"/>
      <c r="S1538" s="33"/>
      <c r="T1538" s="33"/>
      <c r="U1538" s="33"/>
      <c r="V1538" s="33"/>
      <c r="W1538" s="33"/>
      <c r="X1538" s="33"/>
      <c r="Y1538" s="33"/>
      <c r="Z1538" s="33"/>
      <c r="AA1538" s="33"/>
      <c r="AB1538" s="33"/>
      <c r="AC1538" s="33"/>
      <c r="AD1538" s="593"/>
    </row>
    <row r="1539" spans="18:30" x14ac:dyDescent="0.25">
      <c r="R1539" s="33"/>
      <c r="S1539" s="33"/>
      <c r="T1539" s="33"/>
      <c r="U1539" s="33"/>
      <c r="V1539" s="33"/>
      <c r="W1539" s="33"/>
      <c r="X1539" s="33"/>
      <c r="Y1539" s="33"/>
      <c r="Z1539" s="33"/>
      <c r="AA1539" s="33"/>
      <c r="AB1539" s="33"/>
      <c r="AC1539" s="33"/>
      <c r="AD1539" s="593"/>
    </row>
    <row r="1540" spans="18:30" x14ac:dyDescent="0.25">
      <c r="R1540" s="33"/>
      <c r="S1540" s="33"/>
      <c r="T1540" s="33"/>
      <c r="U1540" s="33"/>
      <c r="V1540" s="33"/>
      <c r="W1540" s="33"/>
      <c r="X1540" s="33"/>
      <c r="Y1540" s="33"/>
      <c r="Z1540" s="33"/>
      <c r="AA1540" s="33"/>
      <c r="AB1540" s="33"/>
      <c r="AC1540" s="33"/>
      <c r="AD1540" s="593"/>
    </row>
    <row r="1541" spans="18:30" x14ac:dyDescent="0.25">
      <c r="R1541" s="33"/>
      <c r="S1541" s="33"/>
      <c r="T1541" s="33"/>
      <c r="U1541" s="33"/>
      <c r="V1541" s="33"/>
      <c r="W1541" s="33"/>
      <c r="X1541" s="33"/>
      <c r="Y1541" s="33"/>
      <c r="Z1541" s="33"/>
      <c r="AA1541" s="33"/>
      <c r="AB1541" s="33"/>
      <c r="AC1541" s="33"/>
      <c r="AD1541" s="593"/>
    </row>
    <row r="1542" spans="18:30" x14ac:dyDescent="0.25">
      <c r="R1542" s="33"/>
      <c r="S1542" s="33"/>
      <c r="T1542" s="33"/>
      <c r="U1542" s="33"/>
      <c r="V1542" s="33"/>
      <c r="W1542" s="33"/>
      <c r="X1542" s="33"/>
      <c r="Y1542" s="33"/>
      <c r="Z1542" s="33"/>
      <c r="AA1542" s="33"/>
      <c r="AB1542" s="33"/>
      <c r="AC1542" s="33"/>
      <c r="AD1542" s="593"/>
    </row>
    <row r="1543" spans="18:30" x14ac:dyDescent="0.25">
      <c r="R1543" s="33"/>
      <c r="S1543" s="33"/>
      <c r="T1543" s="33"/>
      <c r="U1543" s="33"/>
      <c r="V1543" s="33"/>
      <c r="W1543" s="33"/>
      <c r="X1543" s="33"/>
      <c r="Y1543" s="33"/>
      <c r="Z1543" s="33"/>
      <c r="AA1543" s="33"/>
      <c r="AB1543" s="33"/>
      <c r="AC1543" s="33"/>
      <c r="AD1543" s="593"/>
    </row>
    <row r="1544" spans="18:30" x14ac:dyDescent="0.25">
      <c r="R1544" s="33"/>
      <c r="S1544" s="33"/>
      <c r="T1544" s="33"/>
      <c r="U1544" s="33"/>
      <c r="V1544" s="33"/>
      <c r="W1544" s="33"/>
      <c r="X1544" s="33"/>
      <c r="Y1544" s="33"/>
      <c r="Z1544" s="33"/>
      <c r="AA1544" s="33"/>
      <c r="AB1544" s="33"/>
      <c r="AC1544" s="33"/>
      <c r="AD1544" s="593"/>
    </row>
    <row r="1545" spans="18:30" x14ac:dyDescent="0.25">
      <c r="R1545" s="33"/>
      <c r="S1545" s="33"/>
      <c r="T1545" s="33"/>
      <c r="U1545" s="33"/>
      <c r="V1545" s="33"/>
      <c r="W1545" s="33"/>
      <c r="X1545" s="33"/>
      <c r="Y1545" s="33"/>
      <c r="Z1545" s="33"/>
      <c r="AA1545" s="33"/>
      <c r="AB1545" s="33"/>
      <c r="AC1545" s="33"/>
      <c r="AD1545" s="593"/>
    </row>
    <row r="1546" spans="18:30" x14ac:dyDescent="0.25">
      <c r="R1546" s="33"/>
      <c r="S1546" s="33"/>
      <c r="T1546" s="33"/>
      <c r="U1546" s="33"/>
      <c r="V1546" s="33"/>
      <c r="W1546" s="33"/>
      <c r="X1546" s="33"/>
      <c r="Y1546" s="33"/>
      <c r="Z1546" s="33"/>
      <c r="AA1546" s="33"/>
      <c r="AB1546" s="33"/>
      <c r="AC1546" s="33"/>
      <c r="AD1546" s="593"/>
    </row>
    <row r="1547" spans="18:30" x14ac:dyDescent="0.25">
      <c r="R1547" s="33"/>
      <c r="S1547" s="33"/>
      <c r="T1547" s="33"/>
      <c r="U1547" s="33"/>
      <c r="V1547" s="33"/>
      <c r="W1547" s="33"/>
      <c r="X1547" s="33"/>
      <c r="Y1547" s="33"/>
      <c r="Z1547" s="33"/>
      <c r="AA1547" s="33"/>
      <c r="AB1547" s="33"/>
      <c r="AC1547" s="33"/>
      <c r="AD1547" s="593"/>
    </row>
    <row r="1548" spans="18:30" x14ac:dyDescent="0.25">
      <c r="R1548" s="33"/>
      <c r="S1548" s="33"/>
      <c r="T1548" s="33"/>
      <c r="U1548" s="33"/>
      <c r="V1548" s="33"/>
      <c r="W1548" s="33"/>
      <c r="X1548" s="33"/>
      <c r="Y1548" s="33"/>
      <c r="Z1548" s="33"/>
      <c r="AA1548" s="33"/>
      <c r="AB1548" s="33"/>
      <c r="AC1548" s="33"/>
      <c r="AD1548" s="593"/>
    </row>
    <row r="1549" spans="18:30" x14ac:dyDescent="0.25">
      <c r="R1549" s="33"/>
      <c r="S1549" s="33"/>
      <c r="T1549" s="33"/>
      <c r="U1549" s="33"/>
      <c r="V1549" s="33"/>
      <c r="W1549" s="33"/>
      <c r="X1549" s="33"/>
      <c r="Y1549" s="33"/>
      <c r="Z1549" s="33"/>
      <c r="AA1549" s="33"/>
      <c r="AB1549" s="33"/>
      <c r="AC1549" s="33"/>
      <c r="AD1549" s="593"/>
    </row>
    <row r="1550" spans="18:30" x14ac:dyDescent="0.25">
      <c r="R1550" s="33"/>
      <c r="S1550" s="33"/>
      <c r="T1550" s="33"/>
      <c r="U1550" s="33"/>
      <c r="V1550" s="33"/>
      <c r="W1550" s="33"/>
      <c r="X1550" s="33"/>
      <c r="Y1550" s="33"/>
      <c r="Z1550" s="33"/>
      <c r="AA1550" s="33"/>
      <c r="AB1550" s="33"/>
      <c r="AC1550" s="33"/>
      <c r="AD1550" s="593"/>
    </row>
    <row r="1551" spans="18:30" x14ac:dyDescent="0.25">
      <c r="R1551" s="33"/>
      <c r="S1551" s="33"/>
      <c r="T1551" s="33"/>
      <c r="U1551" s="33"/>
      <c r="V1551" s="33"/>
      <c r="W1551" s="33"/>
      <c r="X1551" s="33"/>
      <c r="Y1551" s="33"/>
      <c r="Z1551" s="33"/>
      <c r="AA1551" s="33"/>
      <c r="AB1551" s="33"/>
      <c r="AC1551" s="33"/>
      <c r="AD1551" s="593"/>
    </row>
    <row r="1552" spans="18:30" x14ac:dyDescent="0.25">
      <c r="R1552" s="33"/>
      <c r="S1552" s="33"/>
      <c r="T1552" s="33"/>
      <c r="U1552" s="33"/>
      <c r="V1552" s="33"/>
      <c r="W1552" s="33"/>
      <c r="X1552" s="33"/>
      <c r="Y1552" s="33"/>
      <c r="Z1552" s="33"/>
      <c r="AA1552" s="33"/>
      <c r="AB1552" s="33"/>
      <c r="AC1552" s="33"/>
      <c r="AD1552" s="593"/>
    </row>
    <row r="1553" spans="18:30" x14ac:dyDescent="0.25">
      <c r="R1553" s="33"/>
      <c r="S1553" s="33"/>
      <c r="T1553" s="33"/>
      <c r="U1553" s="33"/>
      <c r="V1553" s="33"/>
      <c r="W1553" s="33"/>
      <c r="X1553" s="33"/>
      <c r="Y1553" s="33"/>
      <c r="Z1553" s="33"/>
      <c r="AA1553" s="33"/>
      <c r="AB1553" s="33"/>
      <c r="AC1553" s="33"/>
      <c r="AD1553" s="593"/>
    </row>
    <row r="1554" spans="18:30" x14ac:dyDescent="0.25">
      <c r="R1554" s="33"/>
      <c r="S1554" s="33"/>
      <c r="T1554" s="33"/>
      <c r="U1554" s="33"/>
      <c r="V1554" s="33"/>
      <c r="W1554" s="33"/>
      <c r="X1554" s="33"/>
      <c r="Y1554" s="33"/>
      <c r="Z1554" s="33"/>
      <c r="AA1554" s="33"/>
      <c r="AB1554" s="33"/>
      <c r="AC1554" s="33"/>
      <c r="AD1554" s="593"/>
    </row>
    <row r="1555" spans="18:30" x14ac:dyDescent="0.25">
      <c r="R1555" s="33"/>
      <c r="S1555" s="33"/>
      <c r="T1555" s="33"/>
      <c r="U1555" s="33"/>
      <c r="V1555" s="33"/>
      <c r="W1555" s="33"/>
      <c r="X1555" s="33"/>
      <c r="Y1555" s="33"/>
      <c r="Z1555" s="33"/>
      <c r="AA1555" s="33"/>
      <c r="AB1555" s="33"/>
      <c r="AC1555" s="33"/>
      <c r="AD1555" s="593"/>
    </row>
    <row r="1556" spans="18:30" x14ac:dyDescent="0.25">
      <c r="R1556" s="33"/>
      <c r="S1556" s="33"/>
      <c r="T1556" s="33"/>
      <c r="U1556" s="33"/>
      <c r="V1556" s="33"/>
      <c r="W1556" s="33"/>
      <c r="X1556" s="33"/>
      <c r="Y1556" s="33"/>
      <c r="Z1556" s="33"/>
      <c r="AA1556" s="33"/>
      <c r="AB1556" s="33"/>
      <c r="AC1556" s="33"/>
      <c r="AD1556" s="593"/>
    </row>
    <row r="1557" spans="18:30" x14ac:dyDescent="0.25">
      <c r="R1557" s="33"/>
      <c r="S1557" s="33"/>
      <c r="T1557" s="33"/>
      <c r="U1557" s="33"/>
      <c r="V1557" s="33"/>
      <c r="W1557" s="33"/>
      <c r="X1557" s="33"/>
      <c r="Y1557" s="33"/>
      <c r="Z1557" s="33"/>
      <c r="AA1557" s="33"/>
      <c r="AB1557" s="33"/>
      <c r="AC1557" s="33"/>
      <c r="AD1557" s="593"/>
    </row>
    <row r="1558" spans="18:30" x14ac:dyDescent="0.25">
      <c r="R1558" s="33"/>
      <c r="S1558" s="33"/>
      <c r="T1558" s="33"/>
      <c r="U1558" s="33"/>
      <c r="V1558" s="33"/>
      <c r="W1558" s="33"/>
      <c r="X1558" s="33"/>
      <c r="Y1558" s="33"/>
      <c r="Z1558" s="33"/>
      <c r="AA1558" s="33"/>
      <c r="AB1558" s="33"/>
      <c r="AC1558" s="33"/>
      <c r="AD1558" s="593"/>
    </row>
    <row r="1559" spans="18:30" x14ac:dyDescent="0.25">
      <c r="R1559" s="33"/>
      <c r="S1559" s="33"/>
      <c r="T1559" s="33"/>
      <c r="U1559" s="33"/>
      <c r="V1559" s="33"/>
      <c r="W1559" s="33"/>
      <c r="X1559" s="33"/>
      <c r="Y1559" s="33"/>
      <c r="Z1559" s="33"/>
      <c r="AA1559" s="33"/>
      <c r="AB1559" s="33"/>
      <c r="AC1559" s="33"/>
      <c r="AD1559" s="593"/>
    </row>
    <row r="1560" spans="18:30" x14ac:dyDescent="0.25">
      <c r="R1560" s="33"/>
      <c r="S1560" s="33"/>
      <c r="T1560" s="33"/>
      <c r="U1560" s="33"/>
      <c r="V1560" s="33"/>
      <c r="W1560" s="33"/>
      <c r="X1560" s="33"/>
      <c r="Y1560" s="33"/>
      <c r="Z1560" s="33"/>
      <c r="AA1560" s="33"/>
      <c r="AB1560" s="33"/>
      <c r="AC1560" s="33"/>
      <c r="AD1560" s="593"/>
    </row>
    <row r="1561" spans="18:30" x14ac:dyDescent="0.25">
      <c r="R1561" s="33"/>
      <c r="S1561" s="33"/>
      <c r="T1561" s="33"/>
      <c r="U1561" s="33"/>
      <c r="V1561" s="33"/>
      <c r="W1561" s="33"/>
      <c r="X1561" s="33"/>
      <c r="Y1561" s="33"/>
      <c r="Z1561" s="33"/>
      <c r="AA1561" s="33"/>
      <c r="AB1561" s="33"/>
      <c r="AC1561" s="33"/>
      <c r="AD1561" s="593"/>
    </row>
    <row r="1562" spans="18:30" x14ac:dyDescent="0.25">
      <c r="R1562" s="33"/>
      <c r="S1562" s="33"/>
      <c r="T1562" s="33"/>
      <c r="U1562" s="33"/>
      <c r="V1562" s="33"/>
      <c r="W1562" s="33"/>
      <c r="X1562" s="33"/>
      <c r="Y1562" s="33"/>
      <c r="Z1562" s="33"/>
      <c r="AA1562" s="33"/>
      <c r="AB1562" s="33"/>
      <c r="AC1562" s="33"/>
      <c r="AD1562" s="593"/>
    </row>
    <row r="1563" spans="18:30" x14ac:dyDescent="0.25">
      <c r="R1563" s="33"/>
      <c r="S1563" s="33"/>
      <c r="T1563" s="33"/>
      <c r="U1563" s="33"/>
      <c r="V1563" s="33"/>
      <c r="W1563" s="33"/>
      <c r="X1563" s="33"/>
      <c r="Y1563" s="33"/>
      <c r="Z1563" s="33"/>
      <c r="AA1563" s="33"/>
      <c r="AB1563" s="33"/>
      <c r="AC1563" s="33"/>
      <c r="AD1563" s="593"/>
    </row>
    <row r="1564" spans="18:30" x14ac:dyDescent="0.25">
      <c r="R1564" s="33"/>
      <c r="S1564" s="33"/>
      <c r="T1564" s="33"/>
      <c r="U1564" s="33"/>
      <c r="V1564" s="33"/>
      <c r="W1564" s="33"/>
      <c r="X1564" s="33"/>
      <c r="Y1564" s="33"/>
      <c r="Z1564" s="33"/>
      <c r="AA1564" s="33"/>
      <c r="AB1564" s="33"/>
      <c r="AC1564" s="33"/>
      <c r="AD1564" s="593"/>
    </row>
    <row r="1565" spans="18:30" x14ac:dyDescent="0.25">
      <c r="R1565" s="33"/>
      <c r="S1565" s="33"/>
      <c r="T1565" s="33"/>
      <c r="U1565" s="33"/>
      <c r="V1565" s="33"/>
      <c r="W1565" s="33"/>
      <c r="X1565" s="33"/>
      <c r="Y1565" s="33"/>
      <c r="Z1565" s="33"/>
      <c r="AA1565" s="33"/>
      <c r="AB1565" s="33"/>
      <c r="AC1565" s="33"/>
      <c r="AD1565" s="593"/>
    </row>
    <row r="1566" spans="18:30" x14ac:dyDescent="0.25">
      <c r="R1566" s="33"/>
      <c r="S1566" s="33"/>
      <c r="T1566" s="33"/>
      <c r="U1566" s="33"/>
      <c r="V1566" s="33"/>
      <c r="W1566" s="33"/>
      <c r="X1566" s="33"/>
      <c r="Y1566" s="33"/>
      <c r="Z1566" s="33"/>
      <c r="AA1566" s="33"/>
      <c r="AB1566" s="33"/>
      <c r="AC1566" s="33"/>
      <c r="AD1566" s="593"/>
    </row>
    <row r="1567" spans="18:30" x14ac:dyDescent="0.25">
      <c r="R1567" s="33"/>
      <c r="S1567" s="33"/>
      <c r="T1567" s="33"/>
      <c r="U1567" s="33"/>
      <c r="V1567" s="33"/>
      <c r="W1567" s="33"/>
      <c r="X1567" s="33"/>
      <c r="Y1567" s="33"/>
      <c r="Z1567" s="33"/>
      <c r="AA1567" s="33"/>
      <c r="AB1567" s="33"/>
      <c r="AC1567" s="33"/>
      <c r="AD1567" s="593"/>
    </row>
    <row r="1568" spans="18:30" x14ac:dyDescent="0.25">
      <c r="R1568" s="33"/>
      <c r="S1568" s="33"/>
      <c r="T1568" s="33"/>
      <c r="U1568" s="33"/>
      <c r="V1568" s="33"/>
      <c r="W1568" s="33"/>
      <c r="X1568" s="33"/>
      <c r="Y1568" s="33"/>
      <c r="Z1568" s="33"/>
      <c r="AA1568" s="33"/>
      <c r="AB1568" s="33"/>
      <c r="AC1568" s="33"/>
      <c r="AD1568" s="593"/>
    </row>
    <row r="1569" spans="18:30" x14ac:dyDescent="0.25">
      <c r="R1569" s="33"/>
      <c r="S1569" s="33"/>
      <c r="T1569" s="33"/>
      <c r="U1569" s="33"/>
      <c r="V1569" s="33"/>
      <c r="W1569" s="33"/>
      <c r="X1569" s="33"/>
      <c r="Y1569" s="33"/>
      <c r="Z1569" s="33"/>
      <c r="AA1569" s="33"/>
      <c r="AB1569" s="33"/>
      <c r="AC1569" s="33"/>
      <c r="AD1569" s="593"/>
    </row>
    <row r="1570" spans="18:30" x14ac:dyDescent="0.25">
      <c r="R1570" s="33"/>
      <c r="S1570" s="33"/>
      <c r="T1570" s="33"/>
      <c r="U1570" s="33"/>
      <c r="V1570" s="33"/>
      <c r="W1570" s="33"/>
      <c r="X1570" s="33"/>
      <c r="Y1570" s="33"/>
      <c r="Z1570" s="33"/>
      <c r="AA1570" s="33"/>
      <c r="AB1570" s="33"/>
      <c r="AC1570" s="33"/>
      <c r="AD1570" s="593"/>
    </row>
    <row r="1571" spans="18:30" x14ac:dyDescent="0.25">
      <c r="R1571" s="33"/>
      <c r="S1571" s="33"/>
      <c r="T1571" s="33"/>
      <c r="U1571" s="33"/>
      <c r="V1571" s="33"/>
      <c r="W1571" s="33"/>
      <c r="X1571" s="33"/>
      <c r="Y1571" s="33"/>
      <c r="Z1571" s="33"/>
      <c r="AA1571" s="33"/>
      <c r="AB1571" s="33"/>
      <c r="AC1571" s="33"/>
      <c r="AD1571" s="593"/>
    </row>
    <row r="1572" spans="18:30" x14ac:dyDescent="0.25">
      <c r="R1572" s="33"/>
      <c r="S1572" s="33"/>
      <c r="T1572" s="33"/>
      <c r="U1572" s="33"/>
      <c r="V1572" s="33"/>
      <c r="W1572" s="33"/>
      <c r="X1572" s="33"/>
      <c r="Y1572" s="33"/>
      <c r="Z1572" s="33"/>
      <c r="AA1572" s="33"/>
      <c r="AB1572" s="33"/>
      <c r="AC1572" s="33"/>
      <c r="AD1572" s="593"/>
    </row>
    <row r="1573" spans="18:30" x14ac:dyDescent="0.25">
      <c r="R1573" s="33"/>
      <c r="S1573" s="33"/>
      <c r="T1573" s="33"/>
      <c r="U1573" s="33"/>
      <c r="V1573" s="33"/>
      <c r="W1573" s="33"/>
      <c r="X1573" s="33"/>
      <c r="Y1573" s="33"/>
      <c r="Z1573" s="33"/>
      <c r="AA1573" s="33"/>
      <c r="AB1573" s="33"/>
      <c r="AC1573" s="33"/>
      <c r="AD1573" s="593"/>
    </row>
    <row r="1574" spans="18:30" x14ac:dyDescent="0.25">
      <c r="R1574" s="33"/>
      <c r="S1574" s="33"/>
      <c r="T1574" s="33"/>
      <c r="U1574" s="33"/>
      <c r="V1574" s="33"/>
      <c r="W1574" s="33"/>
      <c r="X1574" s="33"/>
      <c r="Y1574" s="33"/>
      <c r="Z1574" s="33"/>
      <c r="AA1574" s="33"/>
      <c r="AB1574" s="33"/>
      <c r="AC1574" s="33"/>
      <c r="AD1574" s="593"/>
    </row>
    <row r="1575" spans="18:30" x14ac:dyDescent="0.25">
      <c r="R1575" s="33"/>
      <c r="S1575" s="33"/>
      <c r="T1575" s="33"/>
      <c r="U1575" s="33"/>
      <c r="V1575" s="33"/>
      <c r="W1575" s="33"/>
      <c r="X1575" s="33"/>
      <c r="Y1575" s="33"/>
      <c r="Z1575" s="33"/>
      <c r="AA1575" s="33"/>
      <c r="AB1575" s="33"/>
      <c r="AC1575" s="33"/>
      <c r="AD1575" s="593"/>
    </row>
    <row r="1576" spans="18:30" x14ac:dyDescent="0.25">
      <c r="R1576" s="33"/>
      <c r="S1576" s="33"/>
      <c r="T1576" s="33"/>
      <c r="U1576" s="33"/>
      <c r="V1576" s="33"/>
      <c r="W1576" s="33"/>
      <c r="X1576" s="33"/>
      <c r="Y1576" s="33"/>
      <c r="Z1576" s="33"/>
      <c r="AA1576" s="33"/>
      <c r="AB1576" s="33"/>
      <c r="AC1576" s="33"/>
      <c r="AD1576" s="593"/>
    </row>
    <row r="1577" spans="18:30" x14ac:dyDescent="0.25">
      <c r="R1577" s="33"/>
      <c r="S1577" s="33"/>
      <c r="T1577" s="33"/>
      <c r="U1577" s="33"/>
      <c r="V1577" s="33"/>
      <c r="W1577" s="33"/>
      <c r="X1577" s="33"/>
      <c r="Y1577" s="33"/>
      <c r="Z1577" s="33"/>
      <c r="AA1577" s="33"/>
      <c r="AB1577" s="33"/>
      <c r="AC1577" s="33"/>
      <c r="AD1577" s="593"/>
    </row>
    <row r="1578" spans="18:30" x14ac:dyDescent="0.25">
      <c r="R1578" s="33"/>
      <c r="S1578" s="33"/>
      <c r="T1578" s="33"/>
      <c r="U1578" s="33"/>
      <c r="V1578" s="33"/>
      <c r="W1578" s="33"/>
      <c r="X1578" s="33"/>
      <c r="Y1578" s="33"/>
      <c r="Z1578" s="33"/>
      <c r="AA1578" s="33"/>
      <c r="AB1578" s="33"/>
      <c r="AC1578" s="33"/>
      <c r="AD1578" s="593"/>
    </row>
    <row r="1579" spans="18:30" x14ac:dyDescent="0.25">
      <c r="R1579" s="33"/>
      <c r="S1579" s="33"/>
      <c r="T1579" s="33"/>
      <c r="U1579" s="33"/>
      <c r="V1579" s="33"/>
      <c r="W1579" s="33"/>
      <c r="X1579" s="33"/>
      <c r="Y1579" s="33"/>
      <c r="Z1579" s="33"/>
      <c r="AA1579" s="33"/>
      <c r="AB1579" s="33"/>
      <c r="AC1579" s="33"/>
      <c r="AD1579" s="593"/>
    </row>
    <row r="1580" spans="18:30" x14ac:dyDescent="0.25">
      <c r="R1580" s="33"/>
      <c r="S1580" s="33"/>
      <c r="T1580" s="33"/>
      <c r="U1580" s="33"/>
      <c r="V1580" s="33"/>
      <c r="W1580" s="33"/>
      <c r="X1580" s="33"/>
      <c r="Y1580" s="33"/>
      <c r="Z1580" s="33"/>
      <c r="AA1580" s="33"/>
      <c r="AB1580" s="33"/>
      <c r="AC1580" s="33"/>
      <c r="AD1580" s="593"/>
    </row>
    <row r="1581" spans="18:30" x14ac:dyDescent="0.25">
      <c r="R1581" s="33"/>
      <c r="S1581" s="33"/>
      <c r="T1581" s="33"/>
      <c r="U1581" s="33"/>
      <c r="V1581" s="33"/>
      <c r="W1581" s="33"/>
      <c r="X1581" s="33"/>
      <c r="Y1581" s="33"/>
      <c r="Z1581" s="33"/>
      <c r="AA1581" s="33"/>
      <c r="AB1581" s="33"/>
      <c r="AC1581" s="33"/>
      <c r="AD1581" s="593"/>
    </row>
    <row r="1582" spans="18:30" x14ac:dyDescent="0.25">
      <c r="R1582" s="33"/>
      <c r="S1582" s="33"/>
      <c r="T1582" s="33"/>
      <c r="U1582" s="33"/>
      <c r="V1582" s="33"/>
      <c r="W1582" s="33"/>
      <c r="X1582" s="33"/>
      <c r="Y1582" s="33"/>
      <c r="Z1582" s="33"/>
      <c r="AA1582" s="33"/>
      <c r="AB1582" s="33"/>
      <c r="AC1582" s="33"/>
      <c r="AD1582" s="593"/>
    </row>
    <row r="1583" spans="18:30" x14ac:dyDescent="0.25">
      <c r="R1583" s="33"/>
      <c r="S1583" s="33"/>
      <c r="T1583" s="33"/>
      <c r="U1583" s="33"/>
      <c r="V1583" s="33"/>
      <c r="W1583" s="33"/>
      <c r="X1583" s="33"/>
      <c r="Y1583" s="33"/>
      <c r="Z1583" s="33"/>
      <c r="AA1583" s="33"/>
      <c r="AB1583" s="33"/>
      <c r="AC1583" s="33"/>
      <c r="AD1583" s="593"/>
    </row>
    <row r="1584" spans="18:30" x14ac:dyDescent="0.25">
      <c r="R1584" s="33"/>
      <c r="S1584" s="33"/>
      <c r="T1584" s="33"/>
      <c r="U1584" s="33"/>
      <c r="V1584" s="33"/>
      <c r="W1584" s="33"/>
      <c r="X1584" s="33"/>
      <c r="Y1584" s="33"/>
      <c r="Z1584" s="33"/>
      <c r="AA1584" s="33"/>
      <c r="AB1584" s="33"/>
      <c r="AC1584" s="33"/>
      <c r="AD1584" s="593"/>
    </row>
    <row r="1585" spans="18:30" x14ac:dyDescent="0.25">
      <c r="R1585" s="33"/>
      <c r="S1585" s="33"/>
      <c r="T1585" s="33"/>
      <c r="U1585" s="33"/>
      <c r="V1585" s="33"/>
      <c r="W1585" s="33"/>
      <c r="X1585" s="33"/>
      <c r="Y1585" s="33"/>
      <c r="Z1585" s="33"/>
      <c r="AA1585" s="33"/>
      <c r="AB1585" s="33"/>
      <c r="AC1585" s="33"/>
      <c r="AD1585" s="593"/>
    </row>
    <row r="1586" spans="18:30" x14ac:dyDescent="0.25">
      <c r="R1586" s="33"/>
      <c r="S1586" s="33"/>
      <c r="T1586" s="33"/>
      <c r="U1586" s="33"/>
      <c r="V1586" s="33"/>
      <c r="W1586" s="33"/>
      <c r="X1586" s="33"/>
      <c r="Y1586" s="33"/>
      <c r="Z1586" s="33"/>
      <c r="AA1586" s="33"/>
      <c r="AB1586" s="33"/>
      <c r="AC1586" s="33"/>
      <c r="AD1586" s="593"/>
    </row>
    <row r="1587" spans="18:30" x14ac:dyDescent="0.25">
      <c r="R1587" s="33"/>
      <c r="S1587" s="33"/>
      <c r="T1587" s="33"/>
      <c r="U1587" s="33"/>
      <c r="V1587" s="33"/>
      <c r="W1587" s="33"/>
      <c r="X1587" s="33"/>
      <c r="Y1587" s="33"/>
      <c r="Z1587" s="33"/>
      <c r="AA1587" s="33"/>
      <c r="AB1587" s="33"/>
      <c r="AC1587" s="33"/>
      <c r="AD1587" s="593"/>
    </row>
    <row r="1588" spans="18:30" x14ac:dyDescent="0.25">
      <c r="R1588" s="33"/>
      <c r="S1588" s="33"/>
      <c r="T1588" s="33"/>
      <c r="U1588" s="33"/>
      <c r="V1588" s="33"/>
      <c r="W1588" s="33"/>
      <c r="X1588" s="33"/>
      <c r="Y1588" s="33"/>
      <c r="Z1588" s="33"/>
      <c r="AA1588" s="33"/>
      <c r="AB1588" s="33"/>
      <c r="AC1588" s="33"/>
      <c r="AD1588" s="593"/>
    </row>
    <row r="1589" spans="18:30" x14ac:dyDescent="0.25">
      <c r="R1589" s="33"/>
      <c r="S1589" s="33"/>
      <c r="T1589" s="33"/>
      <c r="U1589" s="33"/>
      <c r="V1589" s="33"/>
      <c r="W1589" s="33"/>
      <c r="X1589" s="33"/>
      <c r="Y1589" s="33"/>
      <c r="Z1589" s="33"/>
      <c r="AA1589" s="33"/>
      <c r="AB1589" s="33"/>
      <c r="AC1589" s="33"/>
      <c r="AD1589" s="593"/>
    </row>
    <row r="1590" spans="18:30" x14ac:dyDescent="0.25">
      <c r="R1590" s="33"/>
      <c r="S1590" s="33"/>
      <c r="T1590" s="33"/>
      <c r="U1590" s="33"/>
      <c r="V1590" s="33"/>
      <c r="W1590" s="33"/>
      <c r="X1590" s="33"/>
      <c r="Y1590" s="33"/>
      <c r="Z1590" s="33"/>
      <c r="AA1590" s="33"/>
      <c r="AB1590" s="33"/>
      <c r="AC1590" s="33"/>
      <c r="AD1590" s="593"/>
    </row>
    <row r="1591" spans="18:30" x14ac:dyDescent="0.25">
      <c r="R1591" s="33"/>
      <c r="S1591" s="33"/>
      <c r="T1591" s="33"/>
      <c r="U1591" s="33"/>
      <c r="V1591" s="33"/>
      <c r="W1591" s="33"/>
      <c r="X1591" s="33"/>
      <c r="Y1591" s="33"/>
      <c r="Z1591" s="33"/>
      <c r="AA1591" s="33"/>
      <c r="AB1591" s="33"/>
      <c r="AC1591" s="33"/>
      <c r="AD1591" s="593"/>
    </row>
    <row r="1592" spans="18:30" x14ac:dyDescent="0.25">
      <c r="R1592" s="33"/>
      <c r="S1592" s="33"/>
      <c r="T1592" s="33"/>
      <c r="U1592" s="33"/>
      <c r="V1592" s="33"/>
      <c r="W1592" s="33"/>
      <c r="X1592" s="33"/>
      <c r="Y1592" s="33"/>
      <c r="Z1592" s="33"/>
      <c r="AA1592" s="33"/>
      <c r="AB1592" s="33"/>
      <c r="AC1592" s="33"/>
      <c r="AD1592" s="593"/>
    </row>
    <row r="1593" spans="18:30" x14ac:dyDescent="0.25">
      <c r="R1593" s="33"/>
      <c r="S1593" s="33"/>
      <c r="T1593" s="33"/>
      <c r="U1593" s="33"/>
      <c r="V1593" s="33"/>
      <c r="W1593" s="33"/>
      <c r="X1593" s="33"/>
      <c r="Y1593" s="33"/>
      <c r="Z1593" s="33"/>
      <c r="AA1593" s="33"/>
      <c r="AB1593" s="33"/>
      <c r="AC1593" s="33"/>
      <c r="AD1593" s="593"/>
    </row>
    <row r="1594" spans="18:30" x14ac:dyDescent="0.25">
      <c r="R1594" s="33"/>
      <c r="S1594" s="33"/>
      <c r="T1594" s="33"/>
      <c r="U1594" s="33"/>
      <c r="V1594" s="33"/>
      <c r="W1594" s="33"/>
      <c r="X1594" s="33"/>
      <c r="Y1594" s="33"/>
      <c r="Z1594" s="33"/>
      <c r="AA1594" s="33"/>
      <c r="AB1594" s="33"/>
      <c r="AC1594" s="33"/>
      <c r="AD1594" s="593"/>
    </row>
    <row r="1595" spans="18:30" x14ac:dyDescent="0.25">
      <c r="R1595" s="33"/>
      <c r="S1595" s="33"/>
      <c r="T1595" s="33"/>
      <c r="U1595" s="33"/>
      <c r="V1595" s="33"/>
      <c r="W1595" s="33"/>
      <c r="X1595" s="33"/>
      <c r="Y1595" s="33"/>
      <c r="Z1595" s="33"/>
      <c r="AA1595" s="33"/>
      <c r="AB1595" s="33"/>
      <c r="AC1595" s="33"/>
      <c r="AD1595" s="593"/>
    </row>
    <row r="1596" spans="18:30" x14ac:dyDescent="0.25">
      <c r="R1596" s="33"/>
      <c r="S1596" s="33"/>
      <c r="T1596" s="33"/>
      <c r="U1596" s="33"/>
      <c r="V1596" s="33"/>
      <c r="W1596" s="33"/>
      <c r="X1596" s="33"/>
      <c r="Y1596" s="33"/>
      <c r="Z1596" s="33"/>
      <c r="AA1596" s="33"/>
      <c r="AB1596" s="33"/>
      <c r="AC1596" s="33"/>
      <c r="AD1596" s="593"/>
    </row>
    <row r="1597" spans="18:30" x14ac:dyDescent="0.25">
      <c r="R1597" s="33"/>
      <c r="S1597" s="33"/>
      <c r="T1597" s="33"/>
      <c r="U1597" s="33"/>
      <c r="V1597" s="33"/>
      <c r="W1597" s="33"/>
      <c r="X1597" s="33"/>
      <c r="Y1597" s="33"/>
      <c r="Z1597" s="33"/>
      <c r="AA1597" s="33"/>
      <c r="AB1597" s="33"/>
      <c r="AC1597" s="33"/>
      <c r="AD1597" s="593"/>
    </row>
    <row r="1598" spans="18:30" x14ac:dyDescent="0.25">
      <c r="R1598" s="33"/>
      <c r="S1598" s="33"/>
      <c r="T1598" s="33"/>
      <c r="U1598" s="33"/>
      <c r="V1598" s="33"/>
      <c r="W1598" s="33"/>
      <c r="X1598" s="33"/>
      <c r="Y1598" s="33"/>
      <c r="Z1598" s="33"/>
      <c r="AA1598" s="33"/>
      <c r="AB1598" s="33"/>
      <c r="AC1598" s="33"/>
      <c r="AD1598" s="593"/>
    </row>
    <row r="1599" spans="18:30" x14ac:dyDescent="0.25">
      <c r="R1599" s="33"/>
      <c r="S1599" s="33"/>
      <c r="T1599" s="33"/>
      <c r="U1599" s="33"/>
      <c r="V1599" s="33"/>
      <c r="W1599" s="33"/>
      <c r="X1599" s="33"/>
      <c r="Y1599" s="33"/>
      <c r="Z1599" s="33"/>
      <c r="AA1599" s="33"/>
      <c r="AB1599" s="33"/>
      <c r="AC1599" s="33"/>
      <c r="AD1599" s="593"/>
    </row>
    <row r="1600" spans="18:30" x14ac:dyDescent="0.25">
      <c r="R1600" s="33"/>
      <c r="S1600" s="33"/>
      <c r="T1600" s="33"/>
      <c r="U1600" s="33"/>
      <c r="V1600" s="33"/>
      <c r="W1600" s="33"/>
      <c r="X1600" s="33"/>
      <c r="Y1600" s="33"/>
      <c r="Z1600" s="33"/>
      <c r="AA1600" s="33"/>
      <c r="AB1600" s="33"/>
      <c r="AC1600" s="33"/>
      <c r="AD1600" s="593"/>
    </row>
    <row r="1601" spans="18:30" x14ac:dyDescent="0.25">
      <c r="R1601" s="33"/>
      <c r="S1601" s="33"/>
      <c r="T1601" s="33"/>
      <c r="U1601" s="33"/>
      <c r="V1601" s="33"/>
      <c r="W1601" s="33"/>
      <c r="X1601" s="33"/>
      <c r="Y1601" s="33"/>
      <c r="Z1601" s="33"/>
      <c r="AA1601" s="33"/>
      <c r="AB1601" s="33"/>
      <c r="AC1601" s="33"/>
      <c r="AD1601" s="593"/>
    </row>
    <row r="1602" spans="18:30" x14ac:dyDescent="0.25">
      <c r="R1602" s="33"/>
      <c r="S1602" s="33"/>
      <c r="T1602" s="33"/>
      <c r="U1602" s="33"/>
      <c r="V1602" s="33"/>
      <c r="W1602" s="33"/>
      <c r="X1602" s="33"/>
      <c r="Y1602" s="33"/>
      <c r="Z1602" s="33"/>
      <c r="AA1602" s="33"/>
      <c r="AB1602" s="33"/>
      <c r="AC1602" s="33"/>
      <c r="AD1602" s="593"/>
    </row>
    <row r="1603" spans="18:30" x14ac:dyDescent="0.25">
      <c r="R1603" s="33"/>
      <c r="S1603" s="33"/>
      <c r="T1603" s="33"/>
      <c r="U1603" s="33"/>
      <c r="V1603" s="33"/>
      <c r="W1603" s="33"/>
      <c r="X1603" s="33"/>
      <c r="Y1603" s="33"/>
      <c r="Z1603" s="33"/>
      <c r="AA1603" s="33"/>
      <c r="AB1603" s="33"/>
      <c r="AC1603" s="33"/>
      <c r="AD1603" s="593"/>
    </row>
    <row r="1604" spans="18:30" x14ac:dyDescent="0.25">
      <c r="R1604" s="33"/>
      <c r="S1604" s="33"/>
      <c r="T1604" s="33"/>
      <c r="U1604" s="33"/>
      <c r="V1604" s="33"/>
      <c r="W1604" s="33"/>
      <c r="X1604" s="33"/>
      <c r="Y1604" s="33"/>
      <c r="Z1604" s="33"/>
      <c r="AA1604" s="33"/>
      <c r="AB1604" s="33"/>
      <c r="AC1604" s="33"/>
      <c r="AD1604" s="593"/>
    </row>
    <row r="1605" spans="18:30" x14ac:dyDescent="0.25">
      <c r="R1605" s="33"/>
      <c r="S1605" s="33"/>
      <c r="T1605" s="33"/>
      <c r="U1605" s="33"/>
      <c r="V1605" s="33"/>
      <c r="W1605" s="33"/>
      <c r="X1605" s="33"/>
      <c r="Y1605" s="33"/>
      <c r="Z1605" s="33"/>
      <c r="AA1605" s="33"/>
      <c r="AB1605" s="33"/>
      <c r="AC1605" s="33"/>
      <c r="AD1605" s="593"/>
    </row>
    <row r="1606" spans="18:30" x14ac:dyDescent="0.25">
      <c r="R1606" s="33"/>
      <c r="S1606" s="33"/>
      <c r="T1606" s="33"/>
      <c r="U1606" s="33"/>
      <c r="V1606" s="33"/>
      <c r="W1606" s="33"/>
      <c r="X1606" s="33"/>
      <c r="Y1606" s="33"/>
      <c r="Z1606" s="33"/>
      <c r="AA1606" s="33"/>
      <c r="AB1606" s="33"/>
      <c r="AC1606" s="33"/>
      <c r="AD1606" s="593"/>
    </row>
    <row r="1607" spans="18:30" x14ac:dyDescent="0.25">
      <c r="R1607" s="33"/>
      <c r="S1607" s="33"/>
      <c r="T1607" s="33"/>
      <c r="U1607" s="33"/>
      <c r="V1607" s="33"/>
      <c r="W1607" s="33"/>
      <c r="X1607" s="33"/>
      <c r="Y1607" s="33"/>
      <c r="Z1607" s="33"/>
      <c r="AA1607" s="33"/>
      <c r="AB1607" s="33"/>
      <c r="AC1607" s="33"/>
      <c r="AD1607" s="593"/>
    </row>
    <row r="1608" spans="18:30" x14ac:dyDescent="0.25">
      <c r="R1608" s="33"/>
      <c r="S1608" s="33"/>
      <c r="T1608" s="33"/>
      <c r="U1608" s="33"/>
      <c r="V1608" s="33"/>
      <c r="W1608" s="33"/>
      <c r="X1608" s="33"/>
      <c r="Y1608" s="33"/>
      <c r="Z1608" s="33"/>
      <c r="AA1608" s="33"/>
      <c r="AB1608" s="33"/>
      <c r="AC1608" s="33"/>
      <c r="AD1608" s="593"/>
    </row>
    <row r="1609" spans="18:30" x14ac:dyDescent="0.25">
      <c r="R1609" s="33"/>
      <c r="S1609" s="33"/>
      <c r="T1609" s="33"/>
      <c r="U1609" s="33"/>
      <c r="V1609" s="33"/>
      <c r="W1609" s="33"/>
      <c r="X1609" s="33"/>
      <c r="Y1609" s="33"/>
      <c r="Z1609" s="33"/>
      <c r="AA1609" s="33"/>
      <c r="AB1609" s="33"/>
      <c r="AC1609" s="33"/>
      <c r="AD1609" s="593"/>
    </row>
    <row r="1610" spans="18:30" x14ac:dyDescent="0.25">
      <c r="R1610" s="33"/>
      <c r="S1610" s="33"/>
      <c r="T1610" s="33"/>
      <c r="U1610" s="33"/>
      <c r="V1610" s="33"/>
      <c r="W1610" s="33"/>
      <c r="X1610" s="33"/>
      <c r="Y1610" s="33"/>
      <c r="Z1610" s="33"/>
      <c r="AA1610" s="33"/>
      <c r="AB1610" s="33"/>
      <c r="AC1610" s="33"/>
      <c r="AD1610" s="593"/>
    </row>
    <row r="1611" spans="18:30" x14ac:dyDescent="0.25">
      <c r="R1611" s="33"/>
      <c r="S1611" s="33"/>
      <c r="T1611" s="33"/>
      <c r="U1611" s="33"/>
      <c r="V1611" s="33"/>
      <c r="W1611" s="33"/>
      <c r="X1611" s="33"/>
      <c r="Y1611" s="33"/>
      <c r="Z1611" s="33"/>
      <c r="AA1611" s="33"/>
      <c r="AB1611" s="33"/>
      <c r="AC1611" s="33"/>
      <c r="AD1611" s="593"/>
    </row>
    <row r="1612" spans="18:30" x14ac:dyDescent="0.25">
      <c r="R1612" s="33"/>
      <c r="S1612" s="33"/>
      <c r="T1612" s="33"/>
      <c r="U1612" s="33"/>
      <c r="V1612" s="33"/>
      <c r="W1612" s="33"/>
      <c r="X1612" s="33"/>
      <c r="Y1612" s="33"/>
      <c r="Z1612" s="33"/>
      <c r="AA1612" s="33"/>
      <c r="AB1612" s="33"/>
      <c r="AC1612" s="33"/>
      <c r="AD1612" s="593"/>
    </row>
    <row r="1613" spans="18:30" x14ac:dyDescent="0.25">
      <c r="R1613" s="33"/>
      <c r="S1613" s="33"/>
      <c r="T1613" s="33"/>
      <c r="U1613" s="33"/>
      <c r="V1613" s="33"/>
      <c r="W1613" s="33"/>
      <c r="X1613" s="33"/>
      <c r="Y1613" s="33"/>
      <c r="Z1613" s="33"/>
      <c r="AA1613" s="33"/>
      <c r="AB1613" s="33"/>
      <c r="AC1613" s="33"/>
      <c r="AD1613" s="593"/>
    </row>
    <row r="1614" spans="18:30" x14ac:dyDescent="0.25">
      <c r="R1614" s="33"/>
      <c r="S1614" s="33"/>
      <c r="T1614" s="33"/>
      <c r="U1614" s="33"/>
      <c r="V1614" s="33"/>
      <c r="W1614" s="33"/>
      <c r="X1614" s="33"/>
      <c r="Y1614" s="33"/>
      <c r="Z1614" s="33"/>
      <c r="AA1614" s="33"/>
      <c r="AB1614" s="33"/>
      <c r="AC1614" s="33"/>
      <c r="AD1614" s="593"/>
    </row>
    <row r="1615" spans="18:30" x14ac:dyDescent="0.25">
      <c r="R1615" s="33"/>
      <c r="S1615" s="33"/>
      <c r="T1615" s="33"/>
      <c r="U1615" s="33"/>
      <c r="V1615" s="33"/>
      <c r="W1615" s="33"/>
      <c r="X1615" s="33"/>
      <c r="Y1615" s="33"/>
      <c r="Z1615" s="33"/>
      <c r="AA1615" s="33"/>
      <c r="AB1615" s="33"/>
      <c r="AC1615" s="33"/>
      <c r="AD1615" s="593"/>
    </row>
    <row r="1616" spans="18:30" x14ac:dyDescent="0.25">
      <c r="R1616" s="33"/>
      <c r="S1616" s="33"/>
      <c r="T1616" s="33"/>
      <c r="U1616" s="33"/>
      <c r="V1616" s="33"/>
      <c r="W1616" s="33"/>
      <c r="X1616" s="33"/>
      <c r="Y1616" s="33"/>
      <c r="Z1616" s="33"/>
      <c r="AA1616" s="33"/>
      <c r="AB1616" s="33"/>
      <c r="AC1616" s="33"/>
      <c r="AD1616" s="593"/>
    </row>
    <row r="1617" spans="18:30" x14ac:dyDescent="0.25">
      <c r="R1617" s="33"/>
      <c r="S1617" s="33"/>
      <c r="T1617" s="33"/>
      <c r="U1617" s="33"/>
      <c r="V1617" s="33"/>
      <c r="W1617" s="33"/>
      <c r="X1617" s="33"/>
      <c r="Y1617" s="33"/>
      <c r="Z1617" s="33"/>
      <c r="AA1617" s="33"/>
      <c r="AB1617" s="33"/>
      <c r="AC1617" s="33"/>
      <c r="AD1617" s="593"/>
    </row>
    <row r="1618" spans="18:30" x14ac:dyDescent="0.25">
      <c r="R1618" s="33"/>
      <c r="S1618" s="33"/>
      <c r="T1618" s="33"/>
      <c r="U1618" s="33"/>
      <c r="V1618" s="33"/>
      <c r="W1618" s="33"/>
      <c r="X1618" s="33"/>
      <c r="Y1618" s="33"/>
      <c r="Z1618" s="33"/>
      <c r="AA1618" s="33"/>
      <c r="AB1618" s="33"/>
      <c r="AC1618" s="33"/>
      <c r="AD1618" s="593"/>
    </row>
    <row r="1619" spans="18:30" x14ac:dyDescent="0.25">
      <c r="R1619" s="33"/>
      <c r="S1619" s="33"/>
      <c r="T1619" s="33"/>
      <c r="U1619" s="33"/>
      <c r="V1619" s="33"/>
      <c r="W1619" s="33"/>
      <c r="X1619" s="33"/>
      <c r="Y1619" s="33"/>
      <c r="Z1619" s="33"/>
      <c r="AA1619" s="33"/>
      <c r="AB1619" s="33"/>
      <c r="AC1619" s="33"/>
      <c r="AD1619" s="593"/>
    </row>
    <row r="1620" spans="18:30" x14ac:dyDescent="0.25">
      <c r="R1620" s="33"/>
      <c r="S1620" s="33"/>
      <c r="T1620" s="33"/>
      <c r="U1620" s="33"/>
      <c r="V1620" s="33"/>
      <c r="W1620" s="33"/>
      <c r="X1620" s="33"/>
      <c r="Y1620" s="33"/>
      <c r="Z1620" s="33"/>
      <c r="AA1620" s="33"/>
      <c r="AB1620" s="33"/>
      <c r="AC1620" s="33"/>
      <c r="AD1620" s="593"/>
    </row>
    <row r="1621" spans="18:30" x14ac:dyDescent="0.25">
      <c r="R1621" s="33"/>
      <c r="S1621" s="33"/>
      <c r="T1621" s="33"/>
      <c r="U1621" s="33"/>
      <c r="V1621" s="33"/>
      <c r="W1621" s="33"/>
      <c r="X1621" s="33"/>
      <c r="Y1621" s="33"/>
      <c r="Z1621" s="33"/>
      <c r="AA1621" s="33"/>
      <c r="AB1621" s="33"/>
      <c r="AC1621" s="33"/>
      <c r="AD1621" s="593"/>
    </row>
    <row r="1622" spans="18:30" x14ac:dyDescent="0.25">
      <c r="R1622" s="33"/>
      <c r="S1622" s="33"/>
      <c r="T1622" s="33"/>
      <c r="U1622" s="33"/>
      <c r="V1622" s="33"/>
      <c r="W1622" s="33"/>
      <c r="X1622" s="33"/>
      <c r="Y1622" s="33"/>
      <c r="Z1622" s="33"/>
      <c r="AA1622" s="33"/>
      <c r="AB1622" s="33"/>
      <c r="AC1622" s="33"/>
      <c r="AD1622" s="593"/>
    </row>
    <row r="1623" spans="18:30" x14ac:dyDescent="0.25">
      <c r="R1623" s="33"/>
      <c r="S1623" s="33"/>
      <c r="T1623" s="33"/>
      <c r="U1623" s="33"/>
      <c r="V1623" s="33"/>
      <c r="W1623" s="33"/>
      <c r="X1623" s="33"/>
      <c r="Y1623" s="33"/>
      <c r="Z1623" s="33"/>
      <c r="AA1623" s="33"/>
      <c r="AB1623" s="33"/>
      <c r="AC1623" s="33"/>
      <c r="AD1623" s="593"/>
    </row>
    <row r="1624" spans="18:30" x14ac:dyDescent="0.25">
      <c r="R1624" s="33"/>
      <c r="S1624" s="33"/>
      <c r="T1624" s="33"/>
      <c r="U1624" s="33"/>
      <c r="V1624" s="33"/>
      <c r="W1624" s="33"/>
      <c r="X1624" s="33"/>
      <c r="Y1624" s="33"/>
      <c r="Z1624" s="33"/>
      <c r="AA1624" s="33"/>
      <c r="AB1624" s="33"/>
      <c r="AC1624" s="33"/>
      <c r="AD1624" s="593"/>
    </row>
    <row r="1625" spans="18:30" x14ac:dyDescent="0.25">
      <c r="R1625" s="33"/>
      <c r="S1625" s="33"/>
      <c r="T1625" s="33"/>
      <c r="U1625" s="33"/>
      <c r="V1625" s="33"/>
      <c r="W1625" s="33"/>
      <c r="X1625" s="33"/>
      <c r="Y1625" s="33"/>
      <c r="Z1625" s="33"/>
      <c r="AA1625" s="33"/>
      <c r="AB1625" s="33"/>
      <c r="AC1625" s="33"/>
      <c r="AD1625" s="593"/>
    </row>
    <row r="1626" spans="18:30" x14ac:dyDescent="0.25">
      <c r="R1626" s="33"/>
      <c r="S1626" s="33"/>
      <c r="T1626" s="33"/>
      <c r="U1626" s="33"/>
      <c r="V1626" s="33"/>
      <c r="W1626" s="33"/>
      <c r="X1626" s="33"/>
      <c r="Y1626" s="33"/>
      <c r="Z1626" s="33"/>
      <c r="AA1626" s="33"/>
      <c r="AB1626" s="33"/>
      <c r="AC1626" s="33"/>
      <c r="AD1626" s="593"/>
    </row>
    <row r="1627" spans="18:30" x14ac:dyDescent="0.25">
      <c r="R1627" s="33"/>
      <c r="S1627" s="33"/>
      <c r="T1627" s="33"/>
      <c r="U1627" s="33"/>
      <c r="V1627" s="33"/>
      <c r="W1627" s="33"/>
      <c r="X1627" s="33"/>
      <c r="Y1627" s="33"/>
      <c r="Z1627" s="33"/>
      <c r="AA1627" s="33"/>
      <c r="AB1627" s="33"/>
      <c r="AC1627" s="33"/>
      <c r="AD1627" s="593"/>
    </row>
    <row r="1628" spans="18:30" x14ac:dyDescent="0.25">
      <c r="R1628" s="33"/>
      <c r="S1628" s="33"/>
      <c r="T1628" s="33"/>
      <c r="U1628" s="33"/>
      <c r="V1628" s="33"/>
      <c r="W1628" s="33"/>
      <c r="X1628" s="33"/>
      <c r="Y1628" s="33"/>
      <c r="Z1628" s="33"/>
      <c r="AA1628" s="33"/>
      <c r="AB1628" s="33"/>
      <c r="AC1628" s="33"/>
      <c r="AD1628" s="593"/>
    </row>
    <row r="1629" spans="18:30" x14ac:dyDescent="0.25">
      <c r="R1629" s="33"/>
      <c r="S1629" s="33"/>
      <c r="T1629" s="33"/>
      <c r="U1629" s="33"/>
      <c r="V1629" s="33"/>
      <c r="W1629" s="33"/>
      <c r="X1629" s="33"/>
      <c r="Y1629" s="33"/>
      <c r="Z1629" s="33"/>
      <c r="AA1629" s="33"/>
      <c r="AB1629" s="33"/>
      <c r="AC1629" s="33"/>
      <c r="AD1629" s="593"/>
    </row>
    <row r="1630" spans="18:30" x14ac:dyDescent="0.25">
      <c r="R1630" s="33"/>
      <c r="S1630" s="33"/>
      <c r="T1630" s="33"/>
      <c r="U1630" s="33"/>
      <c r="V1630" s="33"/>
      <c r="W1630" s="33"/>
      <c r="X1630" s="33"/>
      <c r="Y1630" s="33"/>
      <c r="Z1630" s="33"/>
      <c r="AA1630" s="33"/>
      <c r="AB1630" s="33"/>
      <c r="AC1630" s="33"/>
      <c r="AD1630" s="593"/>
    </row>
    <row r="1631" spans="18:30" x14ac:dyDescent="0.25">
      <c r="R1631" s="33"/>
      <c r="S1631" s="33"/>
      <c r="T1631" s="33"/>
      <c r="U1631" s="33"/>
      <c r="V1631" s="33"/>
      <c r="W1631" s="33"/>
      <c r="X1631" s="33"/>
      <c r="Y1631" s="33"/>
      <c r="Z1631" s="33"/>
      <c r="AA1631" s="33"/>
      <c r="AB1631" s="33"/>
      <c r="AC1631" s="33"/>
      <c r="AD1631" s="593"/>
    </row>
    <row r="1632" spans="18:30" x14ac:dyDescent="0.25">
      <c r="R1632" s="33"/>
      <c r="S1632" s="33"/>
      <c r="T1632" s="33"/>
      <c r="U1632" s="33"/>
      <c r="V1632" s="33"/>
      <c r="W1632" s="33"/>
      <c r="X1632" s="33"/>
      <c r="Y1632" s="33"/>
      <c r="Z1632" s="33"/>
      <c r="AA1632" s="33"/>
      <c r="AB1632" s="33"/>
      <c r="AC1632" s="33"/>
      <c r="AD1632" s="593"/>
    </row>
    <row r="1633" spans="18:30" x14ac:dyDescent="0.25">
      <c r="R1633" s="33"/>
      <c r="S1633" s="33"/>
      <c r="T1633" s="33"/>
      <c r="U1633" s="33"/>
      <c r="V1633" s="33"/>
      <c r="W1633" s="33"/>
      <c r="X1633" s="33"/>
      <c r="Y1633" s="33"/>
      <c r="Z1633" s="33"/>
      <c r="AA1633" s="33"/>
      <c r="AB1633" s="33"/>
      <c r="AC1633" s="33"/>
      <c r="AD1633" s="593"/>
    </row>
    <row r="1634" spans="18:30" x14ac:dyDescent="0.25">
      <c r="R1634" s="33"/>
      <c r="S1634" s="33"/>
      <c r="T1634" s="33"/>
      <c r="U1634" s="33"/>
      <c r="V1634" s="33"/>
      <c r="W1634" s="33"/>
      <c r="X1634" s="33"/>
      <c r="Y1634" s="33"/>
      <c r="Z1634" s="33"/>
      <c r="AA1634" s="33"/>
      <c r="AB1634" s="33"/>
      <c r="AC1634" s="33"/>
      <c r="AD1634" s="593"/>
    </row>
    <row r="1635" spans="18:30" x14ac:dyDescent="0.25">
      <c r="R1635" s="33"/>
      <c r="S1635" s="33"/>
      <c r="T1635" s="33"/>
      <c r="U1635" s="33"/>
      <c r="V1635" s="33"/>
      <c r="W1635" s="33"/>
      <c r="X1635" s="33"/>
      <c r="Y1635" s="33"/>
      <c r="Z1635" s="33"/>
      <c r="AA1635" s="33"/>
      <c r="AB1635" s="33"/>
      <c r="AC1635" s="33"/>
      <c r="AD1635" s="593"/>
    </row>
    <row r="1636" spans="18:30" x14ac:dyDescent="0.25">
      <c r="R1636" s="33"/>
      <c r="S1636" s="33"/>
      <c r="T1636" s="33"/>
      <c r="U1636" s="33"/>
      <c r="V1636" s="33"/>
      <c r="W1636" s="33"/>
      <c r="X1636" s="33"/>
      <c r="Y1636" s="33"/>
      <c r="Z1636" s="33"/>
      <c r="AA1636" s="33"/>
      <c r="AB1636" s="33"/>
      <c r="AC1636" s="33"/>
      <c r="AD1636" s="593"/>
    </row>
    <row r="1637" spans="18:30" x14ac:dyDescent="0.25">
      <c r="R1637" s="33"/>
      <c r="S1637" s="33"/>
      <c r="T1637" s="33"/>
      <c r="U1637" s="33"/>
      <c r="V1637" s="33"/>
      <c r="W1637" s="33"/>
      <c r="X1637" s="33"/>
      <c r="Y1637" s="33"/>
      <c r="Z1637" s="33"/>
      <c r="AA1637" s="33"/>
      <c r="AB1637" s="33"/>
      <c r="AC1637" s="33"/>
      <c r="AD1637" s="593"/>
    </row>
    <row r="1638" spans="18:30" x14ac:dyDescent="0.25">
      <c r="R1638" s="33"/>
      <c r="S1638" s="33"/>
      <c r="T1638" s="33"/>
      <c r="U1638" s="33"/>
      <c r="V1638" s="33"/>
      <c r="W1638" s="33"/>
      <c r="X1638" s="33"/>
      <c r="Y1638" s="33"/>
      <c r="Z1638" s="33"/>
      <c r="AA1638" s="33"/>
      <c r="AB1638" s="33"/>
      <c r="AC1638" s="33"/>
      <c r="AD1638" s="593"/>
    </row>
    <row r="1639" spans="18:30" x14ac:dyDescent="0.25">
      <c r="R1639" s="33"/>
      <c r="S1639" s="33"/>
      <c r="T1639" s="33"/>
      <c r="U1639" s="33"/>
      <c r="V1639" s="33"/>
      <c r="W1639" s="33"/>
      <c r="X1639" s="33"/>
      <c r="Y1639" s="33"/>
      <c r="Z1639" s="33"/>
      <c r="AA1639" s="33"/>
      <c r="AB1639" s="33"/>
      <c r="AC1639" s="33"/>
      <c r="AD1639" s="593"/>
    </row>
    <row r="1640" spans="18:30" x14ac:dyDescent="0.25">
      <c r="R1640" s="33"/>
      <c r="S1640" s="33"/>
      <c r="T1640" s="33"/>
      <c r="U1640" s="33"/>
      <c r="V1640" s="33"/>
      <c r="W1640" s="33"/>
      <c r="X1640" s="33"/>
      <c r="Y1640" s="33"/>
      <c r="Z1640" s="33"/>
      <c r="AA1640" s="33"/>
      <c r="AB1640" s="33"/>
      <c r="AC1640" s="33"/>
      <c r="AD1640" s="593"/>
    </row>
    <row r="1641" spans="18:30" x14ac:dyDescent="0.25">
      <c r="R1641" s="33"/>
      <c r="S1641" s="33"/>
      <c r="T1641" s="33"/>
      <c r="U1641" s="33"/>
      <c r="V1641" s="33"/>
      <c r="W1641" s="33"/>
      <c r="X1641" s="33"/>
      <c r="Y1641" s="33"/>
      <c r="Z1641" s="33"/>
      <c r="AA1641" s="33"/>
      <c r="AB1641" s="33"/>
      <c r="AC1641" s="33"/>
      <c r="AD1641" s="593"/>
    </row>
    <row r="1642" spans="18:30" x14ac:dyDescent="0.25">
      <c r="R1642" s="33"/>
      <c r="S1642" s="33"/>
      <c r="T1642" s="33"/>
      <c r="U1642" s="33"/>
      <c r="V1642" s="33"/>
      <c r="W1642" s="33"/>
      <c r="X1642" s="33"/>
      <c r="Y1642" s="33"/>
      <c r="Z1642" s="33"/>
      <c r="AA1642" s="33"/>
      <c r="AB1642" s="33"/>
      <c r="AC1642" s="33"/>
      <c r="AD1642" s="593"/>
    </row>
    <row r="1643" spans="18:30" x14ac:dyDescent="0.25">
      <c r="R1643" s="33"/>
      <c r="S1643" s="33"/>
      <c r="T1643" s="33"/>
      <c r="U1643" s="33"/>
      <c r="V1643" s="33"/>
      <c r="W1643" s="33"/>
      <c r="X1643" s="33"/>
      <c r="Y1643" s="33"/>
      <c r="Z1643" s="33"/>
      <c r="AA1643" s="33"/>
      <c r="AB1643" s="33"/>
      <c r="AC1643" s="33"/>
      <c r="AD1643" s="593"/>
    </row>
    <row r="1644" spans="18:30" x14ac:dyDescent="0.25">
      <c r="R1644" s="33"/>
      <c r="S1644" s="33"/>
      <c r="T1644" s="33"/>
      <c r="U1644" s="33"/>
      <c r="V1644" s="33"/>
      <c r="W1644" s="33"/>
      <c r="X1644" s="33"/>
      <c r="Y1644" s="33"/>
      <c r="Z1644" s="33"/>
      <c r="AA1644" s="33"/>
      <c r="AB1644" s="33"/>
      <c r="AC1644" s="33"/>
      <c r="AD1644" s="593"/>
    </row>
    <row r="1645" spans="18:30" x14ac:dyDescent="0.25">
      <c r="R1645" s="33"/>
      <c r="S1645" s="33"/>
      <c r="T1645" s="33"/>
      <c r="U1645" s="33"/>
      <c r="V1645" s="33"/>
      <c r="W1645" s="33"/>
      <c r="X1645" s="33"/>
      <c r="Y1645" s="33"/>
      <c r="Z1645" s="33"/>
      <c r="AA1645" s="33"/>
      <c r="AB1645" s="33"/>
      <c r="AC1645" s="33"/>
      <c r="AD1645" s="593"/>
    </row>
    <row r="1646" spans="18:30" x14ac:dyDescent="0.25">
      <c r="R1646" s="33"/>
      <c r="S1646" s="33"/>
      <c r="T1646" s="33"/>
      <c r="U1646" s="33"/>
      <c r="V1646" s="33"/>
      <c r="W1646" s="33"/>
      <c r="X1646" s="33"/>
      <c r="Y1646" s="33"/>
      <c r="Z1646" s="33"/>
      <c r="AA1646" s="33"/>
      <c r="AB1646" s="33"/>
      <c r="AC1646" s="33"/>
      <c r="AD1646" s="593"/>
    </row>
    <row r="1647" spans="18:30" x14ac:dyDescent="0.25">
      <c r="R1647" s="33"/>
      <c r="S1647" s="33"/>
      <c r="T1647" s="33"/>
      <c r="U1647" s="33"/>
      <c r="V1647" s="33"/>
      <c r="W1647" s="33"/>
      <c r="X1647" s="33"/>
      <c r="Y1647" s="33"/>
      <c r="Z1647" s="33"/>
      <c r="AA1647" s="33"/>
      <c r="AB1647" s="33"/>
      <c r="AC1647" s="33"/>
      <c r="AD1647" s="593"/>
    </row>
    <row r="1648" spans="18:30" x14ac:dyDescent="0.25">
      <c r="R1648" s="33"/>
      <c r="S1648" s="33"/>
      <c r="T1648" s="33"/>
      <c r="U1648" s="33"/>
      <c r="V1648" s="33"/>
      <c r="W1648" s="33"/>
      <c r="X1648" s="33"/>
      <c r="Y1648" s="33"/>
      <c r="Z1648" s="33"/>
      <c r="AA1648" s="33"/>
      <c r="AB1648" s="33"/>
      <c r="AC1648" s="33"/>
      <c r="AD1648" s="593"/>
    </row>
    <row r="1649" spans="18:30" x14ac:dyDescent="0.25">
      <c r="R1649" s="33"/>
      <c r="S1649" s="33"/>
      <c r="T1649" s="33"/>
      <c r="U1649" s="33"/>
      <c r="V1649" s="33"/>
      <c r="W1649" s="33"/>
      <c r="X1649" s="33"/>
      <c r="Y1649" s="33"/>
      <c r="Z1649" s="33"/>
      <c r="AA1649" s="33"/>
      <c r="AB1649" s="33"/>
      <c r="AC1649" s="33"/>
      <c r="AD1649" s="593"/>
    </row>
    <row r="1650" spans="18:30" x14ac:dyDescent="0.25">
      <c r="R1650" s="33"/>
      <c r="S1650" s="33"/>
      <c r="T1650" s="33"/>
      <c r="U1650" s="33"/>
      <c r="V1650" s="33"/>
      <c r="W1650" s="33"/>
      <c r="X1650" s="33"/>
      <c r="Y1650" s="33"/>
      <c r="Z1650" s="33"/>
      <c r="AA1650" s="33"/>
      <c r="AB1650" s="33"/>
      <c r="AC1650" s="33"/>
      <c r="AD1650" s="593"/>
    </row>
    <row r="1651" spans="18:30" x14ac:dyDescent="0.25">
      <c r="R1651" s="33"/>
      <c r="S1651" s="33"/>
      <c r="T1651" s="33"/>
      <c r="U1651" s="33"/>
      <c r="V1651" s="33"/>
      <c r="W1651" s="33"/>
      <c r="X1651" s="33"/>
      <c r="Y1651" s="33"/>
      <c r="Z1651" s="33"/>
      <c r="AA1651" s="33"/>
      <c r="AB1651" s="33"/>
      <c r="AC1651" s="33"/>
      <c r="AD1651" s="593"/>
    </row>
    <row r="1652" spans="18:30" x14ac:dyDescent="0.25">
      <c r="R1652" s="33"/>
      <c r="S1652" s="33"/>
      <c r="T1652" s="33"/>
      <c r="U1652" s="33"/>
      <c r="V1652" s="33"/>
      <c r="W1652" s="33"/>
      <c r="X1652" s="33"/>
      <c r="Y1652" s="33"/>
      <c r="Z1652" s="33"/>
      <c r="AA1652" s="33"/>
      <c r="AB1652" s="33"/>
      <c r="AC1652" s="33"/>
      <c r="AD1652" s="593"/>
    </row>
    <row r="1653" spans="18:30" x14ac:dyDescent="0.25">
      <c r="R1653" s="33"/>
      <c r="S1653" s="33"/>
      <c r="T1653" s="33"/>
      <c r="U1653" s="33"/>
      <c r="V1653" s="33"/>
      <c r="W1653" s="33"/>
      <c r="X1653" s="33"/>
      <c r="Y1653" s="33"/>
      <c r="Z1653" s="33"/>
      <c r="AA1653" s="33"/>
      <c r="AB1653" s="33"/>
      <c r="AC1653" s="33"/>
      <c r="AD1653" s="593"/>
    </row>
    <row r="1654" spans="18:30" x14ac:dyDescent="0.25">
      <c r="R1654" s="33"/>
      <c r="S1654" s="33"/>
      <c r="T1654" s="33"/>
      <c r="U1654" s="33"/>
      <c r="V1654" s="33"/>
      <c r="W1654" s="33"/>
      <c r="X1654" s="33"/>
      <c r="Y1654" s="33"/>
      <c r="Z1654" s="33"/>
      <c r="AA1654" s="33"/>
      <c r="AB1654" s="33"/>
      <c r="AC1654" s="33"/>
      <c r="AD1654" s="593"/>
    </row>
    <row r="1655" spans="18:30" x14ac:dyDescent="0.25">
      <c r="R1655" s="33"/>
      <c r="S1655" s="33"/>
      <c r="T1655" s="33"/>
      <c r="U1655" s="33"/>
      <c r="V1655" s="33"/>
      <c r="W1655" s="33"/>
      <c r="X1655" s="33"/>
      <c r="Y1655" s="33"/>
      <c r="Z1655" s="33"/>
      <c r="AA1655" s="33"/>
      <c r="AB1655" s="33"/>
      <c r="AC1655" s="33"/>
      <c r="AD1655" s="593"/>
    </row>
    <row r="1656" spans="18:30" x14ac:dyDescent="0.25">
      <c r="R1656" s="33"/>
      <c r="S1656" s="33"/>
      <c r="T1656" s="33"/>
      <c r="U1656" s="33"/>
      <c r="V1656" s="33"/>
      <c r="W1656" s="33"/>
      <c r="X1656" s="33"/>
      <c r="Y1656" s="33"/>
      <c r="Z1656" s="33"/>
      <c r="AA1656" s="33"/>
      <c r="AB1656" s="33"/>
      <c r="AC1656" s="33"/>
      <c r="AD1656" s="593"/>
    </row>
    <row r="1657" spans="18:30" x14ac:dyDescent="0.25">
      <c r="R1657" s="33"/>
      <c r="S1657" s="33"/>
      <c r="T1657" s="33"/>
      <c r="U1657" s="33"/>
      <c r="V1657" s="33"/>
      <c r="W1657" s="33"/>
      <c r="X1657" s="33"/>
      <c r="Y1657" s="33"/>
      <c r="Z1657" s="33"/>
      <c r="AA1657" s="33"/>
      <c r="AB1657" s="33"/>
      <c r="AC1657" s="33"/>
      <c r="AD1657" s="593"/>
    </row>
    <row r="1658" spans="18:30" x14ac:dyDescent="0.25">
      <c r="R1658" s="33"/>
      <c r="S1658" s="33"/>
      <c r="T1658" s="33"/>
      <c r="U1658" s="33"/>
      <c r="V1658" s="33"/>
      <c r="W1658" s="33"/>
      <c r="X1658" s="33"/>
      <c r="Y1658" s="33"/>
      <c r="Z1658" s="33"/>
      <c r="AA1658" s="33"/>
      <c r="AB1658" s="33"/>
      <c r="AC1658" s="33"/>
      <c r="AD1658" s="593"/>
    </row>
    <row r="1659" spans="18:30" x14ac:dyDescent="0.25">
      <c r="R1659" s="33"/>
      <c r="S1659" s="33"/>
      <c r="T1659" s="33"/>
      <c r="U1659" s="33"/>
      <c r="V1659" s="33"/>
      <c r="W1659" s="33"/>
      <c r="X1659" s="33"/>
      <c r="Y1659" s="33"/>
      <c r="Z1659" s="33"/>
      <c r="AA1659" s="33"/>
      <c r="AB1659" s="33"/>
      <c r="AC1659" s="33"/>
      <c r="AD1659" s="593"/>
    </row>
    <row r="1660" spans="18:30" x14ac:dyDescent="0.25">
      <c r="R1660" s="33"/>
      <c r="S1660" s="33"/>
      <c r="T1660" s="33"/>
      <c r="U1660" s="33"/>
      <c r="V1660" s="33"/>
      <c r="W1660" s="33"/>
      <c r="X1660" s="33"/>
      <c r="Y1660" s="33"/>
      <c r="Z1660" s="33"/>
      <c r="AA1660" s="33"/>
      <c r="AB1660" s="33"/>
      <c r="AC1660" s="33"/>
      <c r="AD1660" s="593"/>
    </row>
    <row r="1661" spans="18:30" x14ac:dyDescent="0.25">
      <c r="R1661" s="33"/>
      <c r="S1661" s="33"/>
      <c r="T1661" s="33"/>
      <c r="U1661" s="33"/>
      <c r="V1661" s="33"/>
      <c r="W1661" s="33"/>
      <c r="X1661" s="33"/>
      <c r="Y1661" s="33"/>
      <c r="Z1661" s="33"/>
      <c r="AA1661" s="33"/>
      <c r="AB1661" s="33"/>
      <c r="AC1661" s="33"/>
      <c r="AD1661" s="593"/>
    </row>
    <row r="1662" spans="18:30" x14ac:dyDescent="0.25">
      <c r="R1662" s="33"/>
      <c r="S1662" s="33"/>
      <c r="T1662" s="33"/>
      <c r="U1662" s="33"/>
      <c r="V1662" s="33"/>
      <c r="W1662" s="33"/>
      <c r="X1662" s="33"/>
      <c r="Y1662" s="33"/>
      <c r="Z1662" s="33"/>
      <c r="AA1662" s="33"/>
      <c r="AB1662" s="33"/>
      <c r="AC1662" s="33"/>
      <c r="AD1662" s="593"/>
    </row>
    <row r="1663" spans="18:30" x14ac:dyDescent="0.25">
      <c r="R1663" s="33"/>
      <c r="S1663" s="33"/>
      <c r="T1663" s="33"/>
      <c r="U1663" s="33"/>
      <c r="V1663" s="33"/>
      <c r="W1663" s="33"/>
      <c r="X1663" s="33"/>
      <c r="Y1663" s="33"/>
      <c r="Z1663" s="33"/>
      <c r="AA1663" s="33"/>
      <c r="AB1663" s="33"/>
      <c r="AC1663" s="33"/>
      <c r="AD1663" s="593"/>
    </row>
    <row r="1664" spans="18:30" x14ac:dyDescent="0.25">
      <c r="R1664" s="33"/>
      <c r="S1664" s="33"/>
      <c r="T1664" s="33"/>
      <c r="U1664" s="33"/>
      <c r="V1664" s="33"/>
      <c r="W1664" s="33"/>
      <c r="X1664" s="33"/>
      <c r="Y1664" s="33"/>
      <c r="Z1664" s="33"/>
      <c r="AA1664" s="33"/>
      <c r="AB1664" s="33"/>
      <c r="AC1664" s="33"/>
      <c r="AD1664" s="593"/>
    </row>
    <row r="1665" spans="18:30" x14ac:dyDescent="0.25">
      <c r="R1665" s="33"/>
      <c r="S1665" s="33"/>
      <c r="T1665" s="33"/>
      <c r="U1665" s="33"/>
      <c r="V1665" s="33"/>
      <c r="W1665" s="33"/>
      <c r="X1665" s="33"/>
      <c r="Y1665" s="33"/>
      <c r="Z1665" s="33"/>
      <c r="AA1665" s="33"/>
      <c r="AB1665" s="33"/>
      <c r="AC1665" s="33"/>
      <c r="AD1665" s="593"/>
    </row>
    <row r="1666" spans="18:30" x14ac:dyDescent="0.25">
      <c r="R1666" s="33"/>
      <c r="S1666" s="33"/>
      <c r="T1666" s="33"/>
      <c r="U1666" s="33"/>
      <c r="V1666" s="33"/>
      <c r="W1666" s="33"/>
      <c r="X1666" s="33"/>
      <c r="Y1666" s="33"/>
      <c r="Z1666" s="33"/>
      <c r="AA1666" s="33"/>
      <c r="AB1666" s="33"/>
      <c r="AC1666" s="33"/>
      <c r="AD1666" s="593"/>
    </row>
    <row r="1667" spans="18:30" x14ac:dyDescent="0.25">
      <c r="R1667" s="33"/>
      <c r="S1667" s="33"/>
      <c r="T1667" s="33"/>
      <c r="U1667" s="33"/>
      <c r="V1667" s="33"/>
      <c r="W1667" s="33"/>
      <c r="X1667" s="33"/>
      <c r="Y1667" s="33"/>
      <c r="Z1667" s="33"/>
      <c r="AA1667" s="33"/>
      <c r="AB1667" s="33"/>
      <c r="AC1667" s="33"/>
      <c r="AD1667" s="593"/>
    </row>
    <row r="1668" spans="18:30" x14ac:dyDescent="0.25">
      <c r="R1668" s="33"/>
      <c r="S1668" s="33"/>
      <c r="T1668" s="33"/>
      <c r="U1668" s="33"/>
      <c r="V1668" s="33"/>
      <c r="W1668" s="33"/>
      <c r="X1668" s="33"/>
      <c r="Y1668" s="33"/>
      <c r="Z1668" s="33"/>
      <c r="AA1668" s="33"/>
      <c r="AB1668" s="33"/>
      <c r="AC1668" s="33"/>
      <c r="AD1668" s="593"/>
    </row>
    <row r="1669" spans="18:30" x14ac:dyDescent="0.25">
      <c r="R1669" s="33"/>
      <c r="S1669" s="33"/>
      <c r="T1669" s="33"/>
      <c r="U1669" s="33"/>
      <c r="V1669" s="33"/>
      <c r="W1669" s="33"/>
      <c r="X1669" s="33"/>
      <c r="Y1669" s="33"/>
      <c r="Z1669" s="33"/>
      <c r="AA1669" s="33"/>
      <c r="AB1669" s="33"/>
      <c r="AC1669" s="33"/>
      <c r="AD1669" s="593"/>
    </row>
    <row r="1670" spans="18:30" x14ac:dyDescent="0.25">
      <c r="R1670" s="33"/>
      <c r="S1670" s="33"/>
      <c r="T1670" s="33"/>
      <c r="U1670" s="33"/>
      <c r="V1670" s="33"/>
      <c r="W1670" s="33"/>
      <c r="X1670" s="33"/>
      <c r="Y1670" s="33"/>
      <c r="Z1670" s="33"/>
      <c r="AA1670" s="33"/>
      <c r="AB1670" s="33"/>
      <c r="AC1670" s="33"/>
      <c r="AD1670" s="593"/>
    </row>
  </sheetData>
  <mergeCells count="345">
    <mergeCell ref="B105:D105"/>
    <mergeCell ref="E105:R105"/>
    <mergeCell ref="B106:D106"/>
    <mergeCell ref="E106:R106"/>
    <mergeCell ref="B107:D107"/>
    <mergeCell ref="E107:R107"/>
    <mergeCell ref="AV94:AV99"/>
    <mergeCell ref="AW94:AW99"/>
    <mergeCell ref="AX94:AX99"/>
    <mergeCell ref="A100:C102"/>
    <mergeCell ref="S100:S102"/>
    <mergeCell ref="AF100:AF102"/>
    <mergeCell ref="AG100:AY102"/>
    <mergeCell ref="AP94:AP99"/>
    <mergeCell ref="AQ94:AQ99"/>
    <mergeCell ref="AR94:AR99"/>
    <mergeCell ref="AS94:AS99"/>
    <mergeCell ref="AT94:AT99"/>
    <mergeCell ref="AU94:AU99"/>
    <mergeCell ref="AJ94:AJ99"/>
    <mergeCell ref="AK94:AK99"/>
    <mergeCell ref="AL94:AL99"/>
    <mergeCell ref="AM94:AM99"/>
    <mergeCell ref="AN94:AN99"/>
    <mergeCell ref="AO94:AO99"/>
    <mergeCell ref="AY88:AY93"/>
    <mergeCell ref="A94:A99"/>
    <mergeCell ref="B94:B99"/>
    <mergeCell ref="C94:C99"/>
    <mergeCell ref="AG94:AG99"/>
    <mergeCell ref="AH94:AH99"/>
    <mergeCell ref="AI94:AI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Y94:AY99"/>
    <mergeCell ref="AY82:AY87"/>
    <mergeCell ref="A88:A93"/>
    <mergeCell ref="B88:B93"/>
    <mergeCell ref="C88:C93"/>
    <mergeCell ref="AG88:AG93"/>
    <mergeCell ref="AH88:AH93"/>
    <mergeCell ref="AI88:AI93"/>
    <mergeCell ref="AP82:AP87"/>
    <mergeCell ref="AQ82:AQ87"/>
    <mergeCell ref="AR82:AR87"/>
    <mergeCell ref="AS82:AS87"/>
    <mergeCell ref="AT82:AT87"/>
    <mergeCell ref="AU82:AU87"/>
    <mergeCell ref="AJ82:AJ87"/>
    <mergeCell ref="AK82:AK87"/>
    <mergeCell ref="AL82:AL87"/>
    <mergeCell ref="AM82:AM87"/>
    <mergeCell ref="AN82:AN87"/>
    <mergeCell ref="AO82:AO87"/>
    <mergeCell ref="A82:A87"/>
    <mergeCell ref="B82:B87"/>
    <mergeCell ref="AV88:AV93"/>
    <mergeCell ref="AW88:AW93"/>
    <mergeCell ref="AX88:AX93"/>
    <mergeCell ref="C82:C87"/>
    <mergeCell ref="AG82:AG87"/>
    <mergeCell ref="AH82:AH87"/>
    <mergeCell ref="AI82:AI87"/>
    <mergeCell ref="AT76:AT81"/>
    <mergeCell ref="AU76:AU81"/>
    <mergeCell ref="AV76:AV81"/>
    <mergeCell ref="AW76:AW81"/>
    <mergeCell ref="AX76:AX81"/>
    <mergeCell ref="C76:C81"/>
    <mergeCell ref="AG76:AG81"/>
    <mergeCell ref="AH76:AH81"/>
    <mergeCell ref="AI76:AI81"/>
    <mergeCell ref="AJ76:AJ81"/>
    <mergeCell ref="AK76:AK81"/>
    <mergeCell ref="AL76:AL81"/>
    <mergeCell ref="AM76:AM81"/>
    <mergeCell ref="AV82:AV87"/>
    <mergeCell ref="AW82:AW87"/>
    <mergeCell ref="AX82:AX87"/>
    <mergeCell ref="AY76:AY81"/>
    <mergeCell ref="AN76:AN81"/>
    <mergeCell ref="AO76:AO81"/>
    <mergeCell ref="AP76:AP81"/>
    <mergeCell ref="AQ76:AQ81"/>
    <mergeCell ref="AR76:AR81"/>
    <mergeCell ref="AS76:AS81"/>
    <mergeCell ref="AX70:AX75"/>
    <mergeCell ref="AY70:AY75"/>
    <mergeCell ref="AR70:AR75"/>
    <mergeCell ref="AS70:AS75"/>
    <mergeCell ref="AT70:AT75"/>
    <mergeCell ref="AU70:AU75"/>
    <mergeCell ref="AV70:AV75"/>
    <mergeCell ref="AW70:AW75"/>
    <mergeCell ref="AL70:AL75"/>
    <mergeCell ref="AM70:AM75"/>
    <mergeCell ref="AN70:AN75"/>
    <mergeCell ref="AO70:AO75"/>
    <mergeCell ref="AP70:AP75"/>
    <mergeCell ref="AQ70:AQ75"/>
    <mergeCell ref="C70:C75"/>
    <mergeCell ref="AG70:AG75"/>
    <mergeCell ref="AH70:AH75"/>
    <mergeCell ref="AI70:AI75"/>
    <mergeCell ref="AJ70:AJ75"/>
    <mergeCell ref="AK70:AK75"/>
    <mergeCell ref="AU64:AU69"/>
    <mergeCell ref="AV64:AV69"/>
    <mergeCell ref="AW64:AW69"/>
    <mergeCell ref="AX64:AX69"/>
    <mergeCell ref="AY64:AY69"/>
    <mergeCell ref="AN64:AN69"/>
    <mergeCell ref="AO64:AO69"/>
    <mergeCell ref="AP64:AP69"/>
    <mergeCell ref="AQ64:AQ69"/>
    <mergeCell ref="AR64:AR69"/>
    <mergeCell ref="AS64:AS69"/>
    <mergeCell ref="AY58:AY63"/>
    <mergeCell ref="C64:C69"/>
    <mergeCell ref="AG64:AG69"/>
    <mergeCell ref="AH64:AH69"/>
    <mergeCell ref="AI64:AI69"/>
    <mergeCell ref="AJ64:AJ69"/>
    <mergeCell ref="AK64:AK69"/>
    <mergeCell ref="AL64:AL69"/>
    <mergeCell ref="AM64:AM69"/>
    <mergeCell ref="AR58:AR63"/>
    <mergeCell ref="AS58:AS63"/>
    <mergeCell ref="AT58:AT63"/>
    <mergeCell ref="AU58:AU63"/>
    <mergeCell ref="AV58:AV63"/>
    <mergeCell ref="AW58:AW63"/>
    <mergeCell ref="AL58:AL63"/>
    <mergeCell ref="AM58:AM63"/>
    <mergeCell ref="AN58:AN63"/>
    <mergeCell ref="AO58:AO63"/>
    <mergeCell ref="AP58:AP63"/>
    <mergeCell ref="AQ58:AQ63"/>
    <mergeCell ref="C58:C63"/>
    <mergeCell ref="AG58:AG63"/>
    <mergeCell ref="AT64:AT69"/>
    <mergeCell ref="AH58:AH63"/>
    <mergeCell ref="AI58:AI63"/>
    <mergeCell ref="AJ58:AJ63"/>
    <mergeCell ref="AK58:AK63"/>
    <mergeCell ref="AT52:AT57"/>
    <mergeCell ref="AU52:AU57"/>
    <mergeCell ref="AV52:AV57"/>
    <mergeCell ref="AW52:AW57"/>
    <mergeCell ref="AX52:AX57"/>
    <mergeCell ref="AX58:AX63"/>
    <mergeCell ref="C46:C51"/>
    <mergeCell ref="AG46:AG51"/>
    <mergeCell ref="AH46:AH51"/>
    <mergeCell ref="AI46:AI51"/>
    <mergeCell ref="AJ46:AJ51"/>
    <mergeCell ref="AK46:AK51"/>
    <mergeCell ref="AY52:AY57"/>
    <mergeCell ref="AN52:AN57"/>
    <mergeCell ref="AO52:AO57"/>
    <mergeCell ref="AP52:AP57"/>
    <mergeCell ref="AQ52:AQ57"/>
    <mergeCell ref="AR52:AR57"/>
    <mergeCell ref="AS52:AS57"/>
    <mergeCell ref="AX46:AX51"/>
    <mergeCell ref="AY46:AY51"/>
    <mergeCell ref="AS46:AS51"/>
    <mergeCell ref="AT46:AT51"/>
    <mergeCell ref="AU46:AU51"/>
    <mergeCell ref="AV46:AV51"/>
    <mergeCell ref="AW46:AW51"/>
    <mergeCell ref="AV40:AV45"/>
    <mergeCell ref="AW40:AW45"/>
    <mergeCell ref="AX40:AX45"/>
    <mergeCell ref="AY40:AY45"/>
    <mergeCell ref="AN40:AN45"/>
    <mergeCell ref="AO40:AO45"/>
    <mergeCell ref="AP40:AP45"/>
    <mergeCell ref="AQ40:AQ45"/>
    <mergeCell ref="AR40:AR45"/>
    <mergeCell ref="AS40:AS45"/>
    <mergeCell ref="AX34:AX39"/>
    <mergeCell ref="AY34:AY39"/>
    <mergeCell ref="C40:C45"/>
    <mergeCell ref="AG40:AG45"/>
    <mergeCell ref="AH40:AH45"/>
    <mergeCell ref="AI40:AI45"/>
    <mergeCell ref="AJ40:AJ45"/>
    <mergeCell ref="AK40:AK45"/>
    <mergeCell ref="AL40:AL45"/>
    <mergeCell ref="AM40:AM45"/>
    <mergeCell ref="AR34:AR39"/>
    <mergeCell ref="AS34:AS39"/>
    <mergeCell ref="AT34:AT39"/>
    <mergeCell ref="AU34:AU39"/>
    <mergeCell ref="AV34:AV39"/>
    <mergeCell ref="AW34:AW39"/>
    <mergeCell ref="AL34:AL39"/>
    <mergeCell ref="AM34:AM39"/>
    <mergeCell ref="AN34:AN39"/>
    <mergeCell ref="AO34:AO39"/>
    <mergeCell ref="AP34:AP39"/>
    <mergeCell ref="AQ34:AQ39"/>
    <mergeCell ref="AT40:AT45"/>
    <mergeCell ref="AU40:AU45"/>
    <mergeCell ref="AS28:AS33"/>
    <mergeCell ref="AT28:AT33"/>
    <mergeCell ref="AU28:AU33"/>
    <mergeCell ref="AV28:AV33"/>
    <mergeCell ref="AW28:AW33"/>
    <mergeCell ref="AL28:AL33"/>
    <mergeCell ref="AM28:AM33"/>
    <mergeCell ref="AN28:AN33"/>
    <mergeCell ref="AO28:AO33"/>
    <mergeCell ref="AP28:AP33"/>
    <mergeCell ref="AQ28:AQ33"/>
    <mergeCell ref="A34:A81"/>
    <mergeCell ref="B34:B81"/>
    <mergeCell ref="C34:C39"/>
    <mergeCell ref="AG34:AG39"/>
    <mergeCell ref="AH34:AH39"/>
    <mergeCell ref="AI34:AI39"/>
    <mergeCell ref="AJ34:AJ39"/>
    <mergeCell ref="AK34:AK39"/>
    <mergeCell ref="AR28:AR33"/>
    <mergeCell ref="C52:C57"/>
    <mergeCell ref="AG52:AG57"/>
    <mergeCell ref="AH52:AH57"/>
    <mergeCell ref="AI52:AI57"/>
    <mergeCell ref="AJ52:AJ57"/>
    <mergeCell ref="AK52:AK57"/>
    <mergeCell ref="AL52:AL57"/>
    <mergeCell ref="AM52:AM57"/>
    <mergeCell ref="AR46:AR51"/>
    <mergeCell ref="AL46:AL51"/>
    <mergeCell ref="AM46:AM51"/>
    <mergeCell ref="AN46:AN51"/>
    <mergeCell ref="AO46:AO51"/>
    <mergeCell ref="AP46:AP51"/>
    <mergeCell ref="AQ46:AQ51"/>
    <mergeCell ref="AX22:AX27"/>
    <mergeCell ref="AY22:AY27"/>
    <mergeCell ref="A28:A33"/>
    <mergeCell ref="B28:B33"/>
    <mergeCell ref="C28:C33"/>
    <mergeCell ref="AG28:AG33"/>
    <mergeCell ref="AH28:AH33"/>
    <mergeCell ref="AI28:AI33"/>
    <mergeCell ref="AJ28:AJ33"/>
    <mergeCell ref="AK28:AK33"/>
    <mergeCell ref="AR22:AR27"/>
    <mergeCell ref="AS22:AS27"/>
    <mergeCell ref="AT22:AT27"/>
    <mergeCell ref="AU22:AU27"/>
    <mergeCell ref="AV22:AV27"/>
    <mergeCell ref="AW22:AW27"/>
    <mergeCell ref="AL22:AL27"/>
    <mergeCell ref="AM22:AM27"/>
    <mergeCell ref="AN22:AN27"/>
    <mergeCell ref="AO22:AO27"/>
    <mergeCell ref="AP22:AP27"/>
    <mergeCell ref="AQ22:AQ27"/>
    <mergeCell ref="AX28:AX33"/>
    <mergeCell ref="AY28:AY33"/>
    <mergeCell ref="AT16:AT21"/>
    <mergeCell ref="AU16:AU21"/>
    <mergeCell ref="AV16:AV21"/>
    <mergeCell ref="AW16:AW21"/>
    <mergeCell ref="AL16:AL21"/>
    <mergeCell ref="AM16:AM21"/>
    <mergeCell ref="AN16:AN21"/>
    <mergeCell ref="AO16:AO21"/>
    <mergeCell ref="AP16:AP21"/>
    <mergeCell ref="AQ16:AQ21"/>
    <mergeCell ref="A22:A27"/>
    <mergeCell ref="B22:B27"/>
    <mergeCell ref="C22:C27"/>
    <mergeCell ref="AG22:AG27"/>
    <mergeCell ref="AH22:AH27"/>
    <mergeCell ref="AI22:AI27"/>
    <mergeCell ref="AJ22:AJ27"/>
    <mergeCell ref="AK22:AK27"/>
    <mergeCell ref="AR16:AR21"/>
    <mergeCell ref="AY10:AY15"/>
    <mergeCell ref="A16:A21"/>
    <mergeCell ref="B16:B21"/>
    <mergeCell ref="C16:C21"/>
    <mergeCell ref="AG16:AG21"/>
    <mergeCell ref="AH16:AH21"/>
    <mergeCell ref="AI16:AI21"/>
    <mergeCell ref="AJ16:AJ21"/>
    <mergeCell ref="AK16:AK21"/>
    <mergeCell ref="AR10:AR15"/>
    <mergeCell ref="AS10:AS15"/>
    <mergeCell ref="AT10:AT15"/>
    <mergeCell ref="AU10:AU15"/>
    <mergeCell ref="AV10:AV15"/>
    <mergeCell ref="AW10:AW15"/>
    <mergeCell ref="AL10:AL15"/>
    <mergeCell ref="AM10:AM15"/>
    <mergeCell ref="AN10:AN15"/>
    <mergeCell ref="AO10:AO15"/>
    <mergeCell ref="AP10:AP15"/>
    <mergeCell ref="AQ10:AQ15"/>
    <mergeCell ref="AX16:AX21"/>
    <mergeCell ref="AY16:AY21"/>
    <mergeCell ref="AS16:AS21"/>
    <mergeCell ref="A10:A15"/>
    <mergeCell ref="B10:B15"/>
    <mergeCell ref="C10:C15"/>
    <mergeCell ref="AG10:AG15"/>
    <mergeCell ref="AH10:AH15"/>
    <mergeCell ref="AI10:AI15"/>
    <mergeCell ref="AJ10:AJ15"/>
    <mergeCell ref="AK10:AK15"/>
    <mergeCell ref="AX10:AX15"/>
    <mergeCell ref="A6:D6"/>
    <mergeCell ref="E6:AY6"/>
    <mergeCell ref="A7:AY7"/>
    <mergeCell ref="A8:F8"/>
    <mergeCell ref="G8:S8"/>
    <mergeCell ref="T8:AF8"/>
    <mergeCell ref="AG8:AK8"/>
    <mergeCell ref="AL8:AM8"/>
    <mergeCell ref="AO8:AX8"/>
    <mergeCell ref="AY8:AY9"/>
    <mergeCell ref="A1:D3"/>
    <mergeCell ref="E1:AY1"/>
    <mergeCell ref="E2:AY2"/>
    <mergeCell ref="E3:AD3"/>
    <mergeCell ref="AE3:AY3"/>
    <mergeCell ref="A4:D4"/>
    <mergeCell ref="E4:AY4"/>
    <mergeCell ref="A5:D5"/>
    <mergeCell ref="E5:AY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352D-FE2C-4FB2-BE03-2DE858E7F01C}">
  <dimension ref="A1:AX614"/>
  <sheetViews>
    <sheetView zoomScale="57" zoomScaleNormal="57" workbookViewId="0">
      <selection activeCell="E15" sqref="E15"/>
    </sheetView>
  </sheetViews>
  <sheetFormatPr baseColWidth="10" defaultRowHeight="15" outlineLevelRow="2" x14ac:dyDescent="0.25"/>
  <cols>
    <col min="1" max="1" width="16.42578125" customWidth="1"/>
    <col min="2" max="2" width="36.7109375" customWidth="1"/>
    <col min="3" max="4" width="19.140625" customWidth="1"/>
    <col min="5" max="5" width="28.28515625" customWidth="1"/>
    <col min="6" max="6" width="20.28515625" customWidth="1"/>
    <col min="7" max="7" width="19.42578125" customWidth="1"/>
    <col min="8" max="8" width="20.28515625" customWidth="1"/>
    <col min="9" max="9" width="18.42578125" customWidth="1"/>
    <col min="10" max="10" width="15.140625" customWidth="1"/>
    <col min="11" max="11" width="14.28515625" customWidth="1"/>
    <col min="12" max="12" width="14.42578125" customWidth="1"/>
    <col min="13" max="13" width="14.140625" customWidth="1"/>
    <col min="14" max="14" width="34.28515625" customWidth="1"/>
  </cols>
  <sheetData>
    <row r="1" spans="1:14" ht="29.25" customHeight="1" x14ac:dyDescent="0.25">
      <c r="A1" s="908"/>
      <c r="B1" s="908"/>
      <c r="C1" s="909" t="s">
        <v>39</v>
      </c>
      <c r="D1" s="909"/>
      <c r="E1" s="909"/>
      <c r="F1" s="909"/>
      <c r="G1" s="909"/>
      <c r="H1" s="909"/>
      <c r="I1" s="909"/>
      <c r="J1" s="909"/>
      <c r="K1" s="909"/>
      <c r="L1" s="909"/>
      <c r="M1" s="909"/>
      <c r="N1" s="909"/>
    </row>
    <row r="2" spans="1:14" ht="33.75" customHeight="1" x14ac:dyDescent="0.25">
      <c r="A2" s="908"/>
      <c r="B2" s="908"/>
      <c r="C2" s="910" t="s">
        <v>127</v>
      </c>
      <c r="D2" s="911"/>
      <c r="E2" s="911"/>
      <c r="F2" s="911"/>
      <c r="G2" s="911"/>
      <c r="H2" s="911"/>
      <c r="I2" s="911"/>
      <c r="J2" s="911"/>
      <c r="K2" s="911"/>
      <c r="L2" s="911"/>
      <c r="M2" s="911"/>
      <c r="N2" s="911"/>
    </row>
    <row r="3" spans="1:14" ht="26.25" x14ac:dyDescent="0.4">
      <c r="A3" s="908"/>
      <c r="B3" s="908"/>
      <c r="C3" s="912" t="s">
        <v>40</v>
      </c>
      <c r="D3" s="912"/>
      <c r="E3" s="912"/>
      <c r="F3" s="912"/>
      <c r="G3" s="912"/>
      <c r="H3" s="913" t="s">
        <v>350</v>
      </c>
      <c r="I3" s="913"/>
      <c r="J3" s="913"/>
      <c r="K3" s="913"/>
      <c r="L3" s="913"/>
      <c r="M3" s="913"/>
      <c r="N3" s="913"/>
    </row>
    <row r="4" spans="1:14" ht="26.25" customHeight="1" x14ac:dyDescent="0.25">
      <c r="A4" s="906" t="s">
        <v>0</v>
      </c>
      <c r="B4" s="906"/>
      <c r="C4" s="907" t="s">
        <v>559</v>
      </c>
      <c r="D4" s="907"/>
      <c r="E4" s="907"/>
      <c r="F4" s="907"/>
      <c r="G4" s="907"/>
      <c r="H4" s="907"/>
      <c r="I4" s="907"/>
      <c r="J4" s="907"/>
      <c r="K4" s="907"/>
      <c r="L4" s="907"/>
      <c r="M4" s="907"/>
      <c r="N4" s="907"/>
    </row>
    <row r="5" spans="1:14" ht="29.25" customHeight="1" x14ac:dyDescent="0.25">
      <c r="A5" s="906" t="s">
        <v>2</v>
      </c>
      <c r="B5" s="906"/>
      <c r="C5" s="907" t="s">
        <v>560</v>
      </c>
      <c r="D5" s="907"/>
      <c r="E5" s="907"/>
      <c r="F5" s="907"/>
      <c r="G5" s="907"/>
      <c r="H5" s="907"/>
      <c r="I5" s="907"/>
      <c r="J5" s="907"/>
      <c r="K5" s="907"/>
      <c r="L5" s="907"/>
      <c r="M5" s="907"/>
      <c r="N5" s="907"/>
    </row>
    <row r="7" spans="1:14" s="96" customFormat="1" ht="27" customHeight="1" x14ac:dyDescent="0.25">
      <c r="A7" s="903" t="s">
        <v>128</v>
      </c>
      <c r="B7" s="903"/>
      <c r="C7" s="903"/>
      <c r="D7" s="903"/>
      <c r="E7" s="903"/>
      <c r="F7" s="903"/>
      <c r="G7" s="903"/>
      <c r="H7" s="903"/>
      <c r="I7" s="903"/>
    </row>
    <row r="8" spans="1:14" s="96" customFormat="1" ht="27" customHeight="1" x14ac:dyDescent="0.25">
      <c r="A8" s="595" t="s">
        <v>49</v>
      </c>
      <c r="B8" s="595" t="s">
        <v>561</v>
      </c>
      <c r="C8" s="54" t="s">
        <v>129</v>
      </c>
      <c r="D8" s="596" t="s">
        <v>130</v>
      </c>
      <c r="E8" s="596" t="s">
        <v>131</v>
      </c>
      <c r="F8" s="596" t="s">
        <v>132</v>
      </c>
      <c r="G8" s="596" t="s">
        <v>133</v>
      </c>
      <c r="H8" s="596" t="s">
        <v>134</v>
      </c>
      <c r="I8" s="596" t="s">
        <v>135</v>
      </c>
    </row>
    <row r="9" spans="1:14" s="600" customFormat="1" ht="49.9" customHeight="1" outlineLevel="1" x14ac:dyDescent="0.25">
      <c r="A9" s="896" t="s">
        <v>136</v>
      </c>
      <c r="B9" s="597" t="s">
        <v>562</v>
      </c>
      <c r="C9" s="597" t="s">
        <v>216</v>
      </c>
      <c r="D9" s="598">
        <v>450000000</v>
      </c>
      <c r="E9" s="598">
        <v>450000000</v>
      </c>
      <c r="F9" s="598">
        <v>0</v>
      </c>
      <c r="G9" s="598">
        <v>0</v>
      </c>
      <c r="H9" s="598">
        <v>0</v>
      </c>
      <c r="I9" s="599">
        <v>0</v>
      </c>
    </row>
    <row r="10" spans="1:14" s="600" customFormat="1" ht="49.9" customHeight="1" outlineLevel="1" x14ac:dyDescent="0.25">
      <c r="A10" s="897"/>
      <c r="B10" s="896" t="s">
        <v>563</v>
      </c>
      <c r="C10" s="597" t="s">
        <v>216</v>
      </c>
      <c r="D10" s="598">
        <v>550985000</v>
      </c>
      <c r="E10" s="598">
        <v>550985000</v>
      </c>
      <c r="F10" s="598">
        <v>0</v>
      </c>
      <c r="G10" s="598">
        <v>0</v>
      </c>
      <c r="H10" s="598">
        <v>0</v>
      </c>
      <c r="I10" s="599">
        <v>0</v>
      </c>
    </row>
    <row r="11" spans="1:14" s="600" customFormat="1" ht="49.9" customHeight="1" outlineLevel="1" x14ac:dyDescent="0.25">
      <c r="A11" s="897"/>
      <c r="B11" s="898"/>
      <c r="C11" s="597" t="s">
        <v>564</v>
      </c>
      <c r="D11" s="598">
        <v>62855322</v>
      </c>
      <c r="E11" s="598">
        <v>62855322</v>
      </c>
      <c r="F11" s="598">
        <v>0</v>
      </c>
      <c r="G11" s="598">
        <v>0</v>
      </c>
      <c r="H11" s="598">
        <v>0</v>
      </c>
      <c r="I11" s="599">
        <v>0</v>
      </c>
    </row>
    <row r="12" spans="1:14" s="600" customFormat="1" ht="49.9" customHeight="1" outlineLevel="1" x14ac:dyDescent="0.25">
      <c r="A12" s="897"/>
      <c r="B12" s="597" t="s">
        <v>565</v>
      </c>
      <c r="C12" s="597" t="s">
        <v>566</v>
      </c>
      <c r="D12" s="598">
        <v>658814131</v>
      </c>
      <c r="E12" s="598">
        <v>658814131</v>
      </c>
      <c r="F12" s="598">
        <v>0</v>
      </c>
      <c r="G12" s="598">
        <v>0</v>
      </c>
      <c r="H12" s="598">
        <v>0</v>
      </c>
      <c r="I12" s="599">
        <v>0</v>
      </c>
    </row>
    <row r="13" spans="1:14" s="600" customFormat="1" ht="49.9" customHeight="1" outlineLevel="1" x14ac:dyDescent="0.25">
      <c r="A13" s="897"/>
      <c r="B13" s="896" t="s">
        <v>567</v>
      </c>
      <c r="C13" s="597" t="s">
        <v>216</v>
      </c>
      <c r="D13" s="598">
        <v>601054131</v>
      </c>
      <c r="E13" s="598">
        <v>601054131</v>
      </c>
      <c r="F13" s="598">
        <v>0</v>
      </c>
      <c r="G13" s="598">
        <v>0</v>
      </c>
      <c r="H13" s="598">
        <v>0</v>
      </c>
      <c r="I13" s="599">
        <v>0</v>
      </c>
    </row>
    <row r="14" spans="1:14" s="600" customFormat="1" ht="49.9" customHeight="1" outlineLevel="1" x14ac:dyDescent="0.25">
      <c r="A14" s="897"/>
      <c r="B14" s="898"/>
      <c r="C14" s="597" t="s">
        <v>568</v>
      </c>
      <c r="D14" s="598">
        <v>20000000</v>
      </c>
      <c r="E14" s="598">
        <v>20000000</v>
      </c>
      <c r="F14" s="598">
        <v>0</v>
      </c>
      <c r="G14" s="598">
        <v>0</v>
      </c>
      <c r="H14" s="598">
        <v>0</v>
      </c>
      <c r="I14" s="599">
        <v>0</v>
      </c>
    </row>
    <row r="15" spans="1:14" s="600" customFormat="1" ht="49.9" customHeight="1" outlineLevel="1" x14ac:dyDescent="0.25">
      <c r="A15" s="897"/>
      <c r="B15" s="896" t="s">
        <v>569</v>
      </c>
      <c r="C15" s="597" t="s">
        <v>216</v>
      </c>
      <c r="D15" s="598">
        <v>1093590131</v>
      </c>
      <c r="E15" s="598">
        <v>1093590131</v>
      </c>
      <c r="F15" s="598">
        <v>0</v>
      </c>
      <c r="G15" s="598">
        <v>0</v>
      </c>
      <c r="H15" s="598">
        <v>0</v>
      </c>
      <c r="I15" s="599">
        <v>0</v>
      </c>
    </row>
    <row r="16" spans="1:14" s="600" customFormat="1" ht="49.9" customHeight="1" outlineLevel="1" x14ac:dyDescent="0.25">
      <c r="A16" s="897"/>
      <c r="B16" s="898"/>
      <c r="C16" s="597" t="s">
        <v>566</v>
      </c>
      <c r="D16" s="598">
        <v>319199869</v>
      </c>
      <c r="E16" s="598">
        <v>319199869</v>
      </c>
      <c r="F16" s="598">
        <v>0</v>
      </c>
      <c r="G16" s="598">
        <v>0</v>
      </c>
      <c r="H16" s="598">
        <v>0</v>
      </c>
      <c r="I16" s="599">
        <v>0</v>
      </c>
    </row>
    <row r="17" spans="1:9" s="600" customFormat="1" ht="49.9" customHeight="1" outlineLevel="1" x14ac:dyDescent="0.25">
      <c r="A17" s="897"/>
      <c r="B17" s="601" t="s">
        <v>570</v>
      </c>
      <c r="C17" s="597" t="s">
        <v>216</v>
      </c>
      <c r="D17" s="598">
        <v>403410000</v>
      </c>
      <c r="E17" s="598">
        <v>403410000</v>
      </c>
      <c r="F17" s="598">
        <v>0</v>
      </c>
      <c r="G17" s="598">
        <v>0</v>
      </c>
      <c r="H17" s="598">
        <v>0</v>
      </c>
      <c r="I17" s="599">
        <v>0</v>
      </c>
    </row>
    <row r="18" spans="1:9" s="600" customFormat="1" ht="49.9" customHeight="1" outlineLevel="1" x14ac:dyDescent="0.25">
      <c r="A18" s="898"/>
      <c r="B18" s="597" t="s">
        <v>571</v>
      </c>
      <c r="C18" s="597" t="s">
        <v>216</v>
      </c>
      <c r="D18" s="598">
        <v>775545944</v>
      </c>
      <c r="E18" s="598">
        <v>775545944</v>
      </c>
      <c r="F18" s="598">
        <v>0</v>
      </c>
      <c r="G18" s="598">
        <v>0</v>
      </c>
      <c r="H18" s="598">
        <v>0</v>
      </c>
      <c r="I18" s="599">
        <v>0</v>
      </c>
    </row>
    <row r="19" spans="1:9" s="600" customFormat="1" ht="49.9" customHeight="1" outlineLevel="1" collapsed="1" x14ac:dyDescent="0.25">
      <c r="A19" s="891" t="s">
        <v>137</v>
      </c>
      <c r="B19" s="597" t="s">
        <v>562</v>
      </c>
      <c r="C19" s="597" t="s">
        <v>216</v>
      </c>
      <c r="D19" s="598">
        <v>450000000</v>
      </c>
      <c r="E19" s="598">
        <v>450000000</v>
      </c>
      <c r="F19" s="598">
        <v>0</v>
      </c>
      <c r="G19" s="598">
        <v>0</v>
      </c>
      <c r="H19" s="598">
        <v>0</v>
      </c>
      <c r="I19" s="599">
        <v>0</v>
      </c>
    </row>
    <row r="20" spans="1:9" s="600" customFormat="1" ht="49.9" customHeight="1" outlineLevel="1" x14ac:dyDescent="0.25">
      <c r="A20" s="889"/>
      <c r="B20" s="896" t="s">
        <v>563</v>
      </c>
      <c r="C20" s="597" t="s">
        <v>216</v>
      </c>
      <c r="D20" s="598">
        <v>550985000</v>
      </c>
      <c r="E20" s="598">
        <v>550985000</v>
      </c>
      <c r="F20" s="598">
        <v>0</v>
      </c>
      <c r="G20" s="598">
        <v>0</v>
      </c>
      <c r="H20" s="598">
        <v>0</v>
      </c>
      <c r="I20" s="599">
        <v>0</v>
      </c>
    </row>
    <row r="21" spans="1:9" s="600" customFormat="1" ht="49.9" customHeight="1" outlineLevel="1" x14ac:dyDescent="0.25">
      <c r="A21" s="889"/>
      <c r="B21" s="898"/>
      <c r="C21" s="597" t="s">
        <v>564</v>
      </c>
      <c r="D21" s="598">
        <v>62855322</v>
      </c>
      <c r="E21" s="598">
        <v>62855322</v>
      </c>
      <c r="F21" s="598">
        <v>0</v>
      </c>
      <c r="G21" s="598">
        <v>0</v>
      </c>
      <c r="H21" s="598">
        <v>0</v>
      </c>
      <c r="I21" s="599">
        <v>0</v>
      </c>
    </row>
    <row r="22" spans="1:9" s="600" customFormat="1" ht="49.9" customHeight="1" outlineLevel="1" x14ac:dyDescent="0.25">
      <c r="A22" s="889"/>
      <c r="B22" s="597" t="s">
        <v>565</v>
      </c>
      <c r="C22" s="597" t="s">
        <v>566</v>
      </c>
      <c r="D22" s="598">
        <v>658814131</v>
      </c>
      <c r="E22" s="598">
        <v>658814131</v>
      </c>
      <c r="F22" s="598">
        <v>0</v>
      </c>
      <c r="G22" s="598">
        <v>0</v>
      </c>
      <c r="H22" s="598">
        <v>0</v>
      </c>
      <c r="I22" s="599">
        <v>0</v>
      </c>
    </row>
    <row r="23" spans="1:9" s="600" customFormat="1" ht="49.9" customHeight="1" outlineLevel="1" x14ac:dyDescent="0.25">
      <c r="A23" s="889"/>
      <c r="B23" s="896" t="s">
        <v>567</v>
      </c>
      <c r="C23" s="597" t="s">
        <v>216</v>
      </c>
      <c r="D23" s="598">
        <v>601054131</v>
      </c>
      <c r="E23" s="598">
        <v>601054131</v>
      </c>
      <c r="F23" s="598">
        <v>0</v>
      </c>
      <c r="G23" s="598">
        <v>0</v>
      </c>
      <c r="H23" s="598">
        <v>0</v>
      </c>
      <c r="I23" s="599">
        <v>0</v>
      </c>
    </row>
    <row r="24" spans="1:9" s="600" customFormat="1" ht="49.9" customHeight="1" outlineLevel="1" x14ac:dyDescent="0.25">
      <c r="A24" s="889"/>
      <c r="B24" s="898"/>
      <c r="C24" s="597" t="s">
        <v>568</v>
      </c>
      <c r="D24" s="598">
        <v>20000000</v>
      </c>
      <c r="E24" s="598">
        <v>20000000</v>
      </c>
      <c r="F24" s="598">
        <v>0</v>
      </c>
      <c r="G24" s="598">
        <v>0</v>
      </c>
      <c r="H24" s="598">
        <v>0</v>
      </c>
      <c r="I24" s="599">
        <v>0</v>
      </c>
    </row>
    <row r="25" spans="1:9" s="600" customFormat="1" ht="49.9" customHeight="1" outlineLevel="1" x14ac:dyDescent="0.25">
      <c r="A25" s="889"/>
      <c r="B25" s="896" t="s">
        <v>569</v>
      </c>
      <c r="C25" s="597" t="s">
        <v>216</v>
      </c>
      <c r="D25" s="598">
        <v>1093590131</v>
      </c>
      <c r="E25" s="598">
        <v>1093590131</v>
      </c>
      <c r="F25" s="598">
        <v>49763000</v>
      </c>
      <c r="G25" s="598">
        <v>0</v>
      </c>
      <c r="H25" s="598">
        <v>0</v>
      </c>
      <c r="I25" s="599">
        <v>0</v>
      </c>
    </row>
    <row r="26" spans="1:9" s="600" customFormat="1" ht="49.9" customHeight="1" outlineLevel="1" x14ac:dyDescent="0.25">
      <c r="A26" s="889"/>
      <c r="B26" s="898"/>
      <c r="C26" s="597" t="s">
        <v>566</v>
      </c>
      <c r="D26" s="598">
        <v>319199869</v>
      </c>
      <c r="E26" s="598">
        <v>319199869</v>
      </c>
      <c r="F26" s="598">
        <v>30213000</v>
      </c>
      <c r="G26" s="598">
        <v>0</v>
      </c>
      <c r="H26" s="598">
        <v>0</v>
      </c>
      <c r="I26" s="599">
        <v>0</v>
      </c>
    </row>
    <row r="27" spans="1:9" s="600" customFormat="1" ht="49.9" customHeight="1" outlineLevel="1" x14ac:dyDescent="0.25">
      <c r="A27" s="889"/>
      <c r="B27" s="601" t="s">
        <v>570</v>
      </c>
      <c r="C27" s="597" t="s">
        <v>216</v>
      </c>
      <c r="D27" s="598">
        <v>403410000</v>
      </c>
      <c r="E27" s="598">
        <v>403410000</v>
      </c>
      <c r="F27" s="598">
        <v>10000000</v>
      </c>
      <c r="G27" s="598">
        <v>0</v>
      </c>
      <c r="H27" s="598">
        <v>0</v>
      </c>
      <c r="I27" s="599">
        <v>0</v>
      </c>
    </row>
    <row r="28" spans="1:9" s="600" customFormat="1" ht="49.9" customHeight="1" outlineLevel="1" x14ac:dyDescent="0.25">
      <c r="A28" s="890"/>
      <c r="B28" s="597" t="s">
        <v>571</v>
      </c>
      <c r="C28" s="597" t="s">
        <v>216</v>
      </c>
      <c r="D28" s="598">
        <v>775545944</v>
      </c>
      <c r="E28" s="598">
        <v>775545944</v>
      </c>
      <c r="F28" s="598">
        <v>56548312</v>
      </c>
      <c r="G28" s="598">
        <v>0</v>
      </c>
      <c r="H28" s="598">
        <v>0</v>
      </c>
      <c r="I28" s="599">
        <v>0</v>
      </c>
    </row>
    <row r="29" spans="1:9" s="600" customFormat="1" ht="49.9" customHeight="1" outlineLevel="1" collapsed="1" x14ac:dyDescent="0.25">
      <c r="A29" s="891" t="s">
        <v>138</v>
      </c>
      <c r="B29" s="597" t="s">
        <v>562</v>
      </c>
      <c r="C29" s="597" t="s">
        <v>216</v>
      </c>
      <c r="D29" s="598">
        <v>450000000</v>
      </c>
      <c r="E29" s="598">
        <v>450000000</v>
      </c>
      <c r="F29" s="598">
        <v>373112000</v>
      </c>
      <c r="G29" s="598">
        <v>0</v>
      </c>
      <c r="H29" s="598">
        <v>0</v>
      </c>
      <c r="I29" s="599">
        <v>0</v>
      </c>
    </row>
    <row r="30" spans="1:9" s="600" customFormat="1" ht="49.9" customHeight="1" outlineLevel="1" x14ac:dyDescent="0.25">
      <c r="A30" s="889"/>
      <c r="B30" s="896" t="s">
        <v>563</v>
      </c>
      <c r="C30" s="597" t="s">
        <v>216</v>
      </c>
      <c r="D30" s="598">
        <v>550985000</v>
      </c>
      <c r="E30" s="598">
        <v>550985000</v>
      </c>
      <c r="F30" s="598">
        <v>465500000</v>
      </c>
      <c r="G30" s="598">
        <v>0</v>
      </c>
      <c r="H30" s="598">
        <v>0</v>
      </c>
      <c r="I30" s="599">
        <v>0</v>
      </c>
    </row>
    <row r="31" spans="1:9" s="600" customFormat="1" ht="49.9" customHeight="1" outlineLevel="1" x14ac:dyDescent="0.25">
      <c r="A31" s="889"/>
      <c r="B31" s="898"/>
      <c r="C31" s="597" t="s">
        <v>564</v>
      </c>
      <c r="D31" s="598">
        <v>62855322</v>
      </c>
      <c r="E31" s="598">
        <v>62855322</v>
      </c>
      <c r="F31" s="598">
        <v>0</v>
      </c>
      <c r="G31" s="598">
        <v>0</v>
      </c>
      <c r="H31" s="598">
        <v>0</v>
      </c>
      <c r="I31" s="599">
        <v>0</v>
      </c>
    </row>
    <row r="32" spans="1:9" s="600" customFormat="1" ht="49.9" customHeight="1" outlineLevel="1" x14ac:dyDescent="0.25">
      <c r="A32" s="889"/>
      <c r="B32" s="597" t="s">
        <v>565</v>
      </c>
      <c r="C32" s="597" t="s">
        <v>566</v>
      </c>
      <c r="D32" s="598">
        <v>658814131</v>
      </c>
      <c r="E32" s="598">
        <v>658814131</v>
      </c>
      <c r="F32" s="598">
        <v>451588000</v>
      </c>
      <c r="G32" s="598">
        <v>0</v>
      </c>
      <c r="H32" s="598">
        <v>0</v>
      </c>
      <c r="I32" s="599">
        <v>0</v>
      </c>
    </row>
    <row r="33" spans="1:9" s="600" customFormat="1" ht="49.9" customHeight="1" outlineLevel="1" x14ac:dyDescent="0.25">
      <c r="A33" s="889"/>
      <c r="B33" s="896" t="s">
        <v>567</v>
      </c>
      <c r="C33" s="597" t="s">
        <v>216</v>
      </c>
      <c r="D33" s="598">
        <v>601054131</v>
      </c>
      <c r="E33" s="598">
        <v>601054131</v>
      </c>
      <c r="F33" s="598">
        <v>433428000</v>
      </c>
      <c r="G33" s="598">
        <v>0</v>
      </c>
      <c r="H33" s="598">
        <v>0</v>
      </c>
      <c r="I33" s="599">
        <v>0</v>
      </c>
    </row>
    <row r="34" spans="1:9" s="600" customFormat="1" ht="49.9" customHeight="1" outlineLevel="1" x14ac:dyDescent="0.25">
      <c r="A34" s="889"/>
      <c r="B34" s="898"/>
      <c r="C34" s="597" t="s">
        <v>568</v>
      </c>
      <c r="D34" s="598">
        <v>20000000</v>
      </c>
      <c r="E34" s="598">
        <v>20000000</v>
      </c>
      <c r="F34" s="598">
        <v>0</v>
      </c>
      <c r="G34" s="598">
        <v>0</v>
      </c>
      <c r="H34" s="598">
        <v>0</v>
      </c>
      <c r="I34" s="599">
        <v>0</v>
      </c>
    </row>
    <row r="35" spans="1:9" s="600" customFormat="1" ht="49.9" customHeight="1" outlineLevel="1" x14ac:dyDescent="0.25">
      <c r="A35" s="889"/>
      <c r="B35" s="896" t="s">
        <v>569</v>
      </c>
      <c r="C35" s="597" t="s">
        <v>216</v>
      </c>
      <c r="D35" s="598">
        <v>1093590131</v>
      </c>
      <c r="E35" s="598">
        <v>1093590131</v>
      </c>
      <c r="F35" s="598">
        <v>548275984</v>
      </c>
      <c r="G35" s="598">
        <v>0</v>
      </c>
      <c r="H35" s="598">
        <v>0</v>
      </c>
      <c r="I35" s="599">
        <v>0</v>
      </c>
    </row>
    <row r="36" spans="1:9" s="600" customFormat="1" ht="49.9" customHeight="1" outlineLevel="1" x14ac:dyDescent="0.25">
      <c r="A36" s="889"/>
      <c r="B36" s="898"/>
      <c r="C36" s="597" t="s">
        <v>566</v>
      </c>
      <c r="D36" s="598">
        <v>319199869</v>
      </c>
      <c r="E36" s="598">
        <v>319199869</v>
      </c>
      <c r="F36" s="598">
        <v>286832000</v>
      </c>
      <c r="G36" s="598">
        <v>0</v>
      </c>
      <c r="H36" s="598">
        <v>0</v>
      </c>
      <c r="I36" s="599">
        <v>0</v>
      </c>
    </row>
    <row r="37" spans="1:9" s="600" customFormat="1" ht="49.9" customHeight="1" outlineLevel="1" x14ac:dyDescent="0.25">
      <c r="A37" s="889"/>
      <c r="B37" s="601" t="s">
        <v>570</v>
      </c>
      <c r="C37" s="597" t="s">
        <v>216</v>
      </c>
      <c r="D37" s="598">
        <v>403410000</v>
      </c>
      <c r="E37" s="598">
        <v>403410000</v>
      </c>
      <c r="F37" s="598">
        <v>92564000</v>
      </c>
      <c r="G37" s="598">
        <v>0</v>
      </c>
      <c r="H37" s="598">
        <v>0</v>
      </c>
      <c r="I37" s="599">
        <v>0</v>
      </c>
    </row>
    <row r="38" spans="1:9" s="600" customFormat="1" ht="49.9" customHeight="1" outlineLevel="1" x14ac:dyDescent="0.25">
      <c r="A38" s="890"/>
      <c r="B38" s="597" t="s">
        <v>571</v>
      </c>
      <c r="C38" s="597" t="s">
        <v>216</v>
      </c>
      <c r="D38" s="598">
        <v>775545944</v>
      </c>
      <c r="E38" s="598">
        <v>775545944</v>
      </c>
      <c r="F38" s="598">
        <v>404965456</v>
      </c>
      <c r="G38" s="598">
        <v>11541544</v>
      </c>
      <c r="H38" s="598">
        <v>11541544</v>
      </c>
      <c r="I38" s="602">
        <f>H38/F38</f>
        <v>2.8500070386250426E-2</v>
      </c>
    </row>
    <row r="39" spans="1:9" s="600" customFormat="1" ht="49.9" customHeight="1" outlineLevel="1" x14ac:dyDescent="0.25">
      <c r="A39" s="891" t="s">
        <v>139</v>
      </c>
      <c r="B39" s="597" t="s">
        <v>562</v>
      </c>
      <c r="C39" s="597" t="s">
        <v>216</v>
      </c>
      <c r="D39" s="598">
        <v>450000000</v>
      </c>
      <c r="E39" s="598">
        <v>450000000</v>
      </c>
      <c r="F39" s="598">
        <v>373112000</v>
      </c>
      <c r="G39" s="598">
        <v>26409699</v>
      </c>
      <c r="H39" s="598">
        <v>26409699</v>
      </c>
      <c r="I39" s="602">
        <f>H39/F39</f>
        <v>7.0782228928579091E-2</v>
      </c>
    </row>
    <row r="40" spans="1:9" s="600" customFormat="1" ht="49.9" customHeight="1" outlineLevel="1" x14ac:dyDescent="0.25">
      <c r="A40" s="889"/>
      <c r="B40" s="896" t="s">
        <v>563</v>
      </c>
      <c r="C40" s="597" t="s">
        <v>216</v>
      </c>
      <c r="D40" s="598">
        <v>550985000</v>
      </c>
      <c r="E40" s="598">
        <v>550985000</v>
      </c>
      <c r="F40" s="598">
        <v>465500000</v>
      </c>
      <c r="G40" s="598">
        <v>35398499</v>
      </c>
      <c r="H40" s="598">
        <v>35398499</v>
      </c>
      <c r="I40" s="602">
        <f>H40/F40</f>
        <v>7.60440365198711E-2</v>
      </c>
    </row>
    <row r="41" spans="1:9" s="600" customFormat="1" ht="49.9" customHeight="1" outlineLevel="1" x14ac:dyDescent="0.25">
      <c r="A41" s="889"/>
      <c r="B41" s="898"/>
      <c r="C41" s="597" t="s">
        <v>564</v>
      </c>
      <c r="D41" s="598">
        <v>62855322</v>
      </c>
      <c r="E41" s="598">
        <v>62855322</v>
      </c>
      <c r="F41" s="598">
        <v>0</v>
      </c>
      <c r="G41" s="598">
        <v>0</v>
      </c>
      <c r="H41" s="598">
        <v>0</v>
      </c>
      <c r="I41" s="599">
        <v>0</v>
      </c>
    </row>
    <row r="42" spans="1:9" s="600" customFormat="1" ht="49.9" customHeight="1" outlineLevel="1" x14ac:dyDescent="0.25">
      <c r="A42" s="889"/>
      <c r="B42" s="597" t="s">
        <v>565</v>
      </c>
      <c r="C42" s="597" t="s">
        <v>566</v>
      </c>
      <c r="D42" s="598">
        <v>658814131</v>
      </c>
      <c r="E42" s="598">
        <v>658814131</v>
      </c>
      <c r="F42" s="598">
        <v>472900000</v>
      </c>
      <c r="G42" s="598">
        <v>38096468</v>
      </c>
      <c r="H42" s="598">
        <v>38096468</v>
      </c>
      <c r="I42" s="602">
        <f>H42/F42</f>
        <v>8.0559247198139144E-2</v>
      </c>
    </row>
    <row r="43" spans="1:9" s="600" customFormat="1" ht="49.9" customHeight="1" outlineLevel="1" x14ac:dyDescent="0.25">
      <c r="A43" s="889"/>
      <c r="B43" s="896" t="s">
        <v>567</v>
      </c>
      <c r="C43" s="597" t="s">
        <v>216</v>
      </c>
      <c r="D43" s="598">
        <v>601054131</v>
      </c>
      <c r="E43" s="598">
        <v>601054131</v>
      </c>
      <c r="F43" s="598">
        <v>433428000</v>
      </c>
      <c r="G43" s="598">
        <v>45142900</v>
      </c>
      <c r="H43" s="598">
        <v>45142900</v>
      </c>
      <c r="I43" s="602">
        <f>H43/F43</f>
        <v>0.10415316961525328</v>
      </c>
    </row>
    <row r="44" spans="1:9" s="600" customFormat="1" ht="49.9" customHeight="1" outlineLevel="1" x14ac:dyDescent="0.25">
      <c r="A44" s="889"/>
      <c r="B44" s="898"/>
      <c r="C44" s="597" t="s">
        <v>568</v>
      </c>
      <c r="D44" s="598">
        <v>20000000</v>
      </c>
      <c r="E44" s="598">
        <v>20000000</v>
      </c>
      <c r="F44" s="598">
        <v>0</v>
      </c>
      <c r="G44" s="598">
        <v>0</v>
      </c>
      <c r="H44" s="598">
        <v>0</v>
      </c>
      <c r="I44" s="599">
        <v>0</v>
      </c>
    </row>
    <row r="45" spans="1:9" s="600" customFormat="1" ht="49.9" customHeight="1" outlineLevel="1" x14ac:dyDescent="0.25">
      <c r="A45" s="889"/>
      <c r="B45" s="896" t="s">
        <v>569</v>
      </c>
      <c r="C45" s="597" t="s">
        <v>216</v>
      </c>
      <c r="D45" s="598">
        <v>1093590131</v>
      </c>
      <c r="E45" s="598">
        <v>1093590131</v>
      </c>
      <c r="F45" s="598">
        <v>573298666</v>
      </c>
      <c r="G45" s="598">
        <v>51721448</v>
      </c>
      <c r="H45" s="598">
        <v>51721448</v>
      </c>
      <c r="I45" s="602">
        <f t="shared" ref="I45:I50" si="0">H45/F45</f>
        <v>9.0217283010388172E-2</v>
      </c>
    </row>
    <row r="46" spans="1:9" s="600" customFormat="1" ht="49.9" customHeight="1" outlineLevel="1" x14ac:dyDescent="0.25">
      <c r="A46" s="889"/>
      <c r="B46" s="898"/>
      <c r="C46" s="597" t="s">
        <v>566</v>
      </c>
      <c r="D46" s="598">
        <v>319199869</v>
      </c>
      <c r="E46" s="598">
        <v>319199869</v>
      </c>
      <c r="F46" s="598">
        <v>286832000</v>
      </c>
      <c r="G46" s="598">
        <v>26956333</v>
      </c>
      <c r="H46" s="598">
        <v>26956333</v>
      </c>
      <c r="I46" s="602">
        <f t="shared" si="0"/>
        <v>9.3979517627043013E-2</v>
      </c>
    </row>
    <row r="47" spans="1:9" s="600" customFormat="1" ht="49.9" customHeight="1" outlineLevel="1" x14ac:dyDescent="0.25">
      <c r="A47" s="889"/>
      <c r="B47" s="601" t="s">
        <v>570</v>
      </c>
      <c r="C47" s="597" t="s">
        <v>216</v>
      </c>
      <c r="D47" s="598">
        <v>403410000</v>
      </c>
      <c r="E47" s="598">
        <v>403410000</v>
      </c>
      <c r="F47" s="598">
        <v>164519000</v>
      </c>
      <c r="G47" s="598">
        <v>2848433</v>
      </c>
      <c r="H47" s="598">
        <v>2848433</v>
      </c>
      <c r="I47" s="602">
        <f t="shared" si="0"/>
        <v>1.7313702368723368E-2</v>
      </c>
    </row>
    <row r="48" spans="1:9" s="600" customFormat="1" ht="49.9" customHeight="1" outlineLevel="1" x14ac:dyDescent="0.25">
      <c r="A48" s="890"/>
      <c r="B48" s="597" t="s">
        <v>571</v>
      </c>
      <c r="C48" s="597" t="s">
        <v>216</v>
      </c>
      <c r="D48" s="598">
        <v>775545944</v>
      </c>
      <c r="E48" s="598">
        <v>775545944</v>
      </c>
      <c r="F48" s="598">
        <v>433527167</v>
      </c>
      <c r="G48" s="598">
        <v>36332725</v>
      </c>
      <c r="H48" s="598">
        <v>36332725</v>
      </c>
      <c r="I48" s="602">
        <f t="shared" si="0"/>
        <v>8.3807262302433752E-2</v>
      </c>
    </row>
    <row r="49" spans="1:9" s="600" customFormat="1" ht="49.9" customHeight="1" outlineLevel="1" x14ac:dyDescent="0.25">
      <c r="A49" s="891" t="s">
        <v>140</v>
      </c>
      <c r="B49" s="597" t="s">
        <v>562</v>
      </c>
      <c r="C49" s="603" t="s">
        <v>216</v>
      </c>
      <c r="D49" s="604">
        <v>450000000</v>
      </c>
      <c r="E49" s="604">
        <v>450000000</v>
      </c>
      <c r="F49" s="604">
        <v>377292000</v>
      </c>
      <c r="G49" s="604">
        <v>210279165</v>
      </c>
      <c r="H49" s="604">
        <v>210279165</v>
      </c>
      <c r="I49" s="605">
        <f t="shared" si="0"/>
        <v>0.55733799020387387</v>
      </c>
    </row>
    <row r="50" spans="1:9" s="600" customFormat="1" ht="49.9" customHeight="1" outlineLevel="1" x14ac:dyDescent="0.25">
      <c r="A50" s="889"/>
      <c r="B50" s="896" t="s">
        <v>563</v>
      </c>
      <c r="C50" s="603" t="s">
        <v>216</v>
      </c>
      <c r="D50" s="604">
        <v>753985000</v>
      </c>
      <c r="E50" s="604">
        <v>763985000</v>
      </c>
      <c r="F50" s="604">
        <v>480083000</v>
      </c>
      <c r="G50" s="604">
        <v>254439132</v>
      </c>
      <c r="H50" s="604">
        <v>254439132</v>
      </c>
      <c r="I50" s="605">
        <f t="shared" si="0"/>
        <v>0.52998988091642485</v>
      </c>
    </row>
    <row r="51" spans="1:9" s="600" customFormat="1" ht="49.9" customHeight="1" outlineLevel="1" x14ac:dyDescent="0.25">
      <c r="A51" s="889"/>
      <c r="B51" s="898"/>
      <c r="C51" s="603" t="s">
        <v>564</v>
      </c>
      <c r="D51" s="604">
        <v>62855322</v>
      </c>
      <c r="E51" s="604">
        <v>62855322</v>
      </c>
      <c r="F51" s="604">
        <v>62855322</v>
      </c>
      <c r="G51" s="604">
        <v>62855322</v>
      </c>
      <c r="H51" s="604">
        <v>62855322</v>
      </c>
      <c r="I51" s="605">
        <v>0</v>
      </c>
    </row>
    <row r="52" spans="1:9" s="600" customFormat="1" ht="49.9" customHeight="1" outlineLevel="1" x14ac:dyDescent="0.25">
      <c r="A52" s="889"/>
      <c r="B52" s="597" t="s">
        <v>565</v>
      </c>
      <c r="C52" s="603" t="s">
        <v>566</v>
      </c>
      <c r="D52" s="604">
        <v>658814131</v>
      </c>
      <c r="E52" s="604">
        <v>658814131</v>
      </c>
      <c r="F52" s="604">
        <v>545531000</v>
      </c>
      <c r="G52" s="604">
        <v>232554035</v>
      </c>
      <c r="H52" s="604">
        <v>232554035</v>
      </c>
      <c r="I52" s="605">
        <f>H52/F52</f>
        <v>0.42628931261468184</v>
      </c>
    </row>
    <row r="53" spans="1:9" s="600" customFormat="1" ht="49.9" customHeight="1" outlineLevel="1" x14ac:dyDescent="0.25">
      <c r="A53" s="889"/>
      <c r="B53" s="896" t="s">
        <v>567</v>
      </c>
      <c r="C53" s="603" t="s">
        <v>216</v>
      </c>
      <c r="D53" s="604">
        <v>536054131</v>
      </c>
      <c r="E53" s="604">
        <v>536054131</v>
      </c>
      <c r="F53" s="604">
        <v>437787131</v>
      </c>
      <c r="G53" s="604">
        <v>269195535</v>
      </c>
      <c r="H53" s="604">
        <v>269195535</v>
      </c>
      <c r="I53" s="605">
        <f>H53/F53</f>
        <v>0.61490052113934801</v>
      </c>
    </row>
    <row r="54" spans="1:9" s="600" customFormat="1" ht="49.9" customHeight="1" outlineLevel="1" x14ac:dyDescent="0.25">
      <c r="A54" s="889"/>
      <c r="B54" s="898"/>
      <c r="C54" s="603" t="s">
        <v>568</v>
      </c>
      <c r="D54" s="604">
        <v>20000000</v>
      </c>
      <c r="E54" s="604">
        <v>20000000</v>
      </c>
      <c r="F54" s="604">
        <v>0</v>
      </c>
      <c r="G54" s="604">
        <v>0</v>
      </c>
      <c r="H54" s="604">
        <v>0</v>
      </c>
      <c r="I54" s="605">
        <v>0</v>
      </c>
    </row>
    <row r="55" spans="1:9" s="600" customFormat="1" ht="49.9" customHeight="1" outlineLevel="1" x14ac:dyDescent="0.25">
      <c r="A55" s="889"/>
      <c r="B55" s="896" t="s">
        <v>569</v>
      </c>
      <c r="C55" s="603" t="s">
        <v>216</v>
      </c>
      <c r="D55" s="604">
        <v>1080590131</v>
      </c>
      <c r="E55" s="604">
        <v>1080590131</v>
      </c>
      <c r="F55" s="604">
        <v>618799416</v>
      </c>
      <c r="G55" s="604">
        <v>252268566</v>
      </c>
      <c r="H55" s="604">
        <v>252268566</v>
      </c>
      <c r="I55" s="605">
        <f t="shared" ref="I55:I68" si="1">H55/F55</f>
        <v>0.40767421474101717</v>
      </c>
    </row>
    <row r="56" spans="1:9" s="600" customFormat="1" ht="49.9" customHeight="1" outlineLevel="1" x14ac:dyDescent="0.25">
      <c r="A56" s="889"/>
      <c r="B56" s="898"/>
      <c r="C56" s="603" t="s">
        <v>566</v>
      </c>
      <c r="D56" s="604">
        <v>319199869</v>
      </c>
      <c r="E56" s="604">
        <v>319199869</v>
      </c>
      <c r="F56" s="604">
        <v>286832000</v>
      </c>
      <c r="G56" s="604">
        <v>157706433</v>
      </c>
      <c r="H56" s="604">
        <v>157706433</v>
      </c>
      <c r="I56" s="605">
        <f t="shared" si="1"/>
        <v>0.54982161334858037</v>
      </c>
    </row>
    <row r="57" spans="1:9" s="600" customFormat="1" ht="49.9" customHeight="1" outlineLevel="1" x14ac:dyDescent="0.25">
      <c r="A57" s="889"/>
      <c r="B57" s="601" t="s">
        <v>570</v>
      </c>
      <c r="C57" s="603" t="s">
        <v>216</v>
      </c>
      <c r="D57" s="604">
        <v>263410000</v>
      </c>
      <c r="E57" s="604">
        <v>263410000</v>
      </c>
      <c r="F57" s="604">
        <v>191691000</v>
      </c>
      <c r="G57" s="604">
        <v>78561375</v>
      </c>
      <c r="H57" s="604">
        <v>78561375</v>
      </c>
      <c r="I57" s="605">
        <f t="shared" si="1"/>
        <v>0.40983340375917493</v>
      </c>
    </row>
    <row r="58" spans="1:9" s="600" customFormat="1" ht="49.9" customHeight="1" outlineLevel="1" x14ac:dyDescent="0.25">
      <c r="A58" s="890"/>
      <c r="B58" s="597" t="s">
        <v>571</v>
      </c>
      <c r="C58" s="603" t="s">
        <v>216</v>
      </c>
      <c r="D58" s="604">
        <v>790545944</v>
      </c>
      <c r="E58" s="604">
        <v>780545944</v>
      </c>
      <c r="F58" s="604">
        <v>488375819</v>
      </c>
      <c r="G58" s="604">
        <v>278527169</v>
      </c>
      <c r="H58" s="604">
        <v>278527169</v>
      </c>
      <c r="I58" s="605">
        <f t="shared" si="1"/>
        <v>0.57031318538725606</v>
      </c>
    </row>
    <row r="59" spans="1:9" s="600" customFormat="1" ht="49.9" customHeight="1" outlineLevel="1" x14ac:dyDescent="0.25">
      <c r="A59" s="891" t="s">
        <v>141</v>
      </c>
      <c r="B59" s="597" t="s">
        <v>562</v>
      </c>
      <c r="C59" s="603" t="s">
        <v>216</v>
      </c>
      <c r="D59" s="604">
        <v>450000000</v>
      </c>
      <c r="E59" s="606">
        <v>450000000</v>
      </c>
      <c r="F59" s="604">
        <v>447516000</v>
      </c>
      <c r="G59" s="604">
        <v>316341865</v>
      </c>
      <c r="H59" s="604">
        <f>+G59</f>
        <v>316341865</v>
      </c>
      <c r="I59" s="605">
        <f t="shared" si="1"/>
        <v>0.70688392146872958</v>
      </c>
    </row>
    <row r="60" spans="1:9" s="600" customFormat="1" ht="49.9" customHeight="1" outlineLevel="1" x14ac:dyDescent="0.25">
      <c r="A60" s="889"/>
      <c r="B60" s="896" t="s">
        <v>563</v>
      </c>
      <c r="C60" s="603" t="s">
        <v>216</v>
      </c>
      <c r="D60" s="604">
        <v>753985000</v>
      </c>
      <c r="E60" s="606">
        <v>763985000</v>
      </c>
      <c r="F60" s="604">
        <v>607617783</v>
      </c>
      <c r="G60" s="604">
        <v>387105399</v>
      </c>
      <c r="H60" s="604">
        <f>+G60</f>
        <v>387105399</v>
      </c>
      <c r="I60" s="605">
        <f t="shared" si="1"/>
        <v>0.63708701395923428</v>
      </c>
    </row>
    <row r="61" spans="1:9" s="600" customFormat="1" ht="49.9" customHeight="1" outlineLevel="1" x14ac:dyDescent="0.25">
      <c r="A61" s="889"/>
      <c r="B61" s="898"/>
      <c r="C61" s="603" t="s">
        <v>564</v>
      </c>
      <c r="D61" s="604">
        <v>62855322</v>
      </c>
      <c r="E61" s="606">
        <v>62855322</v>
      </c>
      <c r="F61" s="604">
        <v>62855322</v>
      </c>
      <c r="G61" s="604">
        <v>62855322</v>
      </c>
      <c r="H61" s="604">
        <f>+G61</f>
        <v>62855322</v>
      </c>
      <c r="I61" s="605">
        <f t="shared" si="1"/>
        <v>1</v>
      </c>
    </row>
    <row r="62" spans="1:9" s="600" customFormat="1" ht="49.9" customHeight="1" outlineLevel="1" x14ac:dyDescent="0.25">
      <c r="A62" s="889"/>
      <c r="B62" s="597" t="s">
        <v>565</v>
      </c>
      <c r="C62" s="603" t="s">
        <v>566</v>
      </c>
      <c r="D62" s="604">
        <v>658814131</v>
      </c>
      <c r="E62" s="606">
        <v>658814131</v>
      </c>
      <c r="F62" s="604">
        <v>644978000</v>
      </c>
      <c r="G62" s="604">
        <v>368534169</v>
      </c>
      <c r="H62" s="604">
        <f>+G62</f>
        <v>368534169</v>
      </c>
      <c r="I62" s="605">
        <f t="shared" si="1"/>
        <v>0.57139029393250618</v>
      </c>
    </row>
    <row r="63" spans="1:9" s="600" customFormat="1" ht="49.9" customHeight="1" outlineLevel="1" x14ac:dyDescent="0.25">
      <c r="A63" s="889"/>
      <c r="B63" s="896" t="s">
        <v>567</v>
      </c>
      <c r="C63" s="603" t="s">
        <v>216</v>
      </c>
      <c r="D63" s="604">
        <v>536054131</v>
      </c>
      <c r="E63" s="606">
        <v>536054131</v>
      </c>
      <c r="F63" s="604">
        <v>535986131</v>
      </c>
      <c r="G63" s="604">
        <v>403638440.30888337</v>
      </c>
      <c r="H63" s="604">
        <f>+G63</f>
        <v>403638440.30888337</v>
      </c>
      <c r="I63" s="605">
        <f t="shared" si="1"/>
        <v>0.7530762774697306</v>
      </c>
    </row>
    <row r="64" spans="1:9" s="600" customFormat="1" ht="49.9" customHeight="1" outlineLevel="1" x14ac:dyDescent="0.25">
      <c r="A64" s="889"/>
      <c r="B64" s="898"/>
      <c r="C64" s="603" t="s">
        <v>568</v>
      </c>
      <c r="D64" s="604">
        <v>20000000</v>
      </c>
      <c r="E64" s="604">
        <v>20000000</v>
      </c>
      <c r="F64" s="604">
        <v>0</v>
      </c>
      <c r="G64" s="604">
        <v>0</v>
      </c>
      <c r="H64" s="604">
        <v>0</v>
      </c>
      <c r="I64" s="605" t="e">
        <f t="shared" si="1"/>
        <v>#DIV/0!</v>
      </c>
    </row>
    <row r="65" spans="1:9" s="600" customFormat="1" ht="49.9" customHeight="1" outlineLevel="1" x14ac:dyDescent="0.25">
      <c r="A65" s="889"/>
      <c r="B65" s="896" t="s">
        <v>569</v>
      </c>
      <c r="C65" s="603" t="s">
        <v>216</v>
      </c>
      <c r="D65" s="604">
        <v>1080590131</v>
      </c>
      <c r="E65" s="604">
        <v>1080590131</v>
      </c>
      <c r="F65" s="606">
        <v>1012453063</v>
      </c>
      <c r="G65" s="604">
        <v>505007680.18480587</v>
      </c>
      <c r="H65" s="604">
        <f>+G65</f>
        <v>505007680.18480587</v>
      </c>
      <c r="I65" s="605">
        <f t="shared" si="1"/>
        <v>0.4987961404239496</v>
      </c>
    </row>
    <row r="66" spans="1:9" s="600" customFormat="1" ht="49.9" customHeight="1" outlineLevel="1" x14ac:dyDescent="0.25">
      <c r="A66" s="889"/>
      <c r="B66" s="898"/>
      <c r="C66" s="603" t="s">
        <v>566</v>
      </c>
      <c r="D66" s="604">
        <v>319199869</v>
      </c>
      <c r="E66" s="604">
        <v>319199869</v>
      </c>
      <c r="F66" s="604">
        <v>313688000</v>
      </c>
      <c r="G66" s="604">
        <v>227490433</v>
      </c>
      <c r="H66" s="604">
        <f>+G66</f>
        <v>227490433</v>
      </c>
      <c r="I66" s="605">
        <f t="shared" si="1"/>
        <v>0.72521241807145953</v>
      </c>
    </row>
    <row r="67" spans="1:9" s="600" customFormat="1" ht="49.9" customHeight="1" outlineLevel="1" x14ac:dyDescent="0.25">
      <c r="A67" s="889"/>
      <c r="B67" s="601" t="s">
        <v>570</v>
      </c>
      <c r="C67" s="603" t="s">
        <v>216</v>
      </c>
      <c r="D67" s="604">
        <v>263410000</v>
      </c>
      <c r="E67" s="604">
        <v>263410000</v>
      </c>
      <c r="F67" s="604">
        <v>232617000</v>
      </c>
      <c r="G67" s="604">
        <v>139980686.50631076</v>
      </c>
      <c r="H67" s="604">
        <f>+G67</f>
        <v>139980686.50631076</v>
      </c>
      <c r="I67" s="605">
        <f t="shared" si="1"/>
        <v>0.60176464534539931</v>
      </c>
    </row>
    <row r="68" spans="1:9" s="600" customFormat="1" ht="49.9" customHeight="1" outlineLevel="1" x14ac:dyDescent="0.25">
      <c r="A68" s="890"/>
      <c r="B68" s="597" t="s">
        <v>571</v>
      </c>
      <c r="C68" s="603" t="s">
        <v>216</v>
      </c>
      <c r="D68" s="604">
        <v>790545944</v>
      </c>
      <c r="E68" s="606">
        <v>780545944</v>
      </c>
      <c r="F68" s="604">
        <v>731213017</v>
      </c>
      <c r="G68" s="604">
        <v>381508875</v>
      </c>
      <c r="H68" s="604">
        <f>+G68</f>
        <v>381508875</v>
      </c>
      <c r="I68" s="605">
        <f t="shared" si="1"/>
        <v>0.52174792588518704</v>
      </c>
    </row>
    <row r="69" spans="1:9" ht="16.5" customHeight="1" x14ac:dyDescent="0.25"/>
    <row r="70" spans="1:9" ht="26.25" customHeight="1" x14ac:dyDescent="0.25">
      <c r="A70" s="903" t="s">
        <v>142</v>
      </c>
      <c r="B70" s="903"/>
      <c r="C70" s="903"/>
      <c r="D70" s="903"/>
      <c r="E70" s="903"/>
      <c r="F70" s="903"/>
      <c r="G70" s="903"/>
      <c r="H70" s="903"/>
      <c r="I70" s="903"/>
    </row>
    <row r="71" spans="1:9" ht="25.5" customHeight="1" x14ac:dyDescent="0.25">
      <c r="A71" s="595" t="s">
        <v>49</v>
      </c>
      <c r="B71" s="595" t="s">
        <v>561</v>
      </c>
      <c r="C71" s="54" t="s">
        <v>129</v>
      </c>
      <c r="D71" s="596" t="s">
        <v>130</v>
      </c>
      <c r="E71" s="596" t="s">
        <v>131</v>
      </c>
      <c r="F71" s="596" t="s">
        <v>132</v>
      </c>
      <c r="G71" s="596" t="s">
        <v>133</v>
      </c>
      <c r="H71" s="596" t="s">
        <v>134</v>
      </c>
      <c r="I71" s="596" t="s">
        <v>135</v>
      </c>
    </row>
    <row r="72" spans="1:9" ht="49.9" customHeight="1" x14ac:dyDescent="0.25">
      <c r="A72" s="905" t="s">
        <v>143</v>
      </c>
      <c r="B72" s="597" t="s">
        <v>571</v>
      </c>
      <c r="C72" s="603" t="s">
        <v>216</v>
      </c>
      <c r="D72" s="604">
        <v>790545944</v>
      </c>
      <c r="E72" s="606">
        <v>780545944</v>
      </c>
      <c r="F72" s="57"/>
      <c r="G72" s="57"/>
      <c r="H72" s="57"/>
      <c r="I72" s="605">
        <v>0</v>
      </c>
    </row>
    <row r="73" spans="1:9" ht="49.9" customHeight="1" x14ac:dyDescent="0.25">
      <c r="A73" s="905"/>
      <c r="B73" s="895" t="s">
        <v>563</v>
      </c>
      <c r="C73" s="603" t="s">
        <v>216</v>
      </c>
      <c r="D73" s="604">
        <v>753985000</v>
      </c>
      <c r="E73" s="606">
        <v>763985000</v>
      </c>
      <c r="F73" s="57"/>
      <c r="G73" s="57"/>
      <c r="H73" s="57"/>
      <c r="I73" s="605">
        <v>0</v>
      </c>
    </row>
    <row r="74" spans="1:9" ht="49.9" customHeight="1" x14ac:dyDescent="0.25">
      <c r="A74" s="905"/>
      <c r="B74" s="895"/>
      <c r="C74" s="603" t="s">
        <v>564</v>
      </c>
      <c r="D74" s="604">
        <v>62855322</v>
      </c>
      <c r="E74" s="606">
        <v>62855322</v>
      </c>
      <c r="F74" s="57"/>
      <c r="G74" s="57"/>
      <c r="H74" s="57"/>
      <c r="I74" s="605">
        <v>0</v>
      </c>
    </row>
    <row r="75" spans="1:9" ht="49.9" customHeight="1" x14ac:dyDescent="0.25">
      <c r="A75" s="905"/>
      <c r="B75" s="895" t="s">
        <v>569</v>
      </c>
      <c r="C75" s="603" t="s">
        <v>216</v>
      </c>
      <c r="D75" s="604">
        <v>1080590131</v>
      </c>
      <c r="E75" s="604">
        <v>1080590131</v>
      </c>
      <c r="F75" s="57"/>
      <c r="G75" s="57"/>
      <c r="H75" s="57"/>
      <c r="I75" s="605">
        <v>0</v>
      </c>
    </row>
    <row r="76" spans="1:9" ht="49.9" customHeight="1" x14ac:dyDescent="0.25">
      <c r="A76" s="905"/>
      <c r="B76" s="895"/>
      <c r="C76" s="603" t="s">
        <v>566</v>
      </c>
      <c r="D76" s="604">
        <v>319199869</v>
      </c>
      <c r="E76" s="604">
        <v>319199869</v>
      </c>
      <c r="F76" s="57"/>
      <c r="G76" s="57"/>
      <c r="H76" s="57"/>
      <c r="I76" s="605">
        <v>0</v>
      </c>
    </row>
    <row r="77" spans="1:9" ht="49.9" customHeight="1" x14ac:dyDescent="0.25">
      <c r="A77" s="905"/>
      <c r="B77" s="895" t="s">
        <v>567</v>
      </c>
      <c r="C77" s="603" t="s">
        <v>216</v>
      </c>
      <c r="D77" s="604">
        <v>536054131</v>
      </c>
      <c r="E77" s="606">
        <v>536054131</v>
      </c>
      <c r="F77" s="57"/>
      <c r="G77" s="57"/>
      <c r="H77" s="57"/>
      <c r="I77" s="605">
        <v>0</v>
      </c>
    </row>
    <row r="78" spans="1:9" ht="49.9" customHeight="1" x14ac:dyDescent="0.25">
      <c r="A78" s="905"/>
      <c r="B78" s="895"/>
      <c r="C78" s="603" t="s">
        <v>568</v>
      </c>
      <c r="D78" s="604">
        <v>20000000</v>
      </c>
      <c r="E78" s="604">
        <v>20000000</v>
      </c>
      <c r="F78" s="57"/>
      <c r="G78" s="57"/>
      <c r="H78" s="57"/>
      <c r="I78" s="605">
        <v>0</v>
      </c>
    </row>
    <row r="79" spans="1:9" ht="49.9" customHeight="1" x14ac:dyDescent="0.25">
      <c r="A79" s="905"/>
      <c r="B79" s="597" t="s">
        <v>570</v>
      </c>
      <c r="C79" s="603" t="s">
        <v>216</v>
      </c>
      <c r="D79" s="604">
        <v>263410000</v>
      </c>
      <c r="E79" s="604">
        <v>263410000</v>
      </c>
      <c r="F79" s="57"/>
      <c r="G79" s="57"/>
      <c r="H79" s="57"/>
      <c r="I79" s="605">
        <v>0</v>
      </c>
    </row>
    <row r="80" spans="1:9" ht="49.9" customHeight="1" x14ac:dyDescent="0.25">
      <c r="A80" s="905"/>
      <c r="B80" s="597" t="s">
        <v>565</v>
      </c>
      <c r="C80" s="603" t="s">
        <v>566</v>
      </c>
      <c r="D80" s="604">
        <v>658814131</v>
      </c>
      <c r="E80" s="606">
        <v>658814131</v>
      </c>
      <c r="F80" s="57"/>
      <c r="G80" s="57"/>
      <c r="H80" s="57"/>
      <c r="I80" s="605">
        <v>0</v>
      </c>
    </row>
    <row r="81" spans="1:9" ht="49.9" customHeight="1" x14ac:dyDescent="0.25">
      <c r="A81" s="905"/>
      <c r="B81" s="597" t="s">
        <v>562</v>
      </c>
      <c r="C81" s="603" t="s">
        <v>216</v>
      </c>
      <c r="D81" s="604">
        <v>450000000</v>
      </c>
      <c r="E81" s="606">
        <v>450000000</v>
      </c>
      <c r="F81" s="57"/>
      <c r="G81" s="57"/>
      <c r="H81" s="57"/>
      <c r="I81" s="605">
        <v>0</v>
      </c>
    </row>
    <row r="82" spans="1:9" ht="16.899999999999999" customHeight="1" x14ac:dyDescent="0.25">
      <c r="A82" s="904" t="s">
        <v>144</v>
      </c>
      <c r="B82" s="597" t="s">
        <v>571</v>
      </c>
      <c r="C82" s="603" t="s">
        <v>572</v>
      </c>
      <c r="D82" s="604">
        <v>1564678000</v>
      </c>
      <c r="E82" s="606">
        <v>1564678000</v>
      </c>
      <c r="F82" s="606">
        <v>188232000</v>
      </c>
      <c r="G82" s="606">
        <v>188232000</v>
      </c>
      <c r="H82" s="606">
        <v>0</v>
      </c>
      <c r="I82" s="605">
        <f>H82/F82</f>
        <v>0</v>
      </c>
    </row>
    <row r="83" spans="1:9" ht="16.5" customHeight="1" x14ac:dyDescent="0.25">
      <c r="A83" s="904"/>
      <c r="B83" s="597" t="s">
        <v>563</v>
      </c>
      <c r="C83" s="603" t="s">
        <v>572</v>
      </c>
      <c r="D83" s="606">
        <v>1374057000</v>
      </c>
      <c r="E83" s="606">
        <v>1374057000</v>
      </c>
      <c r="F83" s="606">
        <v>582050000</v>
      </c>
      <c r="G83" s="606">
        <v>582050000</v>
      </c>
      <c r="H83" s="606">
        <v>0</v>
      </c>
      <c r="I83" s="607">
        <f>H83/F83</f>
        <v>0</v>
      </c>
    </row>
    <row r="84" spans="1:9" ht="16.5" customHeight="1" x14ac:dyDescent="0.25">
      <c r="A84" s="904"/>
      <c r="B84" s="895" t="s">
        <v>569</v>
      </c>
      <c r="C84" s="603" t="s">
        <v>572</v>
      </c>
      <c r="D84" s="604">
        <v>2007824000</v>
      </c>
      <c r="E84" s="604">
        <v>2007824000</v>
      </c>
      <c r="F84" s="604">
        <v>292843000</v>
      </c>
      <c r="G84" s="604">
        <v>292843000</v>
      </c>
      <c r="H84" s="606">
        <v>0</v>
      </c>
      <c r="I84" s="605">
        <f>H84/F84</f>
        <v>0</v>
      </c>
    </row>
    <row r="85" spans="1:9" ht="16.5" customHeight="1" x14ac:dyDescent="0.25">
      <c r="A85" s="904"/>
      <c r="B85" s="895"/>
      <c r="C85" s="603" t="s">
        <v>573</v>
      </c>
      <c r="D85" s="604">
        <v>792348000</v>
      </c>
      <c r="E85" s="604">
        <v>792348000</v>
      </c>
      <c r="F85" s="604">
        <v>115947000</v>
      </c>
      <c r="G85" s="604">
        <v>115947000</v>
      </c>
      <c r="H85" s="606">
        <v>0</v>
      </c>
      <c r="I85" s="605">
        <f>H85/F85</f>
        <v>0</v>
      </c>
    </row>
    <row r="86" spans="1:9" ht="16.5" customHeight="1" x14ac:dyDescent="0.25">
      <c r="A86" s="904"/>
      <c r="B86" s="895"/>
      <c r="C86" s="603" t="s">
        <v>574</v>
      </c>
      <c r="D86" s="604">
        <v>173604000</v>
      </c>
      <c r="E86" s="604">
        <v>173604000</v>
      </c>
      <c r="F86" s="604">
        <v>0</v>
      </c>
      <c r="G86" s="604">
        <v>0</v>
      </c>
      <c r="H86" s="606">
        <v>0</v>
      </c>
      <c r="I86" s="605">
        <v>0</v>
      </c>
    </row>
    <row r="87" spans="1:9" ht="16.5" customHeight="1" x14ac:dyDescent="0.25">
      <c r="A87" s="904"/>
      <c r="B87" s="895" t="s">
        <v>567</v>
      </c>
      <c r="C87" s="603" t="s">
        <v>572</v>
      </c>
      <c r="D87" s="604">
        <v>1180481000</v>
      </c>
      <c r="E87" s="604">
        <v>1180481000</v>
      </c>
      <c r="F87" s="604">
        <v>740287000</v>
      </c>
      <c r="G87" s="604">
        <v>740287000</v>
      </c>
      <c r="H87" s="606">
        <v>0</v>
      </c>
      <c r="I87" s="605">
        <f>H87/F87</f>
        <v>0</v>
      </c>
    </row>
    <row r="88" spans="1:9" ht="16.5" customHeight="1" x14ac:dyDescent="0.25">
      <c r="A88" s="904"/>
      <c r="B88" s="895"/>
      <c r="C88" s="603" t="s">
        <v>574</v>
      </c>
      <c r="D88" s="604">
        <v>300000000</v>
      </c>
      <c r="E88" s="604">
        <v>300000000</v>
      </c>
      <c r="F88" s="604">
        <v>0</v>
      </c>
      <c r="G88" s="604">
        <v>0</v>
      </c>
      <c r="H88" s="606">
        <v>0</v>
      </c>
      <c r="I88" s="605">
        <v>0</v>
      </c>
    </row>
    <row r="89" spans="1:9" ht="16.5" customHeight="1" x14ac:dyDescent="0.25">
      <c r="A89" s="904"/>
      <c r="B89" s="597" t="s">
        <v>570</v>
      </c>
      <c r="C89" s="603" t="s">
        <v>572</v>
      </c>
      <c r="D89" s="604">
        <v>689070000</v>
      </c>
      <c r="E89" s="604">
        <v>689070000</v>
      </c>
      <c r="F89" s="604">
        <v>34584000</v>
      </c>
      <c r="G89" s="604">
        <v>34584000</v>
      </c>
      <c r="H89" s="606">
        <v>0</v>
      </c>
      <c r="I89" s="605">
        <f>H89/F89</f>
        <v>0</v>
      </c>
    </row>
    <row r="90" spans="1:9" ht="16.5" customHeight="1" x14ac:dyDescent="0.25">
      <c r="A90" s="904"/>
      <c r="B90" s="895" t="s">
        <v>565</v>
      </c>
      <c r="C90" s="603" t="s">
        <v>573</v>
      </c>
      <c r="D90" s="604">
        <v>1277236000</v>
      </c>
      <c r="E90" s="606">
        <v>1277236000</v>
      </c>
      <c r="F90" s="606">
        <v>385283000</v>
      </c>
      <c r="G90" s="606">
        <v>385283000</v>
      </c>
      <c r="H90" s="606">
        <v>0</v>
      </c>
      <c r="I90" s="605">
        <f>H90/F90</f>
        <v>0</v>
      </c>
    </row>
    <row r="91" spans="1:9" ht="16.5" customHeight="1" x14ac:dyDescent="0.25">
      <c r="A91" s="904"/>
      <c r="B91" s="895"/>
      <c r="C91" s="603" t="s">
        <v>574</v>
      </c>
      <c r="D91" s="604">
        <v>16912000</v>
      </c>
      <c r="E91" s="606">
        <v>16912000</v>
      </c>
      <c r="F91" s="606">
        <v>0</v>
      </c>
      <c r="G91" s="606">
        <v>0</v>
      </c>
      <c r="H91" s="606">
        <v>0</v>
      </c>
      <c r="I91" s="605">
        <v>0</v>
      </c>
    </row>
    <row r="92" spans="1:9" ht="16.5" customHeight="1" x14ac:dyDescent="0.25">
      <c r="A92" s="904"/>
      <c r="B92" s="597" t="s">
        <v>562</v>
      </c>
      <c r="C92" s="603" t="s">
        <v>572</v>
      </c>
      <c r="D92" s="604">
        <v>691670000</v>
      </c>
      <c r="E92" s="604">
        <v>691670000</v>
      </c>
      <c r="F92" s="606">
        <v>326043000</v>
      </c>
      <c r="G92" s="606">
        <v>326043000</v>
      </c>
      <c r="H92" s="606">
        <v>0</v>
      </c>
      <c r="I92" s="605">
        <f>H92/F92</f>
        <v>0</v>
      </c>
    </row>
    <row r="93" spans="1:9" ht="16.5" customHeight="1" x14ac:dyDescent="0.25">
      <c r="A93" s="904" t="s">
        <v>145</v>
      </c>
      <c r="B93" s="597" t="s">
        <v>571</v>
      </c>
      <c r="C93" s="603" t="s">
        <v>572</v>
      </c>
      <c r="D93" s="604">
        <v>1564678000</v>
      </c>
      <c r="E93" s="606">
        <v>1564678000</v>
      </c>
      <c r="F93" s="606">
        <v>537224000</v>
      </c>
      <c r="G93" s="606">
        <v>537224000</v>
      </c>
      <c r="H93" s="606">
        <v>0</v>
      </c>
      <c r="I93" s="605">
        <f>H93/F93</f>
        <v>0</v>
      </c>
    </row>
    <row r="94" spans="1:9" ht="16.5" customHeight="1" x14ac:dyDescent="0.25">
      <c r="A94" s="904"/>
      <c r="B94" s="597" t="s">
        <v>563</v>
      </c>
      <c r="C94" s="603" t="s">
        <v>572</v>
      </c>
      <c r="D94" s="606">
        <v>1374057000</v>
      </c>
      <c r="E94" s="606">
        <v>1374057000</v>
      </c>
      <c r="F94" s="606">
        <v>1121617000</v>
      </c>
      <c r="G94" s="606">
        <v>1121617000</v>
      </c>
      <c r="H94" s="606">
        <v>3498367</v>
      </c>
      <c r="I94" s="607">
        <f>H94/F94</f>
        <v>3.1190388519432215E-3</v>
      </c>
    </row>
    <row r="95" spans="1:9" ht="16.5" customHeight="1" x14ac:dyDescent="0.25">
      <c r="A95" s="904"/>
      <c r="B95" s="895" t="s">
        <v>569</v>
      </c>
      <c r="C95" s="603" t="s">
        <v>572</v>
      </c>
      <c r="D95" s="604">
        <v>2007824000</v>
      </c>
      <c r="E95" s="604">
        <v>2007824000</v>
      </c>
      <c r="F95" s="604">
        <v>1198459150</v>
      </c>
      <c r="G95" s="604">
        <v>1198459150</v>
      </c>
      <c r="H95" s="604">
        <v>34478553</v>
      </c>
      <c r="I95" s="605">
        <f>H95/F95</f>
        <v>2.8769068182257194E-2</v>
      </c>
    </row>
    <row r="96" spans="1:9" ht="16.5" customHeight="1" x14ac:dyDescent="0.25">
      <c r="A96" s="904"/>
      <c r="B96" s="895"/>
      <c r="C96" s="603" t="s">
        <v>573</v>
      </c>
      <c r="D96" s="604">
        <v>792348000</v>
      </c>
      <c r="E96" s="604">
        <v>792348000</v>
      </c>
      <c r="F96" s="604">
        <v>595485000</v>
      </c>
      <c r="G96" s="604">
        <v>595485000</v>
      </c>
      <c r="H96" s="604">
        <v>3931767</v>
      </c>
      <c r="I96" s="605">
        <f>H96/F96</f>
        <v>6.6026297891634547E-3</v>
      </c>
    </row>
    <row r="97" spans="1:9" ht="16.5" customHeight="1" x14ac:dyDescent="0.25">
      <c r="A97" s="904"/>
      <c r="B97" s="895"/>
      <c r="C97" s="603" t="s">
        <v>574</v>
      </c>
      <c r="D97" s="604">
        <v>173604000</v>
      </c>
      <c r="E97" s="604">
        <v>173604000</v>
      </c>
      <c r="F97" s="604">
        <v>0</v>
      </c>
      <c r="G97" s="604">
        <v>0</v>
      </c>
      <c r="H97" s="604">
        <v>0</v>
      </c>
      <c r="I97" s="605">
        <v>0</v>
      </c>
    </row>
    <row r="98" spans="1:9" ht="16.5" customHeight="1" x14ac:dyDescent="0.25">
      <c r="A98" s="904"/>
      <c r="B98" s="895" t="s">
        <v>567</v>
      </c>
      <c r="C98" s="603" t="s">
        <v>572</v>
      </c>
      <c r="D98" s="604">
        <v>1180481000</v>
      </c>
      <c r="E98" s="604">
        <v>1180481000</v>
      </c>
      <c r="F98" s="604">
        <v>1001575000</v>
      </c>
      <c r="G98" s="604">
        <v>1001575000</v>
      </c>
      <c r="H98" s="604">
        <v>27208599</v>
      </c>
      <c r="I98" s="605">
        <f>H98/F98</f>
        <v>2.7165812844769488E-2</v>
      </c>
    </row>
    <row r="99" spans="1:9" ht="16.5" customHeight="1" x14ac:dyDescent="0.25">
      <c r="A99" s="904"/>
      <c r="B99" s="895"/>
      <c r="C99" s="603" t="s">
        <v>574</v>
      </c>
      <c r="D99" s="604">
        <v>300000000</v>
      </c>
      <c r="E99" s="604">
        <v>300000000</v>
      </c>
      <c r="F99" s="604">
        <v>0</v>
      </c>
      <c r="G99" s="604">
        <v>0</v>
      </c>
      <c r="H99" s="604">
        <v>0</v>
      </c>
      <c r="I99" s="605">
        <v>0</v>
      </c>
    </row>
    <row r="100" spans="1:9" ht="16.5" customHeight="1" x14ac:dyDescent="0.25">
      <c r="A100" s="904"/>
      <c r="B100" s="597" t="s">
        <v>570</v>
      </c>
      <c r="C100" s="603" t="s">
        <v>572</v>
      </c>
      <c r="D100" s="604">
        <v>689070000</v>
      </c>
      <c r="E100" s="604">
        <v>689070000</v>
      </c>
      <c r="F100" s="604">
        <v>343006000</v>
      </c>
      <c r="G100" s="604">
        <v>343006000</v>
      </c>
      <c r="H100" s="604">
        <v>0</v>
      </c>
      <c r="I100" s="605">
        <f>H100/F100</f>
        <v>0</v>
      </c>
    </row>
    <row r="101" spans="1:9" ht="16.5" customHeight="1" x14ac:dyDescent="0.25">
      <c r="A101" s="904"/>
      <c r="B101" s="895" t="s">
        <v>565</v>
      </c>
      <c r="C101" s="603" t="s">
        <v>573</v>
      </c>
      <c r="D101" s="604">
        <v>1277236000</v>
      </c>
      <c r="E101" s="606">
        <v>1277236000</v>
      </c>
      <c r="F101" s="606">
        <v>1137979000</v>
      </c>
      <c r="G101" s="606">
        <v>1137979000</v>
      </c>
      <c r="H101" s="606">
        <v>2672200</v>
      </c>
      <c r="I101" s="605">
        <f>H101/F101</f>
        <v>2.3481979895938324E-3</v>
      </c>
    </row>
    <row r="102" spans="1:9" ht="16.5" customHeight="1" x14ac:dyDescent="0.25">
      <c r="A102" s="904"/>
      <c r="B102" s="895"/>
      <c r="C102" s="603" t="s">
        <v>574</v>
      </c>
      <c r="D102" s="604">
        <v>16912000</v>
      </c>
      <c r="E102" s="606">
        <v>16912000</v>
      </c>
      <c r="F102" s="606">
        <v>0</v>
      </c>
      <c r="G102" s="606">
        <v>0</v>
      </c>
      <c r="H102" s="606">
        <v>0</v>
      </c>
      <c r="I102" s="605">
        <v>0</v>
      </c>
    </row>
    <row r="103" spans="1:9" ht="16.5" customHeight="1" x14ac:dyDescent="0.25">
      <c r="A103" s="904"/>
      <c r="B103" s="597" t="s">
        <v>562</v>
      </c>
      <c r="C103" s="603" t="s">
        <v>572</v>
      </c>
      <c r="D103" s="604">
        <v>691670000</v>
      </c>
      <c r="E103" s="604">
        <v>691670000</v>
      </c>
      <c r="F103" s="606">
        <v>415638000</v>
      </c>
      <c r="G103" s="606">
        <v>415638000</v>
      </c>
      <c r="H103" s="606">
        <v>13025300</v>
      </c>
      <c r="I103" s="605">
        <f>H103/F103</f>
        <v>3.133808747034679E-2</v>
      </c>
    </row>
    <row r="104" spans="1:9" ht="51" customHeight="1" x14ac:dyDescent="0.25">
      <c r="A104" s="904" t="s">
        <v>146</v>
      </c>
      <c r="B104" s="597" t="s">
        <v>571</v>
      </c>
      <c r="C104" s="603" t="s">
        <v>572</v>
      </c>
      <c r="D104" s="604">
        <v>1564678000</v>
      </c>
      <c r="E104" s="606">
        <v>837335614</v>
      </c>
      <c r="F104" s="606">
        <v>664703857</v>
      </c>
      <c r="G104" s="606">
        <v>664703857</v>
      </c>
      <c r="H104" s="606">
        <v>41026232</v>
      </c>
      <c r="I104" s="605">
        <f>H104/F104</f>
        <v>6.1721068063548185E-2</v>
      </c>
    </row>
    <row r="105" spans="1:9" ht="51" customHeight="1" x14ac:dyDescent="0.25">
      <c r="A105" s="904"/>
      <c r="B105" s="597" t="s">
        <v>563</v>
      </c>
      <c r="C105" s="603" t="s">
        <v>572</v>
      </c>
      <c r="D105" s="606">
        <v>1374057000</v>
      </c>
      <c r="E105" s="606">
        <v>1262994000</v>
      </c>
      <c r="F105" s="606">
        <v>1215729000</v>
      </c>
      <c r="G105" s="606">
        <v>1215729000</v>
      </c>
      <c r="H105" s="606">
        <v>92283634</v>
      </c>
      <c r="I105" s="607">
        <f>H105/F105</f>
        <v>7.5908063392417222E-2</v>
      </c>
    </row>
    <row r="106" spans="1:9" ht="51" customHeight="1" x14ac:dyDescent="0.25">
      <c r="A106" s="904"/>
      <c r="B106" s="895" t="s">
        <v>569</v>
      </c>
      <c r="C106" s="603" t="s">
        <v>572</v>
      </c>
      <c r="D106" s="604">
        <v>2007824000</v>
      </c>
      <c r="E106" s="604">
        <v>1670091000</v>
      </c>
      <c r="F106" s="604">
        <v>1319795150</v>
      </c>
      <c r="G106" s="604">
        <v>1319795150</v>
      </c>
      <c r="H106" s="604">
        <v>76115753</v>
      </c>
      <c r="I106" s="605">
        <f>H106/F106</f>
        <v>5.7672399387132159E-2</v>
      </c>
    </row>
    <row r="107" spans="1:9" ht="51" customHeight="1" x14ac:dyDescent="0.25">
      <c r="A107" s="904"/>
      <c r="B107" s="895"/>
      <c r="C107" s="603" t="s">
        <v>573</v>
      </c>
      <c r="D107" s="604">
        <v>792348000</v>
      </c>
      <c r="E107" s="604">
        <v>792348000</v>
      </c>
      <c r="F107" s="604">
        <v>622989000</v>
      </c>
      <c r="G107" s="604">
        <v>622989000</v>
      </c>
      <c r="H107" s="604">
        <v>45443400</v>
      </c>
      <c r="I107" s="605">
        <f>H107/F107</f>
        <v>7.2944145081213316E-2</v>
      </c>
    </row>
    <row r="108" spans="1:9" ht="51" customHeight="1" x14ac:dyDescent="0.25">
      <c r="A108" s="904"/>
      <c r="B108" s="895"/>
      <c r="C108" s="603" t="s">
        <v>574</v>
      </c>
      <c r="D108" s="604">
        <v>173604000</v>
      </c>
      <c r="E108" s="604">
        <v>173604000</v>
      </c>
      <c r="F108" s="604">
        <v>0</v>
      </c>
      <c r="G108" s="604">
        <v>0</v>
      </c>
      <c r="H108" s="604">
        <v>0</v>
      </c>
      <c r="I108" s="605">
        <v>0</v>
      </c>
    </row>
    <row r="109" spans="1:9" ht="51" customHeight="1" x14ac:dyDescent="0.25">
      <c r="A109" s="904"/>
      <c r="B109" s="895" t="s">
        <v>567</v>
      </c>
      <c r="C109" s="603" t="s">
        <v>572</v>
      </c>
      <c r="D109" s="604">
        <v>1180481000</v>
      </c>
      <c r="E109" s="604">
        <v>1153575000</v>
      </c>
      <c r="F109" s="604">
        <v>1001575000</v>
      </c>
      <c r="G109" s="604">
        <v>1001575000</v>
      </c>
      <c r="H109" s="604">
        <v>129841932</v>
      </c>
      <c r="I109" s="605">
        <f>H109/F109</f>
        <v>0.12963775253974991</v>
      </c>
    </row>
    <row r="110" spans="1:9" ht="51" customHeight="1" x14ac:dyDescent="0.25">
      <c r="A110" s="904"/>
      <c r="B110" s="895"/>
      <c r="C110" s="603" t="s">
        <v>574</v>
      </c>
      <c r="D110" s="604">
        <v>300000000</v>
      </c>
      <c r="E110" s="604">
        <v>300000000</v>
      </c>
      <c r="F110" s="604">
        <v>0</v>
      </c>
      <c r="G110" s="604">
        <v>0</v>
      </c>
      <c r="H110" s="604">
        <v>0</v>
      </c>
      <c r="I110" s="605">
        <v>0</v>
      </c>
    </row>
    <row r="111" spans="1:9" ht="51" customHeight="1" x14ac:dyDescent="0.25">
      <c r="A111" s="904"/>
      <c r="B111" s="597" t="s">
        <v>570</v>
      </c>
      <c r="C111" s="603" t="s">
        <v>572</v>
      </c>
      <c r="D111" s="604">
        <v>689070000</v>
      </c>
      <c r="E111" s="604">
        <v>483246000</v>
      </c>
      <c r="F111" s="604">
        <v>344744634</v>
      </c>
      <c r="G111" s="604">
        <v>344744634</v>
      </c>
      <c r="H111" s="604">
        <v>29463567</v>
      </c>
      <c r="I111" s="605">
        <f>H111/F111</f>
        <v>8.546490385692268E-2</v>
      </c>
    </row>
    <row r="112" spans="1:9" ht="51" customHeight="1" x14ac:dyDescent="0.25">
      <c r="A112" s="904"/>
      <c r="B112" s="895" t="s">
        <v>565</v>
      </c>
      <c r="C112" s="603" t="s">
        <v>573</v>
      </c>
      <c r="D112" s="604">
        <v>1277236000</v>
      </c>
      <c r="E112" s="606">
        <v>1277236000</v>
      </c>
      <c r="F112" s="606">
        <v>1137979000</v>
      </c>
      <c r="G112" s="606">
        <v>1137979000</v>
      </c>
      <c r="H112" s="606">
        <v>52827934</v>
      </c>
      <c r="I112" s="605">
        <f>H112/F112</f>
        <v>4.6422591278046432E-2</v>
      </c>
    </row>
    <row r="113" spans="1:9" ht="51" customHeight="1" x14ac:dyDescent="0.25">
      <c r="A113" s="904"/>
      <c r="B113" s="895"/>
      <c r="C113" s="603" t="s">
        <v>574</v>
      </c>
      <c r="D113" s="604">
        <v>16912000</v>
      </c>
      <c r="E113" s="606">
        <v>16912000</v>
      </c>
      <c r="F113" s="606">
        <v>0</v>
      </c>
      <c r="G113" s="606">
        <v>0</v>
      </c>
      <c r="H113" s="606">
        <v>0</v>
      </c>
      <c r="I113" s="605" t="e">
        <f>H113/F113</f>
        <v>#DIV/0!</v>
      </c>
    </row>
    <row r="114" spans="1:9" ht="51" customHeight="1" x14ac:dyDescent="0.25">
      <c r="A114" s="904"/>
      <c r="B114" s="597" t="s">
        <v>562</v>
      </c>
      <c r="C114" s="603" t="s">
        <v>572</v>
      </c>
      <c r="D114" s="604">
        <v>691670000</v>
      </c>
      <c r="E114" s="604">
        <v>528678000</v>
      </c>
      <c r="F114" s="606">
        <v>516118000</v>
      </c>
      <c r="G114" s="606">
        <v>516118000</v>
      </c>
      <c r="H114" s="606">
        <v>54300600</v>
      </c>
      <c r="I114" s="605">
        <f>H114/F114</f>
        <v>0.1052096613565115</v>
      </c>
    </row>
    <row r="115" spans="1:9" ht="16.5" customHeight="1" x14ac:dyDescent="0.25">
      <c r="A115" s="884" t="s">
        <v>147</v>
      </c>
      <c r="B115" s="597" t="s">
        <v>571</v>
      </c>
      <c r="C115" s="603" t="s">
        <v>572</v>
      </c>
      <c r="D115" s="608">
        <v>1564678000</v>
      </c>
      <c r="E115" s="609">
        <v>871335614</v>
      </c>
      <c r="F115" s="609">
        <v>664703857</v>
      </c>
      <c r="G115" s="609">
        <v>664703857</v>
      </c>
      <c r="H115" s="609">
        <v>118345946</v>
      </c>
      <c r="I115" s="605">
        <v>0.1780431161241178</v>
      </c>
    </row>
    <row r="116" spans="1:9" ht="16.5" customHeight="1" x14ac:dyDescent="0.25">
      <c r="A116" s="885"/>
      <c r="B116" s="597" t="s">
        <v>563</v>
      </c>
      <c r="C116" s="603" t="s">
        <v>572</v>
      </c>
      <c r="D116" s="609">
        <v>1374057000</v>
      </c>
      <c r="E116" s="609">
        <v>1262994000</v>
      </c>
      <c r="F116" s="609">
        <v>1215729000</v>
      </c>
      <c r="G116" s="609">
        <v>1215729000</v>
      </c>
      <c r="H116" s="609">
        <v>211528368</v>
      </c>
      <c r="I116" s="607">
        <v>0.1739930264063784</v>
      </c>
    </row>
    <row r="117" spans="1:9" ht="16.5" customHeight="1" x14ac:dyDescent="0.25">
      <c r="A117" s="885"/>
      <c r="B117" s="895" t="s">
        <v>569</v>
      </c>
      <c r="C117" s="603" t="s">
        <v>572</v>
      </c>
      <c r="D117" s="608">
        <v>2007824000</v>
      </c>
      <c r="E117" s="608">
        <v>1636091000</v>
      </c>
      <c r="F117" s="608">
        <v>1319795150</v>
      </c>
      <c r="G117" s="608">
        <v>1319795150</v>
      </c>
      <c r="H117" s="608">
        <v>267779765</v>
      </c>
      <c r="I117" s="605">
        <v>0.20289494547695527</v>
      </c>
    </row>
    <row r="118" spans="1:9" ht="16.5" customHeight="1" x14ac:dyDescent="0.25">
      <c r="A118" s="885"/>
      <c r="B118" s="895"/>
      <c r="C118" s="603" t="s">
        <v>573</v>
      </c>
      <c r="D118" s="608">
        <v>792348000</v>
      </c>
      <c r="E118" s="608">
        <v>792348000</v>
      </c>
      <c r="F118" s="608">
        <v>622989000</v>
      </c>
      <c r="G118" s="608">
        <v>622989000</v>
      </c>
      <c r="H118" s="608">
        <v>107635600</v>
      </c>
      <c r="I118" s="605">
        <v>0.17277287399938041</v>
      </c>
    </row>
    <row r="119" spans="1:9" ht="16.5" customHeight="1" x14ac:dyDescent="0.25">
      <c r="A119" s="885"/>
      <c r="B119" s="895"/>
      <c r="C119" s="603" t="s">
        <v>574</v>
      </c>
      <c r="D119" s="608">
        <v>173604000</v>
      </c>
      <c r="E119" s="608">
        <v>173604000</v>
      </c>
      <c r="F119" s="608">
        <v>0</v>
      </c>
      <c r="G119" s="608">
        <v>0</v>
      </c>
      <c r="H119" s="608">
        <v>0</v>
      </c>
      <c r="I119" s="605">
        <v>0</v>
      </c>
    </row>
    <row r="120" spans="1:9" ht="16.5" customHeight="1" x14ac:dyDescent="0.25">
      <c r="A120" s="885"/>
      <c r="B120" s="895" t="s">
        <v>567</v>
      </c>
      <c r="C120" s="603" t="s">
        <v>572</v>
      </c>
      <c r="D120" s="608">
        <v>1180481000</v>
      </c>
      <c r="E120" s="608">
        <v>1153575000</v>
      </c>
      <c r="F120" s="608">
        <v>1001575000</v>
      </c>
      <c r="G120" s="608">
        <v>1001575000</v>
      </c>
      <c r="H120" s="608">
        <v>243619999</v>
      </c>
      <c r="I120" s="605">
        <v>0.24323690088111224</v>
      </c>
    </row>
    <row r="121" spans="1:9" ht="16.5" customHeight="1" x14ac:dyDescent="0.25">
      <c r="A121" s="885"/>
      <c r="B121" s="895"/>
      <c r="C121" s="603" t="s">
        <v>574</v>
      </c>
      <c r="D121" s="608">
        <v>300000000</v>
      </c>
      <c r="E121" s="608">
        <v>300000000</v>
      </c>
      <c r="F121" s="608">
        <v>0</v>
      </c>
      <c r="G121" s="608">
        <v>0</v>
      </c>
      <c r="H121" s="608">
        <v>0</v>
      </c>
      <c r="I121" s="605">
        <v>0</v>
      </c>
    </row>
    <row r="122" spans="1:9" ht="16.5" customHeight="1" x14ac:dyDescent="0.25">
      <c r="A122" s="885"/>
      <c r="B122" s="597" t="s">
        <v>570</v>
      </c>
      <c r="C122" s="603" t="s">
        <v>572</v>
      </c>
      <c r="D122" s="608">
        <v>689070000</v>
      </c>
      <c r="E122" s="608">
        <v>483246000</v>
      </c>
      <c r="F122" s="608">
        <v>358986578</v>
      </c>
      <c r="G122" s="608">
        <v>358986578</v>
      </c>
      <c r="H122" s="608">
        <v>71775801</v>
      </c>
      <c r="I122" s="605">
        <v>0.19994006851141938</v>
      </c>
    </row>
    <row r="123" spans="1:9" ht="16.5" customHeight="1" x14ac:dyDescent="0.25">
      <c r="A123" s="885"/>
      <c r="B123" s="895" t="s">
        <v>565</v>
      </c>
      <c r="C123" s="603" t="s">
        <v>573</v>
      </c>
      <c r="D123" s="608">
        <v>1277236000</v>
      </c>
      <c r="E123" s="609">
        <v>1277236000</v>
      </c>
      <c r="F123" s="609">
        <v>1162045000</v>
      </c>
      <c r="G123" s="609">
        <v>1162045000</v>
      </c>
      <c r="H123" s="609">
        <v>164897501</v>
      </c>
      <c r="I123" s="605">
        <v>0.14190285315973133</v>
      </c>
    </row>
    <row r="124" spans="1:9" ht="16.5" customHeight="1" x14ac:dyDescent="0.25">
      <c r="A124" s="885"/>
      <c r="B124" s="895"/>
      <c r="C124" s="603" t="s">
        <v>574</v>
      </c>
      <c r="D124" s="608">
        <v>16912000</v>
      </c>
      <c r="E124" s="609">
        <v>16912000</v>
      </c>
      <c r="F124" s="609">
        <v>0</v>
      </c>
      <c r="G124" s="609">
        <v>0</v>
      </c>
      <c r="H124" s="609">
        <v>0</v>
      </c>
      <c r="I124" s="605">
        <v>0</v>
      </c>
    </row>
    <row r="125" spans="1:9" ht="16.5" customHeight="1" x14ac:dyDescent="0.25">
      <c r="A125" s="886"/>
      <c r="B125" s="597" t="s">
        <v>562</v>
      </c>
      <c r="C125" s="603" t="s">
        <v>572</v>
      </c>
      <c r="D125" s="608">
        <v>691670000</v>
      </c>
      <c r="E125" s="608">
        <v>528678000</v>
      </c>
      <c r="F125" s="609">
        <v>516118000</v>
      </c>
      <c r="G125" s="609">
        <v>516118000</v>
      </c>
      <c r="H125" s="609">
        <v>104126700</v>
      </c>
      <c r="I125" s="605">
        <v>0.20174979365183932</v>
      </c>
    </row>
    <row r="126" spans="1:9" ht="16.5" customHeight="1" x14ac:dyDescent="0.25">
      <c r="A126" s="884" t="s">
        <v>148</v>
      </c>
      <c r="B126" s="597" t="s">
        <v>571</v>
      </c>
      <c r="C126" s="603" t="s">
        <v>572</v>
      </c>
      <c r="D126" s="608">
        <v>1564678000</v>
      </c>
      <c r="E126" s="609">
        <v>871335614</v>
      </c>
      <c r="F126" s="609">
        <v>871181753</v>
      </c>
      <c r="G126" s="609">
        <v>871181753</v>
      </c>
      <c r="H126" s="609">
        <v>208815171</v>
      </c>
      <c r="I126" s="605">
        <v>0.23969185566722953</v>
      </c>
    </row>
    <row r="127" spans="1:9" ht="16.5" customHeight="1" x14ac:dyDescent="0.25">
      <c r="A127" s="885"/>
      <c r="B127" s="597" t="s">
        <v>563</v>
      </c>
      <c r="C127" s="603" t="s">
        <v>572</v>
      </c>
      <c r="D127" s="609">
        <v>1374057000</v>
      </c>
      <c r="E127" s="609">
        <v>1262994000</v>
      </c>
      <c r="F127" s="609">
        <v>1215729000</v>
      </c>
      <c r="G127" s="609">
        <v>1215729000</v>
      </c>
      <c r="H127" s="609">
        <v>386596068</v>
      </c>
      <c r="I127" s="605">
        <v>0.31799526703730846</v>
      </c>
    </row>
    <row r="128" spans="1:9" ht="16.5" customHeight="1" x14ac:dyDescent="0.25">
      <c r="A128" s="885"/>
      <c r="B128" s="895" t="s">
        <v>569</v>
      </c>
      <c r="C128" s="603" t="s">
        <v>572</v>
      </c>
      <c r="D128" s="608">
        <v>2007824000</v>
      </c>
      <c r="E128" s="608">
        <v>1636091000</v>
      </c>
      <c r="F128" s="609">
        <v>1569526714</v>
      </c>
      <c r="G128" s="609">
        <v>1569526714</v>
      </c>
      <c r="H128" s="609">
        <v>483936563</v>
      </c>
      <c r="I128" s="605">
        <v>0.30833279783220052</v>
      </c>
    </row>
    <row r="129" spans="1:9" ht="16.5" customHeight="1" x14ac:dyDescent="0.25">
      <c r="A129" s="885"/>
      <c r="B129" s="895"/>
      <c r="C129" s="603" t="s">
        <v>573</v>
      </c>
      <c r="D129" s="608">
        <v>792348000</v>
      </c>
      <c r="E129" s="608">
        <v>792348000</v>
      </c>
      <c r="F129" s="609">
        <v>622989000</v>
      </c>
      <c r="G129" s="609">
        <v>622989000</v>
      </c>
      <c r="H129" s="609">
        <v>189768200</v>
      </c>
      <c r="I129" s="605">
        <v>0.30460923066057344</v>
      </c>
    </row>
    <row r="130" spans="1:9" ht="16.5" customHeight="1" x14ac:dyDescent="0.25">
      <c r="A130" s="885"/>
      <c r="B130" s="895"/>
      <c r="C130" s="603" t="s">
        <v>574</v>
      </c>
      <c r="D130" s="608">
        <v>173604000</v>
      </c>
      <c r="E130" s="608">
        <v>173604000</v>
      </c>
      <c r="F130" s="609">
        <v>0</v>
      </c>
      <c r="G130" s="609">
        <v>0</v>
      </c>
      <c r="H130" s="609">
        <v>0</v>
      </c>
      <c r="I130" s="605">
        <v>0</v>
      </c>
    </row>
    <row r="131" spans="1:9" ht="16.5" customHeight="1" x14ac:dyDescent="0.25">
      <c r="A131" s="885"/>
      <c r="B131" s="895" t="s">
        <v>567</v>
      </c>
      <c r="C131" s="603" t="s">
        <v>572</v>
      </c>
      <c r="D131" s="608">
        <v>1180481000</v>
      </c>
      <c r="E131" s="608">
        <v>1153575000</v>
      </c>
      <c r="F131" s="609">
        <v>1151575000</v>
      </c>
      <c r="G131" s="609">
        <v>1151575000</v>
      </c>
      <c r="H131" s="609">
        <v>358671999</v>
      </c>
      <c r="I131" s="605">
        <v>0.31146212708681587</v>
      </c>
    </row>
    <row r="132" spans="1:9" ht="16.5" customHeight="1" x14ac:dyDescent="0.25">
      <c r="A132" s="885"/>
      <c r="B132" s="895"/>
      <c r="C132" s="603" t="s">
        <v>574</v>
      </c>
      <c r="D132" s="608">
        <v>300000000</v>
      </c>
      <c r="E132" s="608">
        <v>300000000</v>
      </c>
      <c r="F132" s="609">
        <v>0</v>
      </c>
      <c r="G132" s="609">
        <v>0</v>
      </c>
      <c r="H132" s="609">
        <v>0</v>
      </c>
      <c r="I132" s="605">
        <v>0</v>
      </c>
    </row>
    <row r="133" spans="1:9" ht="16.5" customHeight="1" x14ac:dyDescent="0.25">
      <c r="A133" s="885"/>
      <c r="B133" s="597" t="s">
        <v>570</v>
      </c>
      <c r="C133" s="603" t="s">
        <v>572</v>
      </c>
      <c r="D133" s="608">
        <v>689070000</v>
      </c>
      <c r="E133" s="608">
        <v>483246000</v>
      </c>
      <c r="F133" s="609">
        <v>455766292</v>
      </c>
      <c r="G133" s="609">
        <v>455766292</v>
      </c>
      <c r="H133" s="609">
        <v>122385759</v>
      </c>
      <c r="I133" s="605">
        <v>0.26852744739621948</v>
      </c>
    </row>
    <row r="134" spans="1:9" ht="16.5" customHeight="1" x14ac:dyDescent="0.25">
      <c r="A134" s="885"/>
      <c r="B134" s="895" t="s">
        <v>565</v>
      </c>
      <c r="C134" s="603" t="s">
        <v>573</v>
      </c>
      <c r="D134" s="608">
        <v>1277236000</v>
      </c>
      <c r="E134" s="609">
        <v>1277236000</v>
      </c>
      <c r="F134" s="609">
        <v>1162045000</v>
      </c>
      <c r="G134" s="609">
        <v>1162045000</v>
      </c>
      <c r="H134" s="609">
        <v>318285901</v>
      </c>
      <c r="I134" s="605">
        <v>0.27390152790984856</v>
      </c>
    </row>
    <row r="135" spans="1:9" ht="16.5" customHeight="1" x14ac:dyDescent="0.25">
      <c r="A135" s="885"/>
      <c r="B135" s="895"/>
      <c r="C135" s="603" t="s">
        <v>574</v>
      </c>
      <c r="D135" s="608">
        <v>16912000</v>
      </c>
      <c r="E135" s="609">
        <v>16912000</v>
      </c>
      <c r="F135" s="609">
        <v>0</v>
      </c>
      <c r="G135" s="609">
        <v>0</v>
      </c>
      <c r="H135" s="609">
        <v>0</v>
      </c>
      <c r="I135" s="605">
        <v>0</v>
      </c>
    </row>
    <row r="136" spans="1:9" ht="16.5" customHeight="1" x14ac:dyDescent="0.25">
      <c r="A136" s="886"/>
      <c r="B136" s="597" t="s">
        <v>562</v>
      </c>
      <c r="C136" s="603" t="s">
        <v>572</v>
      </c>
      <c r="D136" s="608">
        <v>691670000</v>
      </c>
      <c r="E136" s="608">
        <v>528678000</v>
      </c>
      <c r="F136" s="609">
        <v>516118000</v>
      </c>
      <c r="G136" s="609">
        <v>516118000</v>
      </c>
      <c r="H136" s="609">
        <v>163380167</v>
      </c>
      <c r="I136" s="605">
        <v>0.31655583994357878</v>
      </c>
    </row>
    <row r="137" spans="1:9" ht="16.5" customHeight="1" x14ac:dyDescent="0.25">
      <c r="A137" s="57" t="s">
        <v>136</v>
      </c>
      <c r="B137" s="57"/>
      <c r="C137" s="57"/>
      <c r="D137" s="57"/>
      <c r="E137" s="57"/>
      <c r="F137" s="57"/>
      <c r="G137" s="57"/>
      <c r="H137" s="57"/>
      <c r="I137" s="605" t="e">
        <f t="shared" ref="I137:I142" si="2">H137/F137</f>
        <v>#DIV/0!</v>
      </c>
    </row>
    <row r="138" spans="1:9" ht="16.5" customHeight="1" x14ac:dyDescent="0.25">
      <c r="A138" s="57" t="s">
        <v>137</v>
      </c>
      <c r="B138" s="57"/>
      <c r="C138" s="57"/>
      <c r="D138" s="57"/>
      <c r="E138" s="57"/>
      <c r="F138" s="57"/>
      <c r="G138" s="57"/>
      <c r="H138" s="57"/>
      <c r="I138" s="605" t="e">
        <f t="shared" si="2"/>
        <v>#DIV/0!</v>
      </c>
    </row>
    <row r="139" spans="1:9" ht="16.5" customHeight="1" x14ac:dyDescent="0.25">
      <c r="A139" s="57" t="s">
        <v>138</v>
      </c>
      <c r="B139" s="57"/>
      <c r="C139" s="57"/>
      <c r="D139" s="57"/>
      <c r="E139" s="57"/>
      <c r="F139" s="57"/>
      <c r="G139" s="57"/>
      <c r="H139" s="57"/>
      <c r="I139" s="605" t="e">
        <f t="shared" si="2"/>
        <v>#DIV/0!</v>
      </c>
    </row>
    <row r="140" spans="1:9" ht="16.5" customHeight="1" x14ac:dyDescent="0.25">
      <c r="A140" s="57" t="s">
        <v>139</v>
      </c>
      <c r="B140" s="57"/>
      <c r="C140" s="57"/>
      <c r="D140" s="57"/>
      <c r="E140" s="57"/>
      <c r="F140" s="57"/>
      <c r="G140" s="57"/>
      <c r="H140" s="57"/>
      <c r="I140" s="605" t="e">
        <f t="shared" si="2"/>
        <v>#DIV/0!</v>
      </c>
    </row>
    <row r="141" spans="1:9" ht="16.5" customHeight="1" x14ac:dyDescent="0.25">
      <c r="A141" s="57" t="s">
        <v>140</v>
      </c>
      <c r="B141" s="57"/>
      <c r="C141" s="57"/>
      <c r="D141" s="57"/>
      <c r="E141" s="57"/>
      <c r="F141" s="57"/>
      <c r="G141" s="57"/>
      <c r="H141" s="57"/>
      <c r="I141" s="605" t="e">
        <f t="shared" si="2"/>
        <v>#DIV/0!</v>
      </c>
    </row>
    <row r="142" spans="1:9" ht="16.5" customHeight="1" x14ac:dyDescent="0.25">
      <c r="A142" s="57" t="s">
        <v>141</v>
      </c>
      <c r="B142" s="57"/>
      <c r="C142" s="57"/>
      <c r="D142" s="57"/>
      <c r="E142" s="57"/>
      <c r="F142" s="57"/>
      <c r="G142" s="57"/>
      <c r="H142" s="57"/>
      <c r="I142" s="605" t="e">
        <f t="shared" si="2"/>
        <v>#DIV/0!</v>
      </c>
    </row>
    <row r="143" spans="1:9" ht="16.5" customHeight="1" x14ac:dyDescent="0.25"/>
    <row r="144" spans="1:9" ht="24.75" hidden="1" customHeight="1" x14ac:dyDescent="0.25">
      <c r="A144" s="903" t="s">
        <v>149</v>
      </c>
      <c r="B144" s="903"/>
      <c r="C144" s="903"/>
      <c r="D144" s="903"/>
      <c r="E144" s="903"/>
      <c r="F144" s="903"/>
      <c r="G144" s="903"/>
      <c r="H144" s="903"/>
    </row>
    <row r="145" spans="1:8" ht="25.5" hidden="1" customHeight="1" x14ac:dyDescent="0.25">
      <c r="A145" s="595" t="s">
        <v>62</v>
      </c>
      <c r="B145" s="54" t="s">
        <v>129</v>
      </c>
      <c r="C145" s="54" t="s">
        <v>130</v>
      </c>
      <c r="D145" s="54" t="s">
        <v>131</v>
      </c>
      <c r="E145" s="54" t="s">
        <v>132</v>
      </c>
      <c r="F145" s="54" t="s">
        <v>133</v>
      </c>
      <c r="G145" s="54" t="s">
        <v>134</v>
      </c>
      <c r="H145" s="54" t="s">
        <v>135</v>
      </c>
    </row>
    <row r="146" spans="1:8" ht="16.5" hidden="1" customHeight="1" x14ac:dyDescent="0.25">
      <c r="A146" s="57" t="s">
        <v>143</v>
      </c>
      <c r="B146" s="57"/>
      <c r="C146" s="57"/>
      <c r="D146" s="57"/>
      <c r="E146" s="57"/>
      <c r="F146" s="57"/>
      <c r="G146" s="57"/>
      <c r="H146" s="57" t="e">
        <f t="shared" ref="H146:H157" si="3">G146/E146</f>
        <v>#DIV/0!</v>
      </c>
    </row>
    <row r="147" spans="1:8" ht="16.5" hidden="1" customHeight="1" x14ac:dyDescent="0.25">
      <c r="A147" s="57" t="s">
        <v>144</v>
      </c>
      <c r="B147" s="57"/>
      <c r="C147" s="57"/>
      <c r="D147" s="57"/>
      <c r="E147" s="57"/>
      <c r="F147" s="57"/>
      <c r="G147" s="57"/>
      <c r="H147" s="57" t="e">
        <f t="shared" si="3"/>
        <v>#DIV/0!</v>
      </c>
    </row>
    <row r="148" spans="1:8" ht="16.5" hidden="1" customHeight="1" x14ac:dyDescent="0.25">
      <c r="A148" s="57" t="s">
        <v>145</v>
      </c>
      <c r="B148" s="57"/>
      <c r="C148" s="57"/>
      <c r="D148" s="57"/>
      <c r="E148" s="57"/>
      <c r="F148" s="57"/>
      <c r="G148" s="57"/>
      <c r="H148" s="57" t="e">
        <f t="shared" si="3"/>
        <v>#DIV/0!</v>
      </c>
    </row>
    <row r="149" spans="1:8" ht="16.5" hidden="1" customHeight="1" x14ac:dyDescent="0.25">
      <c r="A149" s="57" t="s">
        <v>146</v>
      </c>
      <c r="B149" s="57"/>
      <c r="C149" s="57"/>
      <c r="D149" s="57"/>
      <c r="E149" s="57"/>
      <c r="F149" s="57"/>
      <c r="G149" s="57"/>
      <c r="H149" s="57" t="e">
        <f t="shared" si="3"/>
        <v>#DIV/0!</v>
      </c>
    </row>
    <row r="150" spans="1:8" ht="16.5" hidden="1" customHeight="1" x14ac:dyDescent="0.25">
      <c r="A150" s="57" t="s">
        <v>147</v>
      </c>
      <c r="B150" s="57"/>
      <c r="C150" s="57"/>
      <c r="D150" s="57"/>
      <c r="E150" s="57"/>
      <c r="F150" s="57"/>
      <c r="G150" s="57"/>
      <c r="H150" s="57" t="e">
        <f t="shared" si="3"/>
        <v>#DIV/0!</v>
      </c>
    </row>
    <row r="151" spans="1:8" ht="16.5" hidden="1" customHeight="1" x14ac:dyDescent="0.25">
      <c r="A151" s="57" t="s">
        <v>148</v>
      </c>
      <c r="B151" s="57"/>
      <c r="C151" s="57"/>
      <c r="D151" s="57"/>
      <c r="E151" s="57"/>
      <c r="F151" s="57"/>
      <c r="G151" s="57"/>
      <c r="H151" s="57" t="e">
        <f t="shared" si="3"/>
        <v>#DIV/0!</v>
      </c>
    </row>
    <row r="152" spans="1:8" ht="16.5" hidden="1" customHeight="1" x14ac:dyDescent="0.25">
      <c r="A152" s="57" t="s">
        <v>136</v>
      </c>
      <c r="B152" s="57"/>
      <c r="C152" s="57"/>
      <c r="D152" s="57"/>
      <c r="E152" s="57"/>
      <c r="F152" s="57"/>
      <c r="G152" s="57"/>
      <c r="H152" s="57" t="e">
        <f t="shared" si="3"/>
        <v>#DIV/0!</v>
      </c>
    </row>
    <row r="153" spans="1:8" ht="16.5" hidden="1" customHeight="1" x14ac:dyDescent="0.25">
      <c r="A153" s="57" t="s">
        <v>137</v>
      </c>
      <c r="B153" s="57"/>
      <c r="C153" s="57"/>
      <c r="D153" s="57"/>
      <c r="E153" s="57"/>
      <c r="F153" s="57"/>
      <c r="G153" s="57"/>
      <c r="H153" s="57" t="e">
        <f t="shared" si="3"/>
        <v>#DIV/0!</v>
      </c>
    </row>
    <row r="154" spans="1:8" ht="16.5" hidden="1" customHeight="1" x14ac:dyDescent="0.25">
      <c r="A154" s="57" t="s">
        <v>138</v>
      </c>
      <c r="B154" s="57"/>
      <c r="C154" s="57"/>
      <c r="D154" s="57"/>
      <c r="E154" s="57"/>
      <c r="F154" s="57"/>
      <c r="G154" s="57"/>
      <c r="H154" s="57" t="e">
        <f t="shared" si="3"/>
        <v>#DIV/0!</v>
      </c>
    </row>
    <row r="155" spans="1:8" ht="16.5" hidden="1" customHeight="1" x14ac:dyDescent="0.25">
      <c r="A155" s="57" t="s">
        <v>139</v>
      </c>
      <c r="B155" s="57"/>
      <c r="C155" s="57"/>
      <c r="D155" s="57"/>
      <c r="E155" s="57"/>
      <c r="F155" s="57"/>
      <c r="G155" s="57"/>
      <c r="H155" s="57" t="e">
        <f t="shared" si="3"/>
        <v>#DIV/0!</v>
      </c>
    </row>
    <row r="156" spans="1:8" ht="16.5" hidden="1" customHeight="1" x14ac:dyDescent="0.25">
      <c r="A156" s="57" t="s">
        <v>140</v>
      </c>
      <c r="B156" s="57"/>
      <c r="C156" s="57"/>
      <c r="D156" s="57"/>
      <c r="E156" s="57"/>
      <c r="F156" s="57"/>
      <c r="G156" s="57"/>
      <c r="H156" s="57" t="e">
        <f t="shared" si="3"/>
        <v>#DIV/0!</v>
      </c>
    </row>
    <row r="157" spans="1:8" ht="16.5" hidden="1" customHeight="1" x14ac:dyDescent="0.25">
      <c r="A157" s="57" t="s">
        <v>141</v>
      </c>
      <c r="B157" s="57"/>
      <c r="C157" s="57"/>
      <c r="D157" s="57"/>
      <c r="E157" s="57"/>
      <c r="F157" s="57"/>
      <c r="G157" s="57"/>
      <c r="H157" s="57" t="e">
        <f t="shared" si="3"/>
        <v>#DIV/0!</v>
      </c>
    </row>
    <row r="158" spans="1:8" ht="16.5" hidden="1" customHeight="1" x14ac:dyDescent="0.25"/>
    <row r="159" spans="1:8" ht="27.75" hidden="1" customHeight="1" x14ac:dyDescent="0.25">
      <c r="A159" s="903" t="s">
        <v>150</v>
      </c>
      <c r="B159" s="903"/>
      <c r="C159" s="903"/>
      <c r="D159" s="903"/>
      <c r="E159" s="903"/>
      <c r="F159" s="903"/>
      <c r="G159" s="903"/>
      <c r="H159" s="903"/>
    </row>
    <row r="160" spans="1:8" ht="25.5" hidden="1" customHeight="1" x14ac:dyDescent="0.25">
      <c r="A160" s="595" t="s">
        <v>63</v>
      </c>
      <c r="B160" s="54" t="s">
        <v>129</v>
      </c>
      <c r="C160" s="54" t="s">
        <v>130</v>
      </c>
      <c r="D160" s="54" t="s">
        <v>131</v>
      </c>
      <c r="E160" s="54" t="s">
        <v>132</v>
      </c>
      <c r="F160" s="54" t="s">
        <v>133</v>
      </c>
      <c r="G160" s="54" t="s">
        <v>134</v>
      </c>
      <c r="H160" s="54" t="s">
        <v>135</v>
      </c>
    </row>
    <row r="161" spans="1:8" ht="16.5" hidden="1" customHeight="1" x14ac:dyDescent="0.25">
      <c r="A161" s="57" t="s">
        <v>143</v>
      </c>
      <c r="B161" s="57"/>
      <c r="C161" s="57"/>
      <c r="D161" s="57"/>
      <c r="E161" s="57"/>
      <c r="F161" s="57"/>
      <c r="G161" s="57"/>
      <c r="H161" s="57" t="e">
        <f t="shared" ref="H161:H172" si="4">G161/E161</f>
        <v>#DIV/0!</v>
      </c>
    </row>
    <row r="162" spans="1:8" ht="16.5" hidden="1" customHeight="1" x14ac:dyDescent="0.25">
      <c r="A162" s="57" t="s">
        <v>144</v>
      </c>
      <c r="B162" s="57"/>
      <c r="C162" s="57"/>
      <c r="D162" s="57"/>
      <c r="E162" s="57"/>
      <c r="F162" s="57"/>
      <c r="G162" s="57"/>
      <c r="H162" s="57" t="e">
        <f t="shared" si="4"/>
        <v>#DIV/0!</v>
      </c>
    </row>
    <row r="163" spans="1:8" ht="16.5" hidden="1" customHeight="1" x14ac:dyDescent="0.25">
      <c r="A163" s="57" t="s">
        <v>145</v>
      </c>
      <c r="B163" s="57"/>
      <c r="C163" s="57"/>
      <c r="D163" s="57"/>
      <c r="E163" s="57"/>
      <c r="F163" s="57"/>
      <c r="G163" s="57"/>
      <c r="H163" s="57" t="e">
        <f t="shared" si="4"/>
        <v>#DIV/0!</v>
      </c>
    </row>
    <row r="164" spans="1:8" ht="16.5" hidden="1" customHeight="1" x14ac:dyDescent="0.25">
      <c r="A164" s="57" t="s">
        <v>146</v>
      </c>
      <c r="B164" s="57"/>
      <c r="C164" s="57"/>
      <c r="D164" s="57"/>
      <c r="E164" s="57"/>
      <c r="F164" s="57"/>
      <c r="G164" s="57"/>
      <c r="H164" s="57" t="e">
        <f t="shared" si="4"/>
        <v>#DIV/0!</v>
      </c>
    </row>
    <row r="165" spans="1:8" ht="16.5" hidden="1" customHeight="1" x14ac:dyDescent="0.25">
      <c r="A165" s="57" t="s">
        <v>147</v>
      </c>
      <c r="B165" s="57"/>
      <c r="C165" s="57"/>
      <c r="D165" s="57"/>
      <c r="E165" s="57"/>
      <c r="F165" s="57"/>
      <c r="G165" s="57"/>
      <c r="H165" s="57" t="e">
        <f t="shared" si="4"/>
        <v>#DIV/0!</v>
      </c>
    </row>
    <row r="166" spans="1:8" ht="16.5" hidden="1" customHeight="1" x14ac:dyDescent="0.25">
      <c r="A166" s="57" t="s">
        <v>148</v>
      </c>
      <c r="B166" s="57"/>
      <c r="C166" s="57"/>
      <c r="D166" s="57"/>
      <c r="E166" s="57"/>
      <c r="F166" s="57"/>
      <c r="G166" s="57"/>
      <c r="H166" s="57" t="e">
        <f t="shared" si="4"/>
        <v>#DIV/0!</v>
      </c>
    </row>
    <row r="167" spans="1:8" ht="16.5" hidden="1" customHeight="1" x14ac:dyDescent="0.25">
      <c r="A167" s="57" t="s">
        <v>136</v>
      </c>
      <c r="B167" s="57"/>
      <c r="C167" s="57"/>
      <c r="D167" s="57"/>
      <c r="E167" s="57"/>
      <c r="F167" s="57"/>
      <c r="G167" s="57"/>
      <c r="H167" s="57" t="e">
        <f t="shared" si="4"/>
        <v>#DIV/0!</v>
      </c>
    </row>
    <row r="168" spans="1:8" ht="16.5" hidden="1" customHeight="1" x14ac:dyDescent="0.25">
      <c r="A168" s="57" t="s">
        <v>137</v>
      </c>
      <c r="B168" s="57"/>
      <c r="C168" s="57"/>
      <c r="D168" s="57"/>
      <c r="E168" s="57"/>
      <c r="F168" s="57"/>
      <c r="G168" s="57"/>
      <c r="H168" s="57" t="e">
        <f t="shared" si="4"/>
        <v>#DIV/0!</v>
      </c>
    </row>
    <row r="169" spans="1:8" ht="16.5" hidden="1" customHeight="1" x14ac:dyDescent="0.25">
      <c r="A169" s="57" t="s">
        <v>138</v>
      </c>
      <c r="B169" s="57"/>
      <c r="C169" s="57"/>
      <c r="D169" s="57"/>
      <c r="E169" s="57"/>
      <c r="F169" s="57"/>
      <c r="G169" s="57"/>
      <c r="H169" s="57" t="e">
        <f t="shared" si="4"/>
        <v>#DIV/0!</v>
      </c>
    </row>
    <row r="170" spans="1:8" ht="16.5" hidden="1" customHeight="1" x14ac:dyDescent="0.25">
      <c r="A170" s="57" t="s">
        <v>139</v>
      </c>
      <c r="B170" s="57"/>
      <c r="C170" s="57"/>
      <c r="D170" s="57"/>
      <c r="E170" s="57"/>
      <c r="F170" s="57"/>
      <c r="G170" s="57"/>
      <c r="H170" s="57" t="e">
        <f t="shared" si="4"/>
        <v>#DIV/0!</v>
      </c>
    </row>
    <row r="171" spans="1:8" ht="16.5" hidden="1" customHeight="1" x14ac:dyDescent="0.25">
      <c r="A171" s="57" t="s">
        <v>140</v>
      </c>
      <c r="B171" s="57"/>
      <c r="C171" s="57"/>
      <c r="D171" s="57"/>
      <c r="E171" s="57"/>
      <c r="F171" s="57"/>
      <c r="G171" s="57"/>
      <c r="H171" s="57" t="e">
        <f t="shared" si="4"/>
        <v>#DIV/0!</v>
      </c>
    </row>
    <row r="172" spans="1:8" ht="16.5" hidden="1" customHeight="1" x14ac:dyDescent="0.25">
      <c r="A172" s="57" t="s">
        <v>141</v>
      </c>
      <c r="B172" s="57"/>
      <c r="C172" s="57"/>
      <c r="D172" s="57"/>
      <c r="E172" s="57"/>
      <c r="F172" s="57"/>
      <c r="G172" s="57"/>
      <c r="H172" s="57" t="e">
        <f t="shared" si="4"/>
        <v>#DIV/0!</v>
      </c>
    </row>
    <row r="173" spans="1:8" ht="16.5" hidden="1" customHeight="1" x14ac:dyDescent="0.25"/>
    <row r="174" spans="1:8" ht="23.25" hidden="1" customHeight="1" x14ac:dyDescent="0.25">
      <c r="A174" s="903" t="s">
        <v>151</v>
      </c>
      <c r="B174" s="903"/>
      <c r="C174" s="903"/>
      <c r="D174" s="903"/>
      <c r="E174" s="903"/>
      <c r="F174" s="903"/>
      <c r="G174" s="903"/>
      <c r="H174" s="903"/>
    </row>
    <row r="175" spans="1:8" ht="25.5" hidden="1" customHeight="1" x14ac:dyDescent="0.25">
      <c r="A175" s="595" t="s">
        <v>64</v>
      </c>
      <c r="B175" s="54" t="s">
        <v>129</v>
      </c>
      <c r="C175" s="54" t="s">
        <v>130</v>
      </c>
      <c r="D175" s="54" t="s">
        <v>131</v>
      </c>
      <c r="E175" s="54" t="s">
        <v>132</v>
      </c>
      <c r="F175" s="54" t="s">
        <v>133</v>
      </c>
      <c r="G175" s="54" t="s">
        <v>134</v>
      </c>
      <c r="H175" s="54" t="s">
        <v>135</v>
      </c>
    </row>
    <row r="176" spans="1:8" ht="16.5" hidden="1" customHeight="1" x14ac:dyDescent="0.25">
      <c r="A176" s="57" t="s">
        <v>143</v>
      </c>
      <c r="B176" s="57"/>
      <c r="C176" s="57"/>
      <c r="D176" s="57"/>
      <c r="E176" s="57"/>
      <c r="F176" s="57"/>
      <c r="G176" s="57"/>
      <c r="H176" s="57" t="e">
        <f t="shared" ref="H176:H187" si="5">G176/E176</f>
        <v>#DIV/0!</v>
      </c>
    </row>
    <row r="177" spans="1:14" ht="16.5" hidden="1" customHeight="1" x14ac:dyDescent="0.25">
      <c r="A177" s="57" t="s">
        <v>144</v>
      </c>
      <c r="B177" s="57"/>
      <c r="C177" s="57"/>
      <c r="D177" s="57"/>
      <c r="E177" s="57"/>
      <c r="F177" s="57"/>
      <c r="G177" s="57"/>
      <c r="H177" s="57" t="e">
        <f t="shared" si="5"/>
        <v>#DIV/0!</v>
      </c>
    </row>
    <row r="178" spans="1:14" ht="16.5" hidden="1" customHeight="1" x14ac:dyDescent="0.25">
      <c r="A178" s="57" t="s">
        <v>145</v>
      </c>
      <c r="B178" s="57"/>
      <c r="C178" s="57"/>
      <c r="D178" s="57"/>
      <c r="E178" s="57"/>
      <c r="F178" s="57"/>
      <c r="G178" s="57"/>
      <c r="H178" s="57" t="e">
        <f t="shared" si="5"/>
        <v>#DIV/0!</v>
      </c>
    </row>
    <row r="179" spans="1:14" ht="16.5" hidden="1" customHeight="1" x14ac:dyDescent="0.25">
      <c r="A179" s="57" t="s">
        <v>146</v>
      </c>
      <c r="B179" s="57"/>
      <c r="C179" s="57"/>
      <c r="D179" s="57"/>
      <c r="E179" s="57"/>
      <c r="F179" s="57"/>
      <c r="G179" s="57"/>
      <c r="H179" s="57" t="e">
        <f t="shared" si="5"/>
        <v>#DIV/0!</v>
      </c>
    </row>
    <row r="180" spans="1:14" ht="16.5" hidden="1" customHeight="1" x14ac:dyDescent="0.25">
      <c r="A180" s="57" t="s">
        <v>147</v>
      </c>
      <c r="B180" s="57"/>
      <c r="C180" s="57"/>
      <c r="D180" s="57"/>
      <c r="E180" s="57"/>
      <c r="F180" s="57"/>
      <c r="G180" s="57"/>
      <c r="H180" s="57" t="e">
        <f t="shared" si="5"/>
        <v>#DIV/0!</v>
      </c>
    </row>
    <row r="181" spans="1:14" ht="16.5" hidden="1" customHeight="1" x14ac:dyDescent="0.25">
      <c r="A181" s="57" t="s">
        <v>148</v>
      </c>
      <c r="B181" s="57"/>
      <c r="C181" s="57"/>
      <c r="D181" s="57"/>
      <c r="E181" s="57"/>
      <c r="F181" s="57"/>
      <c r="G181" s="57"/>
      <c r="H181" s="57" t="e">
        <f t="shared" si="5"/>
        <v>#DIV/0!</v>
      </c>
    </row>
    <row r="182" spans="1:14" ht="16.5" hidden="1" customHeight="1" x14ac:dyDescent="0.25">
      <c r="A182" s="57" t="s">
        <v>136</v>
      </c>
      <c r="B182" s="57"/>
      <c r="C182" s="57"/>
      <c r="D182" s="57"/>
      <c r="E182" s="57"/>
      <c r="F182" s="57"/>
      <c r="G182" s="57"/>
      <c r="H182" s="57" t="e">
        <f t="shared" si="5"/>
        <v>#DIV/0!</v>
      </c>
    </row>
    <row r="183" spans="1:14" ht="16.5" hidden="1" customHeight="1" x14ac:dyDescent="0.25">
      <c r="A183" s="57" t="s">
        <v>137</v>
      </c>
      <c r="B183" s="57"/>
      <c r="C183" s="57"/>
      <c r="D183" s="57"/>
      <c r="E183" s="57"/>
      <c r="F183" s="57"/>
      <c r="G183" s="57"/>
      <c r="H183" s="57" t="e">
        <f t="shared" si="5"/>
        <v>#DIV/0!</v>
      </c>
    </row>
    <row r="184" spans="1:14" ht="16.5" hidden="1" customHeight="1" x14ac:dyDescent="0.25">
      <c r="A184" s="57" t="s">
        <v>138</v>
      </c>
      <c r="B184" s="57"/>
      <c r="C184" s="57"/>
      <c r="D184" s="57"/>
      <c r="E184" s="57"/>
      <c r="F184" s="57"/>
      <c r="G184" s="57"/>
      <c r="H184" s="57" t="e">
        <f t="shared" si="5"/>
        <v>#DIV/0!</v>
      </c>
    </row>
    <row r="185" spans="1:14" ht="16.5" hidden="1" customHeight="1" x14ac:dyDescent="0.25">
      <c r="A185" s="57" t="s">
        <v>139</v>
      </c>
      <c r="B185" s="57"/>
      <c r="C185" s="57"/>
      <c r="D185" s="57"/>
      <c r="E185" s="57"/>
      <c r="F185" s="57"/>
      <c r="G185" s="57"/>
      <c r="H185" s="57" t="e">
        <f t="shared" si="5"/>
        <v>#DIV/0!</v>
      </c>
    </row>
    <row r="186" spans="1:14" ht="16.5" hidden="1" customHeight="1" x14ac:dyDescent="0.25">
      <c r="A186" s="57" t="s">
        <v>140</v>
      </c>
      <c r="B186" s="57"/>
      <c r="C186" s="57"/>
      <c r="D186" s="57"/>
      <c r="E186" s="57"/>
      <c r="F186" s="57"/>
      <c r="G186" s="57"/>
      <c r="H186" s="57" t="e">
        <f t="shared" si="5"/>
        <v>#DIV/0!</v>
      </c>
    </row>
    <row r="187" spans="1:14" ht="16.5" hidden="1" customHeight="1" x14ac:dyDescent="0.25">
      <c r="A187" s="57" t="s">
        <v>141</v>
      </c>
      <c r="B187" s="57"/>
      <c r="C187" s="57"/>
      <c r="D187" s="57"/>
      <c r="E187" s="57"/>
      <c r="F187" s="57"/>
      <c r="G187" s="57"/>
      <c r="H187" s="57" t="e">
        <f t="shared" si="5"/>
        <v>#DIV/0!</v>
      </c>
    </row>
    <row r="188" spans="1:14" ht="16.5" customHeight="1" x14ac:dyDescent="0.25"/>
    <row r="189" spans="1:14" s="96" customFormat="1" ht="31.15" customHeight="1" x14ac:dyDescent="0.25">
      <c r="A189" s="900" t="s">
        <v>152</v>
      </c>
      <c r="B189" s="901"/>
      <c r="C189" s="901"/>
      <c r="D189" s="901"/>
      <c r="E189" s="901"/>
      <c r="F189" s="901"/>
      <c r="G189" s="901"/>
      <c r="H189" s="901"/>
      <c r="I189" s="901"/>
      <c r="J189" s="901"/>
      <c r="K189" s="901"/>
      <c r="L189" s="901"/>
      <c r="M189" s="901"/>
      <c r="N189" s="902"/>
    </row>
    <row r="190" spans="1:14" s="96" customFormat="1" ht="44.25" customHeight="1" x14ac:dyDescent="0.25">
      <c r="A190" s="595" t="s">
        <v>49</v>
      </c>
      <c r="B190" s="54" t="s">
        <v>153</v>
      </c>
      <c r="C190" s="54" t="s">
        <v>154</v>
      </c>
      <c r="D190" s="54" t="s">
        <v>155</v>
      </c>
      <c r="E190" s="54" t="s">
        <v>156</v>
      </c>
      <c r="F190" s="54" t="s">
        <v>157</v>
      </c>
      <c r="G190" s="54" t="s">
        <v>158</v>
      </c>
      <c r="H190" s="54" t="s">
        <v>159</v>
      </c>
      <c r="I190" s="54" t="s">
        <v>160</v>
      </c>
      <c r="J190" s="54" t="s">
        <v>161</v>
      </c>
      <c r="K190" s="54" t="s">
        <v>162</v>
      </c>
      <c r="L190" s="54" t="s">
        <v>163</v>
      </c>
      <c r="M190" s="54" t="s">
        <v>164</v>
      </c>
      <c r="N190" s="54" t="s">
        <v>165</v>
      </c>
    </row>
    <row r="191" spans="1:14" s="612" customFormat="1" ht="49.9" customHeight="1" outlineLevel="1" x14ac:dyDescent="0.25">
      <c r="A191" s="895" t="s">
        <v>136</v>
      </c>
      <c r="B191" s="895" t="s">
        <v>575</v>
      </c>
      <c r="C191" s="895" t="s">
        <v>576</v>
      </c>
      <c r="D191" s="895" t="s">
        <v>577</v>
      </c>
      <c r="E191" s="895" t="s">
        <v>578</v>
      </c>
      <c r="F191" s="899">
        <v>0.45</v>
      </c>
      <c r="G191" s="597" t="s">
        <v>414</v>
      </c>
      <c r="H191" s="610" t="e">
        <f>+[3]INVERSIÓN!I10</f>
        <v>#REF!</v>
      </c>
      <c r="I191" s="610" t="e">
        <f>+[3]INVERSIÓN!J10</f>
        <v>#REF!</v>
      </c>
      <c r="J191" s="611" t="e">
        <f t="shared" ref="J191:J232" si="6">I191/H191</f>
        <v>#REF!</v>
      </c>
      <c r="K191" s="597">
        <v>0</v>
      </c>
      <c r="L191" s="597">
        <v>0</v>
      </c>
      <c r="M191" s="597" t="e">
        <f t="shared" ref="M191:M232" si="7">L191/K191</f>
        <v>#DIV/0!</v>
      </c>
      <c r="N191" s="597" t="s">
        <v>579</v>
      </c>
    </row>
    <row r="192" spans="1:14" s="612" customFormat="1" ht="49.9" customHeight="1" outlineLevel="1" x14ac:dyDescent="0.25">
      <c r="A192" s="895"/>
      <c r="B192" s="895"/>
      <c r="C192" s="895"/>
      <c r="D192" s="895"/>
      <c r="E192" s="895"/>
      <c r="F192" s="899"/>
      <c r="G192" s="597" t="s">
        <v>457</v>
      </c>
      <c r="H192" s="613" t="e">
        <f>+[3]INVERSIÓN!I16</f>
        <v>#REF!</v>
      </c>
      <c r="I192" s="613" t="e">
        <f>+[3]INVERSIÓN!J16</f>
        <v>#REF!</v>
      </c>
      <c r="J192" s="611" t="e">
        <f t="shared" si="6"/>
        <v>#REF!</v>
      </c>
      <c r="K192" s="597">
        <v>0</v>
      </c>
      <c r="L192" s="597">
        <v>0</v>
      </c>
      <c r="M192" s="597" t="e">
        <f t="shared" si="7"/>
        <v>#DIV/0!</v>
      </c>
      <c r="N192" s="597" t="s">
        <v>580</v>
      </c>
    </row>
    <row r="193" spans="1:14" s="612" customFormat="1" ht="49.9" customHeight="1" outlineLevel="1" x14ac:dyDescent="0.25">
      <c r="A193" s="895"/>
      <c r="B193" s="895"/>
      <c r="C193" s="895"/>
      <c r="D193" s="895"/>
      <c r="E193" s="895"/>
      <c r="F193" s="899"/>
      <c r="G193" s="597" t="s">
        <v>458</v>
      </c>
      <c r="H193" s="613" t="e">
        <f>+[3]INVERSIÓN!I22</f>
        <v>#REF!</v>
      </c>
      <c r="I193" s="613" t="e">
        <f>+[3]INVERSIÓN!J22</f>
        <v>#REF!</v>
      </c>
      <c r="J193" s="611" t="e">
        <f t="shared" si="6"/>
        <v>#REF!</v>
      </c>
      <c r="K193" s="597">
        <v>0</v>
      </c>
      <c r="L193" s="597">
        <v>0</v>
      </c>
      <c r="M193" s="597" t="e">
        <f t="shared" si="7"/>
        <v>#DIV/0!</v>
      </c>
      <c r="N193" s="597" t="s">
        <v>581</v>
      </c>
    </row>
    <row r="194" spans="1:14" s="612" customFormat="1" ht="49.9" customHeight="1" outlineLevel="1" x14ac:dyDescent="0.25">
      <c r="A194" s="895"/>
      <c r="B194" s="597" t="s">
        <v>582</v>
      </c>
      <c r="C194" s="597" t="s">
        <v>583</v>
      </c>
      <c r="D194" s="597" t="s">
        <v>584</v>
      </c>
      <c r="E194" s="597" t="s">
        <v>358</v>
      </c>
      <c r="F194" s="610">
        <v>0.15</v>
      </c>
      <c r="G194" s="597" t="s">
        <v>360</v>
      </c>
      <c r="H194" s="614" t="e">
        <f>+[3]INVERSIÓN!I28</f>
        <v>#REF!</v>
      </c>
      <c r="I194" s="614" t="e">
        <f>+[3]INVERSIÓN!J28</f>
        <v>#REF!</v>
      </c>
      <c r="J194" s="611" t="e">
        <f t="shared" si="6"/>
        <v>#REF!</v>
      </c>
      <c r="K194" s="597">
        <v>0</v>
      </c>
      <c r="L194" s="597">
        <v>0</v>
      </c>
      <c r="M194" s="597" t="e">
        <f t="shared" si="7"/>
        <v>#DIV/0!</v>
      </c>
      <c r="N194" s="597" t="s">
        <v>585</v>
      </c>
    </row>
    <row r="195" spans="1:14" s="612" customFormat="1" ht="49.9" customHeight="1" outlineLevel="1" x14ac:dyDescent="0.25">
      <c r="A195" s="895"/>
      <c r="B195" s="597" t="s">
        <v>586</v>
      </c>
      <c r="C195" s="597" t="s">
        <v>587</v>
      </c>
      <c r="D195" s="597" t="s">
        <v>588</v>
      </c>
      <c r="E195" s="597" t="s">
        <v>358</v>
      </c>
      <c r="F195" s="610">
        <v>0.15</v>
      </c>
      <c r="G195" s="597" t="s">
        <v>361</v>
      </c>
      <c r="H195" s="610" t="e">
        <f>+[3]INVERSIÓN!I34</f>
        <v>#REF!</v>
      </c>
      <c r="I195" s="610" t="e">
        <f>+[3]INVERSIÓN!J34</f>
        <v>#REF!</v>
      </c>
      <c r="J195" s="611" t="e">
        <f t="shared" si="6"/>
        <v>#REF!</v>
      </c>
      <c r="K195" s="597">
        <v>0</v>
      </c>
      <c r="L195" s="597">
        <v>0</v>
      </c>
      <c r="M195" s="597" t="e">
        <f t="shared" si="7"/>
        <v>#DIV/0!</v>
      </c>
      <c r="N195" s="597" t="s">
        <v>589</v>
      </c>
    </row>
    <row r="196" spans="1:14" s="612" customFormat="1" ht="49.9" customHeight="1" outlineLevel="1" x14ac:dyDescent="0.25">
      <c r="A196" s="895"/>
      <c r="B196" s="895" t="s">
        <v>590</v>
      </c>
      <c r="C196" s="895" t="s">
        <v>591</v>
      </c>
      <c r="D196" s="895" t="s">
        <v>592</v>
      </c>
      <c r="E196" s="895" t="s">
        <v>578</v>
      </c>
      <c r="F196" s="899">
        <v>0.25</v>
      </c>
      <c r="G196" s="597" t="s">
        <v>356</v>
      </c>
      <c r="H196" s="614" t="e">
        <f>+[3]INVERSIÓN!I40</f>
        <v>#REF!</v>
      </c>
      <c r="I196" s="614" t="e">
        <f>+[3]INVERSIÓN!J40</f>
        <v>#REF!</v>
      </c>
      <c r="J196" s="611" t="e">
        <f t="shared" si="6"/>
        <v>#REF!</v>
      </c>
      <c r="K196" s="597">
        <v>0</v>
      </c>
      <c r="L196" s="597">
        <v>0</v>
      </c>
      <c r="M196" s="597" t="e">
        <f t="shared" si="7"/>
        <v>#DIV/0!</v>
      </c>
      <c r="N196" s="597" t="s">
        <v>593</v>
      </c>
    </row>
    <row r="197" spans="1:14" s="612" customFormat="1" ht="49.9" customHeight="1" outlineLevel="1" x14ac:dyDescent="0.25">
      <c r="A197" s="895"/>
      <c r="B197" s="895"/>
      <c r="C197" s="895"/>
      <c r="D197" s="895"/>
      <c r="E197" s="895"/>
      <c r="F197" s="899"/>
      <c r="G197" s="597" t="s">
        <v>446</v>
      </c>
      <c r="H197" s="610" t="e">
        <f>+[3]INVERSIÓN!I46</f>
        <v>#REF!</v>
      </c>
      <c r="I197" s="610" t="e">
        <f>+[3]INVERSIÓN!J46</f>
        <v>#REF!</v>
      </c>
      <c r="J197" s="611" t="e">
        <f t="shared" si="6"/>
        <v>#REF!</v>
      </c>
      <c r="K197" s="597">
        <v>0</v>
      </c>
      <c r="L197" s="597">
        <v>0</v>
      </c>
      <c r="M197" s="597" t="e">
        <f t="shared" si="7"/>
        <v>#DIV/0!</v>
      </c>
      <c r="N197" s="597" t="s">
        <v>594</v>
      </c>
    </row>
    <row r="198" spans="1:14" s="616" customFormat="1" ht="49.9" customHeight="1" outlineLevel="1" x14ac:dyDescent="0.2">
      <c r="A198" s="848" t="s">
        <v>137</v>
      </c>
      <c r="B198" s="895" t="s">
        <v>575</v>
      </c>
      <c r="C198" s="895" t="s">
        <v>576</v>
      </c>
      <c r="D198" s="895" t="s">
        <v>577</v>
      </c>
      <c r="E198" s="895" t="s">
        <v>578</v>
      </c>
      <c r="F198" s="899">
        <v>0.45</v>
      </c>
      <c r="G198" s="597" t="s">
        <v>414</v>
      </c>
      <c r="H198" s="610" t="e">
        <f>+[3]INVERSIÓN!K10</f>
        <v>#REF!</v>
      </c>
      <c r="I198" s="610" t="e">
        <f>+[3]INVERSIÓN!L10</f>
        <v>#REF!</v>
      </c>
      <c r="J198" s="611" t="e">
        <f t="shared" si="6"/>
        <v>#REF!</v>
      </c>
      <c r="K198" s="584">
        <v>0</v>
      </c>
      <c r="L198" s="584">
        <v>0</v>
      </c>
      <c r="M198" s="597" t="e">
        <f t="shared" si="7"/>
        <v>#DIV/0!</v>
      </c>
      <c r="N198" s="615" t="s">
        <v>595</v>
      </c>
    </row>
    <row r="199" spans="1:14" s="616" customFormat="1" ht="49.9" customHeight="1" outlineLevel="1" x14ac:dyDescent="0.2">
      <c r="A199" s="848"/>
      <c r="B199" s="895"/>
      <c r="C199" s="895"/>
      <c r="D199" s="895"/>
      <c r="E199" s="895"/>
      <c r="F199" s="899"/>
      <c r="G199" s="597" t="s">
        <v>457</v>
      </c>
      <c r="H199" s="613" t="e">
        <f>+[3]INVERSIÓN!K16</f>
        <v>#REF!</v>
      </c>
      <c r="I199" s="613" t="e">
        <f>+[3]INVERSIÓN!L16</f>
        <v>#REF!</v>
      </c>
      <c r="J199" s="611" t="e">
        <f t="shared" si="6"/>
        <v>#REF!</v>
      </c>
      <c r="K199" s="584">
        <v>0</v>
      </c>
      <c r="L199" s="584">
        <v>0</v>
      </c>
      <c r="M199" s="597" t="e">
        <f t="shared" si="7"/>
        <v>#DIV/0!</v>
      </c>
      <c r="N199" s="615" t="s">
        <v>596</v>
      </c>
    </row>
    <row r="200" spans="1:14" s="616" customFormat="1" ht="49.9" customHeight="1" outlineLevel="1" x14ac:dyDescent="0.2">
      <c r="A200" s="848"/>
      <c r="B200" s="895"/>
      <c r="C200" s="895"/>
      <c r="D200" s="895"/>
      <c r="E200" s="895"/>
      <c r="F200" s="899"/>
      <c r="G200" s="597" t="s">
        <v>458</v>
      </c>
      <c r="H200" s="613" t="e">
        <f>+[3]INVERSIÓN!K22</f>
        <v>#REF!</v>
      </c>
      <c r="I200" s="613" t="e">
        <f>+[3]INVERSIÓN!L22</f>
        <v>#REF!</v>
      </c>
      <c r="J200" s="611" t="e">
        <f t="shared" si="6"/>
        <v>#REF!</v>
      </c>
      <c r="K200" s="584">
        <v>0</v>
      </c>
      <c r="L200" s="584">
        <v>0</v>
      </c>
      <c r="M200" s="597" t="e">
        <f t="shared" si="7"/>
        <v>#DIV/0!</v>
      </c>
      <c r="N200" s="615" t="s">
        <v>597</v>
      </c>
    </row>
    <row r="201" spans="1:14" s="616" customFormat="1" ht="49.9" customHeight="1" outlineLevel="1" x14ac:dyDescent="0.2">
      <c r="A201" s="848"/>
      <c r="B201" s="597" t="s">
        <v>582</v>
      </c>
      <c r="C201" s="597" t="s">
        <v>583</v>
      </c>
      <c r="D201" s="597" t="s">
        <v>584</v>
      </c>
      <c r="E201" s="597" t="s">
        <v>358</v>
      </c>
      <c r="F201" s="610">
        <v>0.15</v>
      </c>
      <c r="G201" s="597" t="s">
        <v>360</v>
      </c>
      <c r="H201" s="614" t="e">
        <f>+[3]INVERSIÓN!K28</f>
        <v>#REF!</v>
      </c>
      <c r="I201" s="614" t="e">
        <f>+[3]INVERSIÓN!L28</f>
        <v>#REF!</v>
      </c>
      <c r="J201" s="611" t="e">
        <f t="shared" si="6"/>
        <v>#REF!</v>
      </c>
      <c r="K201" s="584">
        <v>0</v>
      </c>
      <c r="L201" s="584">
        <v>0</v>
      </c>
      <c r="M201" s="597" t="e">
        <f t="shared" si="7"/>
        <v>#DIV/0!</v>
      </c>
      <c r="N201" s="615" t="s">
        <v>598</v>
      </c>
    </row>
    <row r="202" spans="1:14" s="616" customFormat="1" ht="49.9" customHeight="1" outlineLevel="1" x14ac:dyDescent="0.2">
      <c r="A202" s="848"/>
      <c r="B202" s="597" t="s">
        <v>586</v>
      </c>
      <c r="C202" s="597" t="s">
        <v>587</v>
      </c>
      <c r="D202" s="597" t="s">
        <v>588</v>
      </c>
      <c r="E202" s="597" t="s">
        <v>358</v>
      </c>
      <c r="F202" s="610">
        <v>0.15</v>
      </c>
      <c r="G202" s="597" t="s">
        <v>361</v>
      </c>
      <c r="H202" s="610" t="e">
        <f>+[3]INVERSIÓN!K34</f>
        <v>#REF!</v>
      </c>
      <c r="I202" s="610" t="e">
        <f>+[3]INVERSIÓN!L34</f>
        <v>#REF!</v>
      </c>
      <c r="J202" s="611" t="e">
        <f t="shared" si="6"/>
        <v>#REF!</v>
      </c>
      <c r="K202" s="584">
        <v>0</v>
      </c>
      <c r="L202" s="584">
        <v>0</v>
      </c>
      <c r="M202" s="597" t="e">
        <f t="shared" si="7"/>
        <v>#DIV/0!</v>
      </c>
      <c r="N202" s="615" t="s">
        <v>599</v>
      </c>
    </row>
    <row r="203" spans="1:14" s="616" customFormat="1" ht="49.9" customHeight="1" outlineLevel="1" x14ac:dyDescent="0.2">
      <c r="A203" s="848"/>
      <c r="B203" s="895" t="s">
        <v>590</v>
      </c>
      <c r="C203" s="895" t="s">
        <v>591</v>
      </c>
      <c r="D203" s="895" t="s">
        <v>592</v>
      </c>
      <c r="E203" s="895" t="s">
        <v>578</v>
      </c>
      <c r="F203" s="899">
        <v>0.25</v>
      </c>
      <c r="G203" s="597" t="s">
        <v>356</v>
      </c>
      <c r="H203" s="614" t="e">
        <f>+[3]INVERSIÓN!K40</f>
        <v>#REF!</v>
      </c>
      <c r="I203" s="614" t="e">
        <f>+[3]INVERSIÓN!L40</f>
        <v>#REF!</v>
      </c>
      <c r="J203" s="611" t="e">
        <f t="shared" si="6"/>
        <v>#REF!</v>
      </c>
      <c r="K203" s="584">
        <v>0</v>
      </c>
      <c r="L203" s="584">
        <v>0</v>
      </c>
      <c r="M203" s="597" t="e">
        <f t="shared" si="7"/>
        <v>#DIV/0!</v>
      </c>
      <c r="N203" s="615" t="s">
        <v>600</v>
      </c>
    </row>
    <row r="204" spans="1:14" s="616" customFormat="1" ht="49.9" customHeight="1" outlineLevel="1" x14ac:dyDescent="0.2">
      <c r="A204" s="848"/>
      <c r="B204" s="895"/>
      <c r="C204" s="895"/>
      <c r="D204" s="895"/>
      <c r="E204" s="895"/>
      <c r="F204" s="899"/>
      <c r="G204" s="597" t="s">
        <v>446</v>
      </c>
      <c r="H204" s="610" t="e">
        <f>+[3]INVERSIÓN!K46</f>
        <v>#REF!</v>
      </c>
      <c r="I204" s="610" t="e">
        <f>+[3]INVERSIÓN!L46</f>
        <v>#REF!</v>
      </c>
      <c r="J204" s="611" t="e">
        <f t="shared" si="6"/>
        <v>#REF!</v>
      </c>
      <c r="K204" s="584">
        <v>0</v>
      </c>
      <c r="L204" s="584">
        <v>0</v>
      </c>
      <c r="M204" s="597" t="e">
        <f t="shared" si="7"/>
        <v>#DIV/0!</v>
      </c>
      <c r="N204" s="615" t="s">
        <v>601</v>
      </c>
    </row>
    <row r="205" spans="1:14" s="616" customFormat="1" ht="49.9" customHeight="1" outlineLevel="1" x14ac:dyDescent="0.2">
      <c r="A205" s="848" t="s">
        <v>138</v>
      </c>
      <c r="B205" s="895" t="s">
        <v>575</v>
      </c>
      <c r="C205" s="895" t="s">
        <v>576</v>
      </c>
      <c r="D205" s="895" t="s">
        <v>577</v>
      </c>
      <c r="E205" s="895" t="s">
        <v>578</v>
      </c>
      <c r="F205" s="899">
        <v>0.45</v>
      </c>
      <c r="G205" s="597" t="s">
        <v>414</v>
      </c>
      <c r="H205" s="610" t="e">
        <f>+[3]INVERSIÓN!M10</f>
        <v>#REF!</v>
      </c>
      <c r="I205" s="610" t="e">
        <f>+[3]INVERSIÓN!N10</f>
        <v>#REF!</v>
      </c>
      <c r="J205" s="611" t="e">
        <f t="shared" si="6"/>
        <v>#REF!</v>
      </c>
      <c r="K205" s="584">
        <v>0</v>
      </c>
      <c r="L205" s="584">
        <v>0</v>
      </c>
      <c r="M205" s="597" t="e">
        <f t="shared" si="7"/>
        <v>#DIV/0!</v>
      </c>
      <c r="N205" s="615" t="s">
        <v>602</v>
      </c>
    </row>
    <row r="206" spans="1:14" s="616" customFormat="1" ht="49.9" customHeight="1" outlineLevel="1" x14ac:dyDescent="0.2">
      <c r="A206" s="848"/>
      <c r="B206" s="895"/>
      <c r="C206" s="895"/>
      <c r="D206" s="895"/>
      <c r="E206" s="895"/>
      <c r="F206" s="899"/>
      <c r="G206" s="597" t="s">
        <v>457</v>
      </c>
      <c r="H206" s="613" t="e">
        <f>+[3]INVERSIÓN!M16</f>
        <v>#REF!</v>
      </c>
      <c r="I206" s="613" t="e">
        <f>+[3]INVERSIÓN!N16</f>
        <v>#REF!</v>
      </c>
      <c r="J206" s="611" t="e">
        <f t="shared" si="6"/>
        <v>#REF!</v>
      </c>
      <c r="K206" s="584">
        <v>0</v>
      </c>
      <c r="L206" s="584">
        <v>0</v>
      </c>
      <c r="M206" s="597" t="e">
        <f t="shared" si="7"/>
        <v>#DIV/0!</v>
      </c>
      <c r="N206" s="615" t="s">
        <v>603</v>
      </c>
    </row>
    <row r="207" spans="1:14" s="616" customFormat="1" ht="49.9" customHeight="1" outlineLevel="1" x14ac:dyDescent="0.2">
      <c r="A207" s="848"/>
      <c r="B207" s="895"/>
      <c r="C207" s="895"/>
      <c r="D207" s="895"/>
      <c r="E207" s="895"/>
      <c r="F207" s="899"/>
      <c r="G207" s="597" t="s">
        <v>458</v>
      </c>
      <c r="H207" s="613" t="e">
        <f>+[3]INVERSIÓN!M22</f>
        <v>#REF!</v>
      </c>
      <c r="I207" s="613" t="e">
        <f>+[3]INVERSIÓN!N22</f>
        <v>#REF!</v>
      </c>
      <c r="J207" s="611" t="e">
        <f t="shared" si="6"/>
        <v>#REF!</v>
      </c>
      <c r="K207" s="584">
        <v>0</v>
      </c>
      <c r="L207" s="584">
        <v>0</v>
      </c>
      <c r="M207" s="597" t="e">
        <f t="shared" si="7"/>
        <v>#DIV/0!</v>
      </c>
      <c r="N207" s="615" t="s">
        <v>604</v>
      </c>
    </row>
    <row r="208" spans="1:14" s="616" customFormat="1" ht="49.9" customHeight="1" outlineLevel="1" x14ac:dyDescent="0.2">
      <c r="A208" s="848"/>
      <c r="B208" s="597" t="s">
        <v>582</v>
      </c>
      <c r="C208" s="597" t="s">
        <v>583</v>
      </c>
      <c r="D208" s="597" t="s">
        <v>584</v>
      </c>
      <c r="E208" s="597" t="s">
        <v>358</v>
      </c>
      <c r="F208" s="610">
        <v>0.15</v>
      </c>
      <c r="G208" s="597" t="s">
        <v>360</v>
      </c>
      <c r="H208" s="614" t="e">
        <f>+[3]INVERSIÓN!M28</f>
        <v>#REF!</v>
      </c>
      <c r="I208" s="614" t="e">
        <f>+[3]INVERSIÓN!N28</f>
        <v>#REF!</v>
      </c>
      <c r="J208" s="611" t="e">
        <f t="shared" si="6"/>
        <v>#REF!</v>
      </c>
      <c r="K208" s="584">
        <v>0</v>
      </c>
      <c r="L208" s="584">
        <v>0</v>
      </c>
      <c r="M208" s="597" t="e">
        <f t="shared" si="7"/>
        <v>#DIV/0!</v>
      </c>
      <c r="N208" s="615" t="s">
        <v>605</v>
      </c>
    </row>
    <row r="209" spans="1:14" s="616" customFormat="1" ht="49.9" customHeight="1" outlineLevel="1" x14ac:dyDescent="0.2">
      <c r="A209" s="848"/>
      <c r="B209" s="597" t="s">
        <v>586</v>
      </c>
      <c r="C209" s="597" t="s">
        <v>587</v>
      </c>
      <c r="D209" s="597" t="s">
        <v>588</v>
      </c>
      <c r="E209" s="597" t="s">
        <v>358</v>
      </c>
      <c r="F209" s="610">
        <v>0.15</v>
      </c>
      <c r="G209" s="597" t="s">
        <v>361</v>
      </c>
      <c r="H209" s="610" t="e">
        <f>+[3]INVERSIÓN!M34</f>
        <v>#REF!</v>
      </c>
      <c r="I209" s="610" t="e">
        <f>+[3]INVERSIÓN!N34</f>
        <v>#REF!</v>
      </c>
      <c r="J209" s="611" t="e">
        <f t="shared" si="6"/>
        <v>#REF!</v>
      </c>
      <c r="K209" s="584">
        <v>0</v>
      </c>
      <c r="L209" s="584">
        <v>0</v>
      </c>
      <c r="M209" s="597" t="e">
        <f t="shared" si="7"/>
        <v>#DIV/0!</v>
      </c>
      <c r="N209" s="615" t="s">
        <v>606</v>
      </c>
    </row>
    <row r="210" spans="1:14" s="616" customFormat="1" ht="49.9" customHeight="1" outlineLevel="1" x14ac:dyDescent="0.2">
      <c r="A210" s="848"/>
      <c r="B210" s="895" t="s">
        <v>590</v>
      </c>
      <c r="C210" s="895" t="s">
        <v>591</v>
      </c>
      <c r="D210" s="895" t="s">
        <v>592</v>
      </c>
      <c r="E210" s="895" t="s">
        <v>578</v>
      </c>
      <c r="F210" s="899">
        <v>0.25</v>
      </c>
      <c r="G210" s="597" t="s">
        <v>356</v>
      </c>
      <c r="H210" s="614" t="e">
        <f>+[3]INVERSIÓN!M40</f>
        <v>#REF!</v>
      </c>
      <c r="I210" s="614" t="e">
        <f>+[3]INVERSIÓN!N40</f>
        <v>#REF!</v>
      </c>
      <c r="J210" s="611" t="e">
        <f t="shared" si="6"/>
        <v>#REF!</v>
      </c>
      <c r="K210" s="584">
        <v>0</v>
      </c>
      <c r="L210" s="584">
        <v>0</v>
      </c>
      <c r="M210" s="597" t="e">
        <f t="shared" si="7"/>
        <v>#DIV/0!</v>
      </c>
      <c r="N210" s="615" t="s">
        <v>607</v>
      </c>
    </row>
    <row r="211" spans="1:14" s="616" customFormat="1" ht="49.9" customHeight="1" outlineLevel="1" x14ac:dyDescent="0.2">
      <c r="A211" s="848"/>
      <c r="B211" s="895"/>
      <c r="C211" s="895"/>
      <c r="D211" s="895"/>
      <c r="E211" s="895"/>
      <c r="F211" s="899"/>
      <c r="G211" s="597" t="s">
        <v>446</v>
      </c>
      <c r="H211" s="610" t="e">
        <f>+[3]INVERSIÓN!M46</f>
        <v>#REF!</v>
      </c>
      <c r="I211" s="610" t="e">
        <f>+[3]INVERSIÓN!N46</f>
        <v>#REF!</v>
      </c>
      <c r="J211" s="611" t="e">
        <f t="shared" si="6"/>
        <v>#REF!</v>
      </c>
      <c r="K211" s="584">
        <v>0</v>
      </c>
      <c r="L211" s="584">
        <v>0</v>
      </c>
      <c r="M211" s="597" t="e">
        <f t="shared" si="7"/>
        <v>#DIV/0!</v>
      </c>
      <c r="N211" s="615" t="s">
        <v>608</v>
      </c>
    </row>
    <row r="212" spans="1:14" s="616" customFormat="1" ht="49.9" customHeight="1" outlineLevel="1" x14ac:dyDescent="0.2">
      <c r="A212" s="848" t="s">
        <v>139</v>
      </c>
      <c r="B212" s="895" t="s">
        <v>575</v>
      </c>
      <c r="C212" s="895" t="s">
        <v>576</v>
      </c>
      <c r="D212" s="895" t="s">
        <v>577</v>
      </c>
      <c r="E212" s="895" t="s">
        <v>578</v>
      </c>
      <c r="F212" s="899">
        <v>0.45</v>
      </c>
      <c r="G212" s="597" t="s">
        <v>414</v>
      </c>
      <c r="H212" s="610" t="e">
        <f>+[3]INVERSIÓN!O10</f>
        <v>#REF!</v>
      </c>
      <c r="I212" s="610" t="e">
        <f>+[3]INVERSIÓN!P10</f>
        <v>#REF!</v>
      </c>
      <c r="J212" s="611" t="e">
        <f t="shared" si="6"/>
        <v>#REF!</v>
      </c>
      <c r="K212" s="584">
        <v>0</v>
      </c>
      <c r="L212" s="584">
        <v>0</v>
      </c>
      <c r="M212" s="597" t="e">
        <f t="shared" si="7"/>
        <v>#DIV/0!</v>
      </c>
      <c r="N212" s="615" t="e">
        <f>+[3]INVERSIÓN!EE10</f>
        <v>#REF!</v>
      </c>
    </row>
    <row r="213" spans="1:14" s="616" customFormat="1" ht="49.9" customHeight="1" outlineLevel="1" x14ac:dyDescent="0.2">
      <c r="A213" s="848"/>
      <c r="B213" s="895"/>
      <c r="C213" s="895"/>
      <c r="D213" s="895"/>
      <c r="E213" s="895"/>
      <c r="F213" s="899"/>
      <c r="G213" s="597" t="s">
        <v>457</v>
      </c>
      <c r="H213" s="613" t="e">
        <f>+[3]INVERSIÓN!O16</f>
        <v>#REF!</v>
      </c>
      <c r="I213" s="613" t="e">
        <f>+[3]INVERSIÓN!P16</f>
        <v>#REF!</v>
      </c>
      <c r="J213" s="611" t="e">
        <f t="shared" si="6"/>
        <v>#REF!</v>
      </c>
      <c r="K213" s="584">
        <v>0</v>
      </c>
      <c r="L213" s="584">
        <v>0</v>
      </c>
      <c r="M213" s="597" t="e">
        <f t="shared" si="7"/>
        <v>#DIV/0!</v>
      </c>
      <c r="N213" s="615" t="e">
        <f>+[3]INVERSIÓN!EE16</f>
        <v>#REF!</v>
      </c>
    </row>
    <row r="214" spans="1:14" s="616" customFormat="1" ht="49.9" customHeight="1" outlineLevel="1" x14ac:dyDescent="0.2">
      <c r="A214" s="848"/>
      <c r="B214" s="895"/>
      <c r="C214" s="895"/>
      <c r="D214" s="895"/>
      <c r="E214" s="895"/>
      <c r="F214" s="899"/>
      <c r="G214" s="597" t="s">
        <v>458</v>
      </c>
      <c r="H214" s="613" t="e">
        <f>+[3]INVERSIÓN!O22</f>
        <v>#REF!</v>
      </c>
      <c r="I214" s="613" t="e">
        <f>+[3]INVERSIÓN!P22</f>
        <v>#REF!</v>
      </c>
      <c r="J214" s="611" t="e">
        <f t="shared" si="6"/>
        <v>#REF!</v>
      </c>
      <c r="K214" s="584">
        <v>0</v>
      </c>
      <c r="L214" s="584">
        <v>0</v>
      </c>
      <c r="M214" s="597" t="e">
        <f t="shared" si="7"/>
        <v>#DIV/0!</v>
      </c>
      <c r="N214" s="615" t="e">
        <f>+[3]INVERSIÓN!EE22</f>
        <v>#REF!</v>
      </c>
    </row>
    <row r="215" spans="1:14" s="616" customFormat="1" ht="49.9" customHeight="1" outlineLevel="1" x14ac:dyDescent="0.2">
      <c r="A215" s="848"/>
      <c r="B215" s="597" t="s">
        <v>582</v>
      </c>
      <c r="C215" s="597" t="s">
        <v>583</v>
      </c>
      <c r="D215" s="597" t="s">
        <v>584</v>
      </c>
      <c r="E215" s="597" t="s">
        <v>358</v>
      </c>
      <c r="F215" s="610">
        <v>0.15</v>
      </c>
      <c r="G215" s="597" t="s">
        <v>360</v>
      </c>
      <c r="H215" s="614" t="e">
        <f>+[3]INVERSIÓN!O28</f>
        <v>#REF!</v>
      </c>
      <c r="I215" s="614" t="e">
        <f>+[3]INVERSIÓN!P28</f>
        <v>#REF!</v>
      </c>
      <c r="J215" s="611" t="e">
        <f t="shared" si="6"/>
        <v>#REF!</v>
      </c>
      <c r="K215" s="584">
        <v>0</v>
      </c>
      <c r="L215" s="584">
        <v>0</v>
      </c>
      <c r="M215" s="597" t="e">
        <f t="shared" si="7"/>
        <v>#DIV/0!</v>
      </c>
      <c r="N215" s="615" t="e">
        <f>+[3]INVERSIÓN!EE28</f>
        <v>#REF!</v>
      </c>
    </row>
    <row r="216" spans="1:14" s="616" customFormat="1" ht="49.9" customHeight="1" outlineLevel="1" x14ac:dyDescent="0.2">
      <c r="A216" s="848"/>
      <c r="B216" s="597" t="s">
        <v>586</v>
      </c>
      <c r="C216" s="597" t="s">
        <v>587</v>
      </c>
      <c r="D216" s="597" t="s">
        <v>588</v>
      </c>
      <c r="E216" s="597" t="s">
        <v>358</v>
      </c>
      <c r="F216" s="610">
        <v>0.15</v>
      </c>
      <c r="G216" s="597" t="s">
        <v>361</v>
      </c>
      <c r="H216" s="610" t="e">
        <f>+[3]INVERSIÓN!O34</f>
        <v>#REF!</v>
      </c>
      <c r="I216" s="610" t="e">
        <f>+[3]INVERSIÓN!P34</f>
        <v>#REF!</v>
      </c>
      <c r="J216" s="611" t="e">
        <f t="shared" si="6"/>
        <v>#REF!</v>
      </c>
      <c r="K216" s="584">
        <v>0</v>
      </c>
      <c r="L216" s="584">
        <v>0</v>
      </c>
      <c r="M216" s="597" t="e">
        <f t="shared" si="7"/>
        <v>#DIV/0!</v>
      </c>
      <c r="N216" s="615" t="e">
        <f>+[3]INVERSIÓN!EE34</f>
        <v>#REF!</v>
      </c>
    </row>
    <row r="217" spans="1:14" s="616" customFormat="1" ht="49.9" customHeight="1" outlineLevel="1" x14ac:dyDescent="0.2">
      <c r="A217" s="848"/>
      <c r="B217" s="895" t="s">
        <v>590</v>
      </c>
      <c r="C217" s="895" t="s">
        <v>591</v>
      </c>
      <c r="D217" s="895" t="s">
        <v>592</v>
      </c>
      <c r="E217" s="895" t="s">
        <v>578</v>
      </c>
      <c r="F217" s="899">
        <v>0.25</v>
      </c>
      <c r="G217" s="597" t="s">
        <v>356</v>
      </c>
      <c r="H217" s="614" t="e">
        <f>+[3]INVERSIÓN!O40</f>
        <v>#REF!</v>
      </c>
      <c r="I217" s="614" t="e">
        <f>+[3]INVERSIÓN!P40</f>
        <v>#REF!</v>
      </c>
      <c r="J217" s="611" t="e">
        <f t="shared" si="6"/>
        <v>#REF!</v>
      </c>
      <c r="K217" s="584">
        <v>0</v>
      </c>
      <c r="L217" s="584">
        <v>0</v>
      </c>
      <c r="M217" s="597" t="e">
        <f t="shared" si="7"/>
        <v>#DIV/0!</v>
      </c>
      <c r="N217" s="615" t="e">
        <f>+[3]INVERSIÓN!EE40</f>
        <v>#REF!</v>
      </c>
    </row>
    <row r="218" spans="1:14" s="616" customFormat="1" ht="49.9" customHeight="1" outlineLevel="1" x14ac:dyDescent="0.2">
      <c r="A218" s="848"/>
      <c r="B218" s="895"/>
      <c r="C218" s="895"/>
      <c r="D218" s="895"/>
      <c r="E218" s="895"/>
      <c r="F218" s="899"/>
      <c r="G218" s="597" t="s">
        <v>446</v>
      </c>
      <c r="H218" s="610" t="e">
        <f>+[3]INVERSIÓN!O46</f>
        <v>#REF!</v>
      </c>
      <c r="I218" s="610" t="e">
        <f>+[3]INVERSIÓN!P46</f>
        <v>#REF!</v>
      </c>
      <c r="J218" s="611" t="e">
        <f t="shared" si="6"/>
        <v>#REF!</v>
      </c>
      <c r="K218" s="584">
        <v>0</v>
      </c>
      <c r="L218" s="584">
        <v>0</v>
      </c>
      <c r="M218" s="597" t="e">
        <f t="shared" si="7"/>
        <v>#DIV/0!</v>
      </c>
      <c r="N218" s="615" t="e">
        <f>+[3]INVERSIÓN!EE46</f>
        <v>#REF!</v>
      </c>
    </row>
    <row r="219" spans="1:14" s="616" customFormat="1" ht="49.9" customHeight="1" outlineLevel="1" x14ac:dyDescent="0.2">
      <c r="A219" s="848" t="s">
        <v>140</v>
      </c>
      <c r="B219" s="895" t="s">
        <v>575</v>
      </c>
      <c r="C219" s="895" t="s">
        <v>576</v>
      </c>
      <c r="D219" s="895" t="s">
        <v>577</v>
      </c>
      <c r="E219" s="895" t="s">
        <v>578</v>
      </c>
      <c r="F219" s="899">
        <v>0.45</v>
      </c>
      <c r="G219" s="597" t="s">
        <v>414</v>
      </c>
      <c r="H219" s="610" t="e">
        <f>+[3]INVERSIÓN!Q10</f>
        <v>#REF!</v>
      </c>
      <c r="I219" s="610" t="e">
        <f>+[3]INVERSIÓN!R10</f>
        <v>#REF!</v>
      </c>
      <c r="J219" s="611" t="e">
        <f t="shared" si="6"/>
        <v>#REF!</v>
      </c>
      <c r="K219" s="584">
        <v>0</v>
      </c>
      <c r="L219" s="584">
        <v>0</v>
      </c>
      <c r="M219" s="597" t="e">
        <f t="shared" si="7"/>
        <v>#DIV/0!</v>
      </c>
      <c r="N219" s="615" t="s">
        <v>609</v>
      </c>
    </row>
    <row r="220" spans="1:14" s="616" customFormat="1" ht="49.9" customHeight="1" outlineLevel="1" x14ac:dyDescent="0.2">
      <c r="A220" s="848"/>
      <c r="B220" s="895"/>
      <c r="C220" s="895"/>
      <c r="D220" s="895"/>
      <c r="E220" s="895"/>
      <c r="F220" s="899"/>
      <c r="G220" s="597" t="s">
        <v>457</v>
      </c>
      <c r="H220" s="617" t="e">
        <f>+[3]INVERSIÓN!Q16</f>
        <v>#REF!</v>
      </c>
      <c r="I220" s="617" t="e">
        <f>+[3]INVERSIÓN!R16</f>
        <v>#REF!</v>
      </c>
      <c r="J220" s="611" t="e">
        <f t="shared" si="6"/>
        <v>#REF!</v>
      </c>
      <c r="K220" s="584">
        <v>0</v>
      </c>
      <c r="L220" s="584">
        <v>0</v>
      </c>
      <c r="M220" s="597" t="e">
        <f t="shared" si="7"/>
        <v>#DIV/0!</v>
      </c>
      <c r="N220" s="615" t="s">
        <v>610</v>
      </c>
    </row>
    <row r="221" spans="1:14" s="616" customFormat="1" ht="49.9" customHeight="1" outlineLevel="1" x14ac:dyDescent="0.2">
      <c r="A221" s="848"/>
      <c r="B221" s="895"/>
      <c r="C221" s="895"/>
      <c r="D221" s="895"/>
      <c r="E221" s="895"/>
      <c r="F221" s="899"/>
      <c r="G221" s="597" t="s">
        <v>458</v>
      </c>
      <c r="H221" s="610" t="e">
        <f>+[3]INVERSIÓN!Q22</f>
        <v>#REF!</v>
      </c>
      <c r="I221" s="610" t="e">
        <f>+[3]INVERSIÓN!R22</f>
        <v>#REF!</v>
      </c>
      <c r="J221" s="611" t="e">
        <f t="shared" si="6"/>
        <v>#REF!</v>
      </c>
      <c r="K221" s="584">
        <v>0</v>
      </c>
      <c r="L221" s="584">
        <v>0</v>
      </c>
      <c r="M221" s="597" t="e">
        <f t="shared" si="7"/>
        <v>#DIV/0!</v>
      </c>
      <c r="N221" s="615" t="s">
        <v>611</v>
      </c>
    </row>
    <row r="222" spans="1:14" s="616" customFormat="1" ht="49.9" customHeight="1" outlineLevel="1" x14ac:dyDescent="0.2">
      <c r="A222" s="848"/>
      <c r="B222" s="597" t="s">
        <v>582</v>
      </c>
      <c r="C222" s="597" t="s">
        <v>583</v>
      </c>
      <c r="D222" s="597" t="s">
        <v>584</v>
      </c>
      <c r="E222" s="597" t="s">
        <v>358</v>
      </c>
      <c r="F222" s="610">
        <v>0.15</v>
      </c>
      <c r="G222" s="597" t="s">
        <v>360</v>
      </c>
      <c r="H222" s="617" t="e">
        <f>+[3]INVERSIÓN!Q28</f>
        <v>#REF!</v>
      </c>
      <c r="I222" s="617" t="e">
        <f>+[3]INVERSIÓN!R28</f>
        <v>#REF!</v>
      </c>
      <c r="J222" s="611" t="e">
        <f t="shared" si="6"/>
        <v>#REF!</v>
      </c>
      <c r="K222" s="584">
        <v>0</v>
      </c>
      <c r="L222" s="584">
        <v>0</v>
      </c>
      <c r="M222" s="597" t="e">
        <f t="shared" si="7"/>
        <v>#DIV/0!</v>
      </c>
      <c r="N222" s="615" t="s">
        <v>612</v>
      </c>
    </row>
    <row r="223" spans="1:14" s="616" customFormat="1" ht="49.9" customHeight="1" outlineLevel="1" x14ac:dyDescent="0.2">
      <c r="A223" s="848"/>
      <c r="B223" s="597" t="s">
        <v>586</v>
      </c>
      <c r="C223" s="597" t="s">
        <v>587</v>
      </c>
      <c r="D223" s="597" t="s">
        <v>588</v>
      </c>
      <c r="E223" s="597" t="s">
        <v>358</v>
      </c>
      <c r="F223" s="610">
        <v>0.15</v>
      </c>
      <c r="G223" s="597" t="s">
        <v>361</v>
      </c>
      <c r="H223" s="610" t="e">
        <f>+[3]INVERSIÓN!Q34</f>
        <v>#REF!</v>
      </c>
      <c r="I223" s="610" t="e">
        <f>+[3]INVERSIÓN!R34</f>
        <v>#REF!</v>
      </c>
      <c r="J223" s="611" t="e">
        <f t="shared" si="6"/>
        <v>#REF!</v>
      </c>
      <c r="K223" s="584">
        <v>0</v>
      </c>
      <c r="L223" s="584">
        <v>0</v>
      </c>
      <c r="M223" s="597" t="e">
        <f t="shared" si="7"/>
        <v>#DIV/0!</v>
      </c>
      <c r="N223" s="615" t="s">
        <v>613</v>
      </c>
    </row>
    <row r="224" spans="1:14" s="616" customFormat="1" ht="49.9" customHeight="1" outlineLevel="1" x14ac:dyDescent="0.2">
      <c r="A224" s="848"/>
      <c r="B224" s="895" t="s">
        <v>590</v>
      </c>
      <c r="C224" s="895" t="s">
        <v>591</v>
      </c>
      <c r="D224" s="895" t="s">
        <v>592</v>
      </c>
      <c r="E224" s="895" t="s">
        <v>578</v>
      </c>
      <c r="F224" s="899">
        <v>0.25</v>
      </c>
      <c r="G224" s="597" t="s">
        <v>356</v>
      </c>
      <c r="H224" s="617" t="e">
        <f>+[3]INVERSIÓN!Q40</f>
        <v>#REF!</v>
      </c>
      <c r="I224" s="617" t="e">
        <f>+[3]INVERSIÓN!R40</f>
        <v>#REF!</v>
      </c>
      <c r="J224" s="611" t="e">
        <f t="shared" si="6"/>
        <v>#REF!</v>
      </c>
      <c r="K224" s="584">
        <v>0</v>
      </c>
      <c r="L224" s="584">
        <v>0</v>
      </c>
      <c r="M224" s="597" t="e">
        <f t="shared" si="7"/>
        <v>#DIV/0!</v>
      </c>
      <c r="N224" s="615" t="s">
        <v>614</v>
      </c>
    </row>
    <row r="225" spans="1:15" s="616" customFormat="1" ht="49.9" customHeight="1" outlineLevel="1" x14ac:dyDescent="0.2">
      <c r="A225" s="848"/>
      <c r="B225" s="895"/>
      <c r="C225" s="895"/>
      <c r="D225" s="895"/>
      <c r="E225" s="895"/>
      <c r="F225" s="899"/>
      <c r="G225" s="597" t="s">
        <v>446</v>
      </c>
      <c r="H225" s="610" t="e">
        <f>+[3]INVERSIÓN!Q46</f>
        <v>#REF!</v>
      </c>
      <c r="I225" s="610" t="e">
        <f>+[3]INVERSIÓN!R46</f>
        <v>#REF!</v>
      </c>
      <c r="J225" s="611" t="e">
        <f t="shared" si="6"/>
        <v>#REF!</v>
      </c>
      <c r="K225" s="584">
        <v>0</v>
      </c>
      <c r="L225" s="584">
        <v>0</v>
      </c>
      <c r="M225" s="597" t="e">
        <f t="shared" si="7"/>
        <v>#DIV/0!</v>
      </c>
      <c r="N225" s="615" t="s">
        <v>615</v>
      </c>
    </row>
    <row r="226" spans="1:15" s="616" customFormat="1" ht="55.15" customHeight="1" outlineLevel="1" x14ac:dyDescent="0.2">
      <c r="A226" s="891" t="s">
        <v>141</v>
      </c>
      <c r="B226" s="895" t="s">
        <v>575</v>
      </c>
      <c r="C226" s="895" t="s">
        <v>576</v>
      </c>
      <c r="D226" s="895" t="s">
        <v>577</v>
      </c>
      <c r="E226" s="895" t="s">
        <v>578</v>
      </c>
      <c r="F226" s="899">
        <v>0.45</v>
      </c>
      <c r="G226" s="597" t="s">
        <v>414</v>
      </c>
      <c r="H226" s="610" t="e">
        <f>+[3]INVERSIÓN!S10</f>
        <v>#REF!</v>
      </c>
      <c r="I226" s="610" t="e">
        <f>+[3]INVERSIÓN!T10</f>
        <v>#REF!</v>
      </c>
      <c r="J226" s="611" t="e">
        <f t="shared" si="6"/>
        <v>#REF!</v>
      </c>
      <c r="K226" s="584">
        <v>0</v>
      </c>
      <c r="L226" s="584">
        <v>0</v>
      </c>
      <c r="M226" s="597" t="e">
        <f t="shared" si="7"/>
        <v>#DIV/0!</v>
      </c>
      <c r="N226" s="615" t="s">
        <v>616</v>
      </c>
    </row>
    <row r="227" spans="1:15" s="616" customFormat="1" ht="55.15" customHeight="1" outlineLevel="1" x14ac:dyDescent="0.2">
      <c r="A227" s="889"/>
      <c r="B227" s="895"/>
      <c r="C227" s="895"/>
      <c r="D227" s="895"/>
      <c r="E227" s="895"/>
      <c r="F227" s="899"/>
      <c r="G227" s="597" t="s">
        <v>457</v>
      </c>
      <c r="H227" s="617" t="e">
        <f>+[3]INVERSIÓN!S16</f>
        <v>#REF!</v>
      </c>
      <c r="I227" s="617" t="e">
        <f>+[3]INVERSIÓN!T16</f>
        <v>#REF!</v>
      </c>
      <c r="J227" s="611" t="e">
        <f t="shared" si="6"/>
        <v>#REF!</v>
      </c>
      <c r="K227" s="584">
        <v>0</v>
      </c>
      <c r="L227" s="584">
        <v>0</v>
      </c>
      <c r="M227" s="597" t="e">
        <f t="shared" si="7"/>
        <v>#DIV/0!</v>
      </c>
      <c r="N227" s="615" t="s">
        <v>617</v>
      </c>
    </row>
    <row r="228" spans="1:15" s="616" customFormat="1" ht="55.15" customHeight="1" outlineLevel="1" x14ac:dyDescent="0.2">
      <c r="A228" s="889"/>
      <c r="B228" s="895"/>
      <c r="C228" s="895"/>
      <c r="D228" s="895"/>
      <c r="E228" s="895"/>
      <c r="F228" s="899"/>
      <c r="G228" s="597" t="s">
        <v>458</v>
      </c>
      <c r="H228" s="610" t="e">
        <f>+[3]INVERSIÓN!S22</f>
        <v>#REF!</v>
      </c>
      <c r="I228" s="610" t="e">
        <f>+[3]INVERSIÓN!T22</f>
        <v>#REF!</v>
      </c>
      <c r="J228" s="611" t="e">
        <f t="shared" si="6"/>
        <v>#REF!</v>
      </c>
      <c r="K228" s="584">
        <v>0</v>
      </c>
      <c r="L228" s="584">
        <v>0</v>
      </c>
      <c r="M228" s="597" t="e">
        <f t="shared" si="7"/>
        <v>#DIV/0!</v>
      </c>
      <c r="N228" s="615" t="s">
        <v>618</v>
      </c>
    </row>
    <row r="229" spans="1:15" s="616" customFormat="1" ht="55.15" customHeight="1" outlineLevel="1" x14ac:dyDescent="0.2">
      <c r="A229" s="889"/>
      <c r="B229" s="597" t="s">
        <v>582</v>
      </c>
      <c r="C229" s="597" t="s">
        <v>583</v>
      </c>
      <c r="D229" s="597" t="s">
        <v>584</v>
      </c>
      <c r="E229" s="597" t="s">
        <v>358</v>
      </c>
      <c r="F229" s="610">
        <v>0.15</v>
      </c>
      <c r="G229" s="597" t="s">
        <v>360</v>
      </c>
      <c r="H229" s="617" t="e">
        <f>+[3]INVERSIÓN!S28</f>
        <v>#REF!</v>
      </c>
      <c r="I229" s="617" t="e">
        <f>+[3]INVERSIÓN!T28</f>
        <v>#REF!</v>
      </c>
      <c r="J229" s="611" t="e">
        <f t="shared" si="6"/>
        <v>#REF!</v>
      </c>
      <c r="K229" s="584">
        <v>0</v>
      </c>
      <c r="L229" s="584">
        <v>0</v>
      </c>
      <c r="M229" s="597" t="e">
        <f t="shared" si="7"/>
        <v>#DIV/0!</v>
      </c>
      <c r="N229" s="615" t="s">
        <v>619</v>
      </c>
    </row>
    <row r="230" spans="1:15" s="616" customFormat="1" ht="55.15" customHeight="1" outlineLevel="1" x14ac:dyDescent="0.2">
      <c r="A230" s="889"/>
      <c r="B230" s="597" t="s">
        <v>586</v>
      </c>
      <c r="C230" s="597" t="s">
        <v>587</v>
      </c>
      <c r="D230" s="597" t="s">
        <v>588</v>
      </c>
      <c r="E230" s="597" t="s">
        <v>358</v>
      </c>
      <c r="F230" s="610">
        <v>0.15</v>
      </c>
      <c r="G230" s="597" t="s">
        <v>361</v>
      </c>
      <c r="H230" s="610" t="e">
        <f>+[3]INVERSIÓN!S34</f>
        <v>#REF!</v>
      </c>
      <c r="I230" s="610" t="e">
        <f>+[3]INVERSIÓN!T34</f>
        <v>#REF!</v>
      </c>
      <c r="J230" s="611" t="e">
        <f t="shared" si="6"/>
        <v>#REF!</v>
      </c>
      <c r="K230" s="584">
        <v>0</v>
      </c>
      <c r="L230" s="584">
        <v>0</v>
      </c>
      <c r="M230" s="597" t="e">
        <f t="shared" si="7"/>
        <v>#DIV/0!</v>
      </c>
      <c r="N230" s="615" t="s">
        <v>620</v>
      </c>
    </row>
    <row r="231" spans="1:15" s="616" customFormat="1" ht="55.15" customHeight="1" outlineLevel="1" x14ac:dyDescent="0.2">
      <c r="A231" s="889"/>
      <c r="B231" s="895" t="s">
        <v>590</v>
      </c>
      <c r="C231" s="895" t="s">
        <v>591</v>
      </c>
      <c r="D231" s="895" t="s">
        <v>592</v>
      </c>
      <c r="E231" s="895" t="s">
        <v>578</v>
      </c>
      <c r="F231" s="899">
        <v>0.25</v>
      </c>
      <c r="G231" s="597" t="s">
        <v>356</v>
      </c>
      <c r="H231" s="617" t="e">
        <f>+[3]INVERSIÓN!S40</f>
        <v>#REF!</v>
      </c>
      <c r="I231" s="617" t="e">
        <f>+[3]INVERSIÓN!T40</f>
        <v>#REF!</v>
      </c>
      <c r="J231" s="611" t="e">
        <f t="shared" si="6"/>
        <v>#REF!</v>
      </c>
      <c r="K231" s="584">
        <v>0</v>
      </c>
      <c r="L231" s="584">
        <v>0</v>
      </c>
      <c r="M231" s="597" t="e">
        <f t="shared" si="7"/>
        <v>#DIV/0!</v>
      </c>
      <c r="N231" s="615" t="s">
        <v>621</v>
      </c>
    </row>
    <row r="232" spans="1:15" s="616" customFormat="1" ht="55.15" customHeight="1" outlineLevel="1" x14ac:dyDescent="0.2">
      <c r="A232" s="890"/>
      <c r="B232" s="895"/>
      <c r="C232" s="895"/>
      <c r="D232" s="895"/>
      <c r="E232" s="895"/>
      <c r="F232" s="899"/>
      <c r="G232" s="597" t="s">
        <v>446</v>
      </c>
      <c r="H232" s="610" t="e">
        <f>+[3]INVERSIÓN!S46</f>
        <v>#REF!</v>
      </c>
      <c r="I232" s="610" t="e">
        <f>+[3]INVERSIÓN!T46</f>
        <v>#REF!</v>
      </c>
      <c r="J232" s="611" t="e">
        <f t="shared" si="6"/>
        <v>#REF!</v>
      </c>
      <c r="K232" s="584">
        <v>0</v>
      </c>
      <c r="L232" s="584">
        <v>0</v>
      </c>
      <c r="M232" s="597" t="e">
        <f t="shared" si="7"/>
        <v>#DIV/0!</v>
      </c>
      <c r="N232" s="615" t="s">
        <v>622</v>
      </c>
    </row>
    <row r="234" spans="1:15" ht="19.899999999999999" customHeight="1" x14ac:dyDescent="0.25">
      <c r="A234" s="900" t="s">
        <v>275</v>
      </c>
      <c r="B234" s="901"/>
      <c r="C234" s="901"/>
      <c r="D234" s="901"/>
      <c r="E234" s="901"/>
      <c r="F234" s="901"/>
      <c r="G234" s="901"/>
      <c r="H234" s="901"/>
      <c r="I234" s="901"/>
      <c r="J234" s="901"/>
      <c r="K234" s="901"/>
      <c r="L234" s="901"/>
      <c r="M234" s="901"/>
      <c r="N234" s="902"/>
    </row>
    <row r="235" spans="1:15" ht="44.25" customHeight="1" x14ac:dyDescent="0.25">
      <c r="A235" s="595" t="s">
        <v>50</v>
      </c>
      <c r="B235" s="54" t="s">
        <v>153</v>
      </c>
      <c r="C235" s="54" t="s">
        <v>154</v>
      </c>
      <c r="D235" s="54" t="s">
        <v>155</v>
      </c>
      <c r="E235" s="54" t="s">
        <v>156</v>
      </c>
      <c r="F235" s="54" t="s">
        <v>166</v>
      </c>
      <c r="G235" s="54" t="s">
        <v>158</v>
      </c>
      <c r="H235" s="54" t="s">
        <v>167</v>
      </c>
      <c r="I235" s="54" t="s">
        <v>168</v>
      </c>
      <c r="J235" s="62" t="s">
        <v>169</v>
      </c>
      <c r="K235" s="54" t="s">
        <v>162</v>
      </c>
      <c r="L235" s="54" t="s">
        <v>163</v>
      </c>
      <c r="M235" s="54" t="s">
        <v>164</v>
      </c>
      <c r="N235" s="54" t="s">
        <v>165</v>
      </c>
    </row>
    <row r="236" spans="1:15" ht="51" customHeight="1" x14ac:dyDescent="0.25">
      <c r="A236" s="884" t="s">
        <v>143</v>
      </c>
      <c r="B236" s="895" t="s">
        <v>575</v>
      </c>
      <c r="C236" s="895" t="s">
        <v>576</v>
      </c>
      <c r="D236" s="895" t="s">
        <v>577</v>
      </c>
      <c r="E236" s="895" t="s">
        <v>578</v>
      </c>
      <c r="F236" s="899">
        <v>0.45</v>
      </c>
      <c r="G236" s="597" t="s">
        <v>414</v>
      </c>
      <c r="H236" s="610">
        <v>1</v>
      </c>
      <c r="I236" s="610">
        <v>0.86</v>
      </c>
      <c r="J236" s="611">
        <f t="shared" ref="J236:J283" si="8">I236/H236</f>
        <v>0.86</v>
      </c>
      <c r="K236" s="584">
        <v>0</v>
      </c>
      <c r="L236" s="584">
        <v>0</v>
      </c>
      <c r="M236" s="597">
        <v>0</v>
      </c>
      <c r="N236" s="618" t="s">
        <v>616</v>
      </c>
      <c r="O236" s="619"/>
    </row>
    <row r="237" spans="1:15" ht="51" customHeight="1" x14ac:dyDescent="0.25">
      <c r="A237" s="885"/>
      <c r="B237" s="895"/>
      <c r="C237" s="895"/>
      <c r="D237" s="895"/>
      <c r="E237" s="895"/>
      <c r="F237" s="899"/>
      <c r="G237" s="597" t="s">
        <v>457</v>
      </c>
      <c r="H237" s="617">
        <v>8</v>
      </c>
      <c r="I237" s="620">
        <v>0.2</v>
      </c>
      <c r="J237" s="611">
        <f t="shared" si="8"/>
        <v>2.5000000000000001E-2</v>
      </c>
      <c r="K237" s="584">
        <v>0</v>
      </c>
      <c r="L237" s="584">
        <v>0</v>
      </c>
      <c r="M237" s="597">
        <v>0</v>
      </c>
      <c r="N237" s="618" t="s">
        <v>617</v>
      </c>
      <c r="O237" s="619"/>
    </row>
    <row r="238" spans="1:15" ht="51" customHeight="1" x14ac:dyDescent="0.25">
      <c r="A238" s="885"/>
      <c r="B238" s="895"/>
      <c r="C238" s="895"/>
      <c r="D238" s="895"/>
      <c r="E238" s="895"/>
      <c r="F238" s="899"/>
      <c r="G238" s="597" t="s">
        <v>458</v>
      </c>
      <c r="H238" s="617">
        <v>2</v>
      </c>
      <c r="I238" s="620">
        <v>0.15</v>
      </c>
      <c r="J238" s="611">
        <f t="shared" si="8"/>
        <v>7.4999999999999997E-2</v>
      </c>
      <c r="K238" s="584">
        <v>0</v>
      </c>
      <c r="L238" s="584">
        <v>0</v>
      </c>
      <c r="M238" s="597">
        <v>0</v>
      </c>
      <c r="N238" s="618" t="s">
        <v>618</v>
      </c>
      <c r="O238" s="619"/>
    </row>
    <row r="239" spans="1:15" ht="51" customHeight="1" x14ac:dyDescent="0.25">
      <c r="A239" s="885"/>
      <c r="B239" s="597" t="s">
        <v>582</v>
      </c>
      <c r="C239" s="597" t="s">
        <v>583</v>
      </c>
      <c r="D239" s="597" t="s">
        <v>584</v>
      </c>
      <c r="E239" s="597" t="s">
        <v>358</v>
      </c>
      <c r="F239" s="610">
        <v>0.15</v>
      </c>
      <c r="G239" s="597" t="s">
        <v>360</v>
      </c>
      <c r="H239" s="617">
        <v>893</v>
      </c>
      <c r="I239" s="617">
        <v>36</v>
      </c>
      <c r="J239" s="611">
        <f t="shared" si="8"/>
        <v>4.0313549832026875E-2</v>
      </c>
      <c r="K239" s="584">
        <v>0</v>
      </c>
      <c r="L239" s="584">
        <v>0</v>
      </c>
      <c r="M239" s="597">
        <v>0</v>
      </c>
      <c r="N239" s="618" t="s">
        <v>619</v>
      </c>
      <c r="O239" s="619"/>
    </row>
    <row r="240" spans="1:15" ht="51" customHeight="1" x14ac:dyDescent="0.25">
      <c r="A240" s="885"/>
      <c r="B240" s="597" t="s">
        <v>586</v>
      </c>
      <c r="C240" s="597" t="s">
        <v>587</v>
      </c>
      <c r="D240" s="597" t="s">
        <v>588</v>
      </c>
      <c r="E240" s="597" t="s">
        <v>358</v>
      </c>
      <c r="F240" s="610">
        <v>0.15</v>
      </c>
      <c r="G240" s="597" t="s">
        <v>361</v>
      </c>
      <c r="H240" s="610">
        <v>1</v>
      </c>
      <c r="I240" s="610">
        <v>1</v>
      </c>
      <c r="J240" s="611">
        <f t="shared" si="8"/>
        <v>1</v>
      </c>
      <c r="K240" s="584">
        <v>0</v>
      </c>
      <c r="L240" s="584">
        <v>0</v>
      </c>
      <c r="M240" s="597">
        <v>0</v>
      </c>
      <c r="N240" s="618" t="s">
        <v>620</v>
      </c>
      <c r="O240" s="619"/>
    </row>
    <row r="241" spans="1:15" ht="51" customHeight="1" x14ac:dyDescent="0.25">
      <c r="A241" s="885"/>
      <c r="B241" s="895" t="s">
        <v>590</v>
      </c>
      <c r="C241" s="895" t="s">
        <v>591</v>
      </c>
      <c r="D241" s="895" t="s">
        <v>592</v>
      </c>
      <c r="E241" s="895" t="s">
        <v>578</v>
      </c>
      <c r="F241" s="899">
        <v>0.25</v>
      </c>
      <c r="G241" s="597" t="s">
        <v>356</v>
      </c>
      <c r="H241" s="617">
        <v>759</v>
      </c>
      <c r="I241" s="617">
        <v>278</v>
      </c>
      <c r="J241" s="611">
        <f t="shared" si="8"/>
        <v>0.3662714097496706</v>
      </c>
      <c r="K241" s="584">
        <v>0</v>
      </c>
      <c r="L241" s="584">
        <v>0</v>
      </c>
      <c r="M241" s="597">
        <v>0</v>
      </c>
      <c r="N241" s="618" t="s">
        <v>621</v>
      </c>
      <c r="O241" s="619"/>
    </row>
    <row r="242" spans="1:15" ht="51" customHeight="1" x14ac:dyDescent="0.25">
      <c r="A242" s="886"/>
      <c r="B242" s="895"/>
      <c r="C242" s="895"/>
      <c r="D242" s="895"/>
      <c r="E242" s="895"/>
      <c r="F242" s="899"/>
      <c r="G242" s="597" t="s">
        <v>446</v>
      </c>
      <c r="H242" s="610">
        <v>1</v>
      </c>
      <c r="I242" s="610">
        <v>1</v>
      </c>
      <c r="J242" s="611">
        <f t="shared" si="8"/>
        <v>1</v>
      </c>
      <c r="K242" s="584">
        <v>0</v>
      </c>
      <c r="L242" s="584">
        <v>0</v>
      </c>
      <c r="M242" s="597">
        <v>0</v>
      </c>
      <c r="N242" s="618" t="s">
        <v>622</v>
      </c>
      <c r="O242" s="619"/>
    </row>
    <row r="243" spans="1:15" ht="49.9" customHeight="1" x14ac:dyDescent="0.25">
      <c r="A243" s="884" t="s">
        <v>144</v>
      </c>
      <c r="B243" s="895" t="s">
        <v>575</v>
      </c>
      <c r="C243" s="895" t="s">
        <v>576</v>
      </c>
      <c r="D243" s="895" t="s">
        <v>577</v>
      </c>
      <c r="E243" s="895" t="s">
        <v>578</v>
      </c>
      <c r="F243" s="899">
        <v>0.45</v>
      </c>
      <c r="G243" s="597" t="s">
        <v>414</v>
      </c>
      <c r="H243" s="610">
        <v>1</v>
      </c>
      <c r="I243" s="610">
        <v>0.75</v>
      </c>
      <c r="J243" s="611">
        <f t="shared" si="8"/>
        <v>0.75</v>
      </c>
      <c r="K243" s="584">
        <v>0</v>
      </c>
      <c r="L243" s="584">
        <v>0</v>
      </c>
      <c r="M243" s="597">
        <v>0</v>
      </c>
      <c r="N243" s="621" t="s">
        <v>623</v>
      </c>
    </row>
    <row r="244" spans="1:15" ht="49.9" customHeight="1" x14ac:dyDescent="0.25">
      <c r="A244" s="885"/>
      <c r="B244" s="895"/>
      <c r="C244" s="895"/>
      <c r="D244" s="895"/>
      <c r="E244" s="895"/>
      <c r="F244" s="899"/>
      <c r="G244" s="597" t="s">
        <v>457</v>
      </c>
      <c r="H244" s="617">
        <v>8</v>
      </c>
      <c r="I244" s="620">
        <v>0.45</v>
      </c>
      <c r="J244" s="611">
        <f t="shared" si="8"/>
        <v>5.6250000000000001E-2</v>
      </c>
      <c r="K244" s="584">
        <v>0</v>
      </c>
      <c r="L244" s="584">
        <v>0</v>
      </c>
      <c r="M244" s="597">
        <v>0</v>
      </c>
      <c r="N244" s="621" t="s">
        <v>624</v>
      </c>
    </row>
    <row r="245" spans="1:15" ht="49.9" customHeight="1" x14ac:dyDescent="0.25">
      <c r="A245" s="885"/>
      <c r="B245" s="895"/>
      <c r="C245" s="895"/>
      <c r="D245" s="895"/>
      <c r="E245" s="895"/>
      <c r="F245" s="899"/>
      <c r="G245" s="597" t="s">
        <v>458</v>
      </c>
      <c r="H245" s="617">
        <v>2</v>
      </c>
      <c r="I245" s="620">
        <v>0.26</v>
      </c>
      <c r="J245" s="611">
        <f t="shared" si="8"/>
        <v>0.13</v>
      </c>
      <c r="K245" s="584">
        <v>0</v>
      </c>
      <c r="L245" s="584">
        <v>0</v>
      </c>
      <c r="M245" s="597">
        <v>0</v>
      </c>
      <c r="N245" s="621" t="s">
        <v>625</v>
      </c>
    </row>
    <row r="246" spans="1:15" ht="49.9" customHeight="1" x14ac:dyDescent="0.25">
      <c r="A246" s="885"/>
      <c r="B246" s="597" t="s">
        <v>582</v>
      </c>
      <c r="C246" s="597" t="s">
        <v>583</v>
      </c>
      <c r="D246" s="597" t="s">
        <v>584</v>
      </c>
      <c r="E246" s="597" t="s">
        <v>358</v>
      </c>
      <c r="F246" s="610">
        <v>0.15</v>
      </c>
      <c r="G246" s="597" t="s">
        <v>360</v>
      </c>
      <c r="H246" s="617">
        <v>893</v>
      </c>
      <c r="I246" s="617">
        <v>52</v>
      </c>
      <c r="J246" s="611">
        <f t="shared" si="8"/>
        <v>5.823068309070549E-2</v>
      </c>
      <c r="K246" s="584">
        <v>0</v>
      </c>
      <c r="L246" s="584">
        <v>0</v>
      </c>
      <c r="M246" s="597">
        <v>0</v>
      </c>
      <c r="N246" s="621" t="s">
        <v>626</v>
      </c>
    </row>
    <row r="247" spans="1:15" ht="49.9" customHeight="1" x14ac:dyDescent="0.25">
      <c r="A247" s="885"/>
      <c r="B247" s="597" t="s">
        <v>586</v>
      </c>
      <c r="C247" s="597" t="s">
        <v>587</v>
      </c>
      <c r="D247" s="597" t="s">
        <v>588</v>
      </c>
      <c r="E247" s="597" t="s">
        <v>358</v>
      </c>
      <c r="F247" s="610">
        <v>0.15</v>
      </c>
      <c r="G247" s="597" t="s">
        <v>361</v>
      </c>
      <c r="H247" s="610">
        <v>1</v>
      </c>
      <c r="I247" s="610">
        <v>1</v>
      </c>
      <c r="J247" s="611">
        <f t="shared" si="8"/>
        <v>1</v>
      </c>
      <c r="K247" s="584">
        <v>0</v>
      </c>
      <c r="L247" s="584">
        <v>0</v>
      </c>
      <c r="M247" s="597">
        <v>0</v>
      </c>
      <c r="N247" s="621" t="s">
        <v>627</v>
      </c>
    </row>
    <row r="248" spans="1:15" ht="49.9" customHeight="1" x14ac:dyDescent="0.25">
      <c r="A248" s="885"/>
      <c r="B248" s="895" t="s">
        <v>590</v>
      </c>
      <c r="C248" s="895" t="s">
        <v>591</v>
      </c>
      <c r="D248" s="895" t="s">
        <v>592</v>
      </c>
      <c r="E248" s="895" t="s">
        <v>578</v>
      </c>
      <c r="F248" s="899">
        <v>0.25</v>
      </c>
      <c r="G248" s="597" t="s">
        <v>356</v>
      </c>
      <c r="H248" s="617">
        <v>759</v>
      </c>
      <c r="I248" s="617">
        <v>489</v>
      </c>
      <c r="J248" s="611">
        <f t="shared" si="8"/>
        <v>0.64426877470355737</v>
      </c>
      <c r="K248" s="584">
        <v>0</v>
      </c>
      <c r="L248" s="584">
        <v>0</v>
      </c>
      <c r="M248" s="597">
        <v>0</v>
      </c>
      <c r="N248" s="621" t="s">
        <v>628</v>
      </c>
    </row>
    <row r="249" spans="1:15" ht="49.9" customHeight="1" x14ac:dyDescent="0.25">
      <c r="A249" s="886"/>
      <c r="B249" s="895"/>
      <c r="C249" s="895"/>
      <c r="D249" s="895"/>
      <c r="E249" s="895"/>
      <c r="F249" s="899"/>
      <c r="G249" s="597" t="s">
        <v>446</v>
      </c>
      <c r="H249" s="610">
        <v>1</v>
      </c>
      <c r="I249" s="610">
        <v>1</v>
      </c>
      <c r="J249" s="611">
        <f t="shared" si="8"/>
        <v>1</v>
      </c>
      <c r="K249" s="584">
        <v>0</v>
      </c>
      <c r="L249" s="584">
        <v>0</v>
      </c>
      <c r="M249" s="597">
        <v>0</v>
      </c>
      <c r="N249" s="621" t="s">
        <v>629</v>
      </c>
    </row>
    <row r="250" spans="1:15" ht="49.9" customHeight="1" x14ac:dyDescent="0.25">
      <c r="A250" s="884" t="s">
        <v>145</v>
      </c>
      <c r="B250" s="895" t="s">
        <v>575</v>
      </c>
      <c r="C250" s="895" t="s">
        <v>576</v>
      </c>
      <c r="D250" s="895" t="s">
        <v>577</v>
      </c>
      <c r="E250" s="895" t="s">
        <v>578</v>
      </c>
      <c r="F250" s="899">
        <v>0.45</v>
      </c>
      <c r="G250" s="597" t="s">
        <v>414</v>
      </c>
      <c r="H250" s="610">
        <v>1</v>
      </c>
      <c r="I250" s="610">
        <v>0.8</v>
      </c>
      <c r="J250" s="611">
        <f t="shared" si="8"/>
        <v>0.8</v>
      </c>
      <c r="K250" s="584">
        <v>0</v>
      </c>
      <c r="L250" s="584">
        <v>0</v>
      </c>
      <c r="M250" s="597">
        <v>0</v>
      </c>
      <c r="N250" s="621" t="s">
        <v>630</v>
      </c>
    </row>
    <row r="251" spans="1:15" ht="49.9" customHeight="1" x14ac:dyDescent="0.25">
      <c r="A251" s="885"/>
      <c r="B251" s="895"/>
      <c r="C251" s="895"/>
      <c r="D251" s="895"/>
      <c r="E251" s="895"/>
      <c r="F251" s="899"/>
      <c r="G251" s="597" t="s">
        <v>457</v>
      </c>
      <c r="H251" s="617">
        <v>8</v>
      </c>
      <c r="I251" s="620">
        <v>1</v>
      </c>
      <c r="J251" s="611">
        <f t="shared" si="8"/>
        <v>0.125</v>
      </c>
      <c r="K251" s="584">
        <v>0</v>
      </c>
      <c r="L251" s="584">
        <v>0</v>
      </c>
      <c r="M251" s="597">
        <v>0</v>
      </c>
      <c r="N251" s="621" t="s">
        <v>631</v>
      </c>
    </row>
    <row r="252" spans="1:15" ht="49.9" customHeight="1" x14ac:dyDescent="0.25">
      <c r="A252" s="885"/>
      <c r="B252" s="895"/>
      <c r="C252" s="895"/>
      <c r="D252" s="895"/>
      <c r="E252" s="895"/>
      <c r="F252" s="899"/>
      <c r="G252" s="597" t="s">
        <v>458</v>
      </c>
      <c r="H252" s="617">
        <v>2</v>
      </c>
      <c r="I252" s="620">
        <v>0.36</v>
      </c>
      <c r="J252" s="611">
        <f t="shared" si="8"/>
        <v>0.18</v>
      </c>
      <c r="K252" s="584">
        <v>0</v>
      </c>
      <c r="L252" s="584">
        <v>0</v>
      </c>
      <c r="M252" s="597">
        <v>0</v>
      </c>
      <c r="N252" s="621" t="s">
        <v>632</v>
      </c>
    </row>
    <row r="253" spans="1:15" ht="49.9" customHeight="1" x14ac:dyDescent="0.25">
      <c r="A253" s="885"/>
      <c r="B253" s="597" t="s">
        <v>582</v>
      </c>
      <c r="C253" s="597" t="s">
        <v>583</v>
      </c>
      <c r="D253" s="597" t="s">
        <v>584</v>
      </c>
      <c r="E253" s="597" t="s">
        <v>358</v>
      </c>
      <c r="F253" s="610">
        <v>0.15</v>
      </c>
      <c r="G253" s="597" t="s">
        <v>360</v>
      </c>
      <c r="H253" s="617">
        <v>893</v>
      </c>
      <c r="I253" s="617">
        <v>156</v>
      </c>
      <c r="J253" s="611">
        <f t="shared" si="8"/>
        <v>0.17469204927211646</v>
      </c>
      <c r="K253" s="584">
        <v>0</v>
      </c>
      <c r="L253" s="584">
        <v>0</v>
      </c>
      <c r="M253" s="597">
        <v>0</v>
      </c>
      <c r="N253" s="621" t="s">
        <v>633</v>
      </c>
    </row>
    <row r="254" spans="1:15" ht="49.9" customHeight="1" x14ac:dyDescent="0.25">
      <c r="A254" s="885"/>
      <c r="B254" s="597" t="s">
        <v>586</v>
      </c>
      <c r="C254" s="597" t="s">
        <v>587</v>
      </c>
      <c r="D254" s="597" t="s">
        <v>588</v>
      </c>
      <c r="E254" s="597" t="s">
        <v>358</v>
      </c>
      <c r="F254" s="610">
        <v>0.15</v>
      </c>
      <c r="G254" s="597" t="s">
        <v>361</v>
      </c>
      <c r="H254" s="610">
        <v>1</v>
      </c>
      <c r="I254" s="610">
        <v>1</v>
      </c>
      <c r="J254" s="611">
        <f t="shared" si="8"/>
        <v>1</v>
      </c>
      <c r="K254" s="584">
        <v>0</v>
      </c>
      <c r="L254" s="584">
        <v>0</v>
      </c>
      <c r="M254" s="597">
        <v>0</v>
      </c>
      <c r="N254" s="621" t="s">
        <v>634</v>
      </c>
    </row>
    <row r="255" spans="1:15" ht="49.9" customHeight="1" x14ac:dyDescent="0.25">
      <c r="A255" s="885"/>
      <c r="B255" s="895" t="s">
        <v>590</v>
      </c>
      <c r="C255" s="895" t="s">
        <v>591</v>
      </c>
      <c r="D255" s="895" t="s">
        <v>592</v>
      </c>
      <c r="E255" s="895" t="s">
        <v>578</v>
      </c>
      <c r="F255" s="899">
        <v>0.25</v>
      </c>
      <c r="G255" s="597" t="s">
        <v>356</v>
      </c>
      <c r="H255" s="617">
        <v>4707</v>
      </c>
      <c r="I255" s="617">
        <v>1326</v>
      </c>
      <c r="J255" s="611">
        <f t="shared" si="8"/>
        <v>0.28170809432759719</v>
      </c>
      <c r="K255" s="584">
        <v>0</v>
      </c>
      <c r="L255" s="584">
        <v>0</v>
      </c>
      <c r="M255" s="597">
        <v>0</v>
      </c>
      <c r="N255" s="621" t="s">
        <v>635</v>
      </c>
    </row>
    <row r="256" spans="1:15" ht="49.9" customHeight="1" x14ac:dyDescent="0.25">
      <c r="A256" s="886"/>
      <c r="B256" s="895"/>
      <c r="C256" s="895"/>
      <c r="D256" s="895"/>
      <c r="E256" s="895"/>
      <c r="F256" s="899"/>
      <c r="G256" s="597" t="s">
        <v>446</v>
      </c>
      <c r="H256" s="610">
        <v>1</v>
      </c>
      <c r="I256" s="610">
        <v>1</v>
      </c>
      <c r="J256" s="611">
        <f t="shared" si="8"/>
        <v>1</v>
      </c>
      <c r="K256" s="584">
        <v>0</v>
      </c>
      <c r="L256" s="584">
        <v>0</v>
      </c>
      <c r="M256" s="597">
        <v>0</v>
      </c>
      <c r="N256" s="621" t="s">
        <v>636</v>
      </c>
    </row>
    <row r="257" spans="1:14" ht="51" customHeight="1" x14ac:dyDescent="0.25">
      <c r="A257" s="884" t="s">
        <v>146</v>
      </c>
      <c r="B257" s="895" t="s">
        <v>575</v>
      </c>
      <c r="C257" s="895" t="s">
        <v>576</v>
      </c>
      <c r="D257" s="895" t="s">
        <v>577</v>
      </c>
      <c r="E257" s="895" t="s">
        <v>578</v>
      </c>
      <c r="F257" s="899">
        <v>0.45</v>
      </c>
      <c r="G257" s="597" t="s">
        <v>414</v>
      </c>
      <c r="H257" s="610">
        <v>1</v>
      </c>
      <c r="I257" s="610">
        <v>1</v>
      </c>
      <c r="J257" s="611">
        <f t="shared" si="8"/>
        <v>1</v>
      </c>
      <c r="K257" s="584">
        <v>0</v>
      </c>
      <c r="L257" s="584">
        <v>0</v>
      </c>
      <c r="M257" s="597">
        <v>0</v>
      </c>
      <c r="N257" s="622" t="s">
        <v>637</v>
      </c>
    </row>
    <row r="258" spans="1:14" ht="51" customHeight="1" x14ac:dyDescent="0.25">
      <c r="A258" s="885"/>
      <c r="B258" s="895"/>
      <c r="C258" s="895"/>
      <c r="D258" s="895"/>
      <c r="E258" s="895"/>
      <c r="F258" s="899"/>
      <c r="G258" s="597" t="s">
        <v>457</v>
      </c>
      <c r="H258" s="617">
        <v>6</v>
      </c>
      <c r="I258" s="617">
        <v>1.6</v>
      </c>
      <c r="J258" s="611">
        <f t="shared" si="8"/>
        <v>0.26666666666666666</v>
      </c>
      <c r="K258" s="584">
        <v>0</v>
      </c>
      <c r="L258" s="584">
        <v>0</v>
      </c>
      <c r="M258" s="597">
        <v>0</v>
      </c>
      <c r="N258" s="622" t="s">
        <v>638</v>
      </c>
    </row>
    <row r="259" spans="1:14" ht="51" customHeight="1" x14ac:dyDescent="0.25">
      <c r="A259" s="885"/>
      <c r="B259" s="895"/>
      <c r="C259" s="895"/>
      <c r="D259" s="895"/>
      <c r="E259" s="895"/>
      <c r="F259" s="899"/>
      <c r="G259" s="597" t="s">
        <v>458</v>
      </c>
      <c r="H259" s="617">
        <v>1</v>
      </c>
      <c r="I259" s="617">
        <v>0.51</v>
      </c>
      <c r="J259" s="611">
        <f t="shared" si="8"/>
        <v>0.51</v>
      </c>
      <c r="K259" s="584">
        <v>0</v>
      </c>
      <c r="L259" s="584">
        <v>0</v>
      </c>
      <c r="M259" s="597">
        <v>0</v>
      </c>
      <c r="N259" s="622" t="s">
        <v>639</v>
      </c>
    </row>
    <row r="260" spans="1:14" ht="51" customHeight="1" x14ac:dyDescent="0.25">
      <c r="A260" s="885"/>
      <c r="B260" s="597" t="s">
        <v>582</v>
      </c>
      <c r="C260" s="597" t="s">
        <v>583</v>
      </c>
      <c r="D260" s="597" t="s">
        <v>584</v>
      </c>
      <c r="E260" s="597" t="s">
        <v>358</v>
      </c>
      <c r="F260" s="610">
        <v>0.15</v>
      </c>
      <c r="G260" s="597" t="s">
        <v>360</v>
      </c>
      <c r="H260" s="617">
        <v>705</v>
      </c>
      <c r="I260" s="617">
        <v>272</v>
      </c>
      <c r="J260" s="611">
        <f t="shared" si="8"/>
        <v>0.38581560283687943</v>
      </c>
      <c r="K260" s="584">
        <v>0</v>
      </c>
      <c r="L260" s="584">
        <v>0</v>
      </c>
      <c r="M260" s="597">
        <v>0</v>
      </c>
      <c r="N260" s="622" t="s">
        <v>640</v>
      </c>
    </row>
    <row r="261" spans="1:14" ht="51" customHeight="1" x14ac:dyDescent="0.25">
      <c r="A261" s="885"/>
      <c r="B261" s="597" t="s">
        <v>586</v>
      </c>
      <c r="C261" s="597" t="s">
        <v>587</v>
      </c>
      <c r="D261" s="597" t="s">
        <v>588</v>
      </c>
      <c r="E261" s="597" t="s">
        <v>358</v>
      </c>
      <c r="F261" s="610">
        <v>0.15</v>
      </c>
      <c r="G261" s="597" t="s">
        <v>361</v>
      </c>
      <c r="H261" s="610">
        <v>1</v>
      </c>
      <c r="I261" s="610">
        <v>1</v>
      </c>
      <c r="J261" s="611">
        <f t="shared" si="8"/>
        <v>1</v>
      </c>
      <c r="K261" s="584">
        <v>0</v>
      </c>
      <c r="L261" s="584">
        <v>0</v>
      </c>
      <c r="M261" s="597">
        <v>0</v>
      </c>
      <c r="N261" s="622" t="s">
        <v>641</v>
      </c>
    </row>
    <row r="262" spans="1:14" ht="51" customHeight="1" x14ac:dyDescent="0.25">
      <c r="A262" s="885"/>
      <c r="B262" s="895" t="s">
        <v>590</v>
      </c>
      <c r="C262" s="895" t="s">
        <v>591</v>
      </c>
      <c r="D262" s="895" t="s">
        <v>592</v>
      </c>
      <c r="E262" s="895" t="s">
        <v>578</v>
      </c>
      <c r="F262" s="899">
        <v>0.25</v>
      </c>
      <c r="G262" s="597" t="s">
        <v>356</v>
      </c>
      <c r="H262" s="617">
        <v>4707</v>
      </c>
      <c r="I262" s="617">
        <v>1501</v>
      </c>
      <c r="J262" s="611">
        <f t="shared" si="8"/>
        <v>0.31888676439345653</v>
      </c>
      <c r="K262" s="584">
        <v>0</v>
      </c>
      <c r="L262" s="584">
        <v>0</v>
      </c>
      <c r="M262" s="597">
        <v>0</v>
      </c>
      <c r="N262" s="622" t="s">
        <v>642</v>
      </c>
    </row>
    <row r="263" spans="1:14" ht="51" customHeight="1" x14ac:dyDescent="0.25">
      <c r="A263" s="886"/>
      <c r="B263" s="895"/>
      <c r="C263" s="895"/>
      <c r="D263" s="895"/>
      <c r="E263" s="895"/>
      <c r="F263" s="899"/>
      <c r="G263" s="597" t="s">
        <v>446</v>
      </c>
      <c r="H263" s="610">
        <v>1</v>
      </c>
      <c r="I263" s="610">
        <v>0.64</v>
      </c>
      <c r="J263" s="611">
        <f t="shared" si="8"/>
        <v>0.64</v>
      </c>
      <c r="K263" s="584">
        <v>0</v>
      </c>
      <c r="L263" s="584">
        <v>0</v>
      </c>
      <c r="M263" s="597">
        <v>0</v>
      </c>
      <c r="N263" s="622" t="s">
        <v>643</v>
      </c>
    </row>
    <row r="264" spans="1:14" ht="51" customHeight="1" x14ac:dyDescent="0.25">
      <c r="A264" s="884" t="s">
        <v>147</v>
      </c>
      <c r="B264" s="895" t="s">
        <v>575</v>
      </c>
      <c r="C264" s="895" t="s">
        <v>576</v>
      </c>
      <c r="D264" s="895" t="s">
        <v>577</v>
      </c>
      <c r="E264" s="895" t="s">
        <v>578</v>
      </c>
      <c r="F264" s="899">
        <v>0.45</v>
      </c>
      <c r="G264" s="597" t="s">
        <v>414</v>
      </c>
      <c r="H264" s="610">
        <f>+[4]INVERSIÓN!BD10</f>
        <v>1</v>
      </c>
      <c r="I264" s="610">
        <v>1</v>
      </c>
      <c r="J264" s="611">
        <f t="shared" si="8"/>
        <v>1</v>
      </c>
      <c r="K264" s="584">
        <v>0</v>
      </c>
      <c r="L264" s="584">
        <v>0</v>
      </c>
      <c r="M264" s="597">
        <v>0</v>
      </c>
      <c r="N264" s="622" t="s">
        <v>644</v>
      </c>
    </row>
    <row r="265" spans="1:14" ht="51" customHeight="1" x14ac:dyDescent="0.25">
      <c r="A265" s="885"/>
      <c r="B265" s="895"/>
      <c r="C265" s="895"/>
      <c r="D265" s="895"/>
      <c r="E265" s="895"/>
      <c r="F265" s="899"/>
      <c r="G265" s="597" t="s">
        <v>457</v>
      </c>
      <c r="H265" s="617">
        <f>+[4]INVERSIÓN!BD17</f>
        <v>8</v>
      </c>
      <c r="I265" s="623">
        <v>2.4</v>
      </c>
      <c r="J265" s="611">
        <f t="shared" si="8"/>
        <v>0.3</v>
      </c>
      <c r="K265" s="584">
        <v>0</v>
      </c>
      <c r="L265" s="584">
        <v>0</v>
      </c>
      <c r="M265" s="597">
        <v>0</v>
      </c>
      <c r="N265" s="622" t="s">
        <v>645</v>
      </c>
    </row>
    <row r="266" spans="1:14" ht="51" customHeight="1" x14ac:dyDescent="0.25">
      <c r="A266" s="885"/>
      <c r="B266" s="895"/>
      <c r="C266" s="895"/>
      <c r="D266" s="895"/>
      <c r="E266" s="895"/>
      <c r="F266" s="899"/>
      <c r="G266" s="597" t="s">
        <v>458</v>
      </c>
      <c r="H266" s="617">
        <f>+[4]INVERSIÓN!BD24</f>
        <v>1.9999999999999998</v>
      </c>
      <c r="I266" s="620">
        <v>0.65</v>
      </c>
      <c r="J266" s="611">
        <f t="shared" si="8"/>
        <v>0.32500000000000007</v>
      </c>
      <c r="K266" s="584">
        <v>0</v>
      </c>
      <c r="L266" s="584">
        <v>0</v>
      </c>
      <c r="M266" s="597">
        <v>0</v>
      </c>
      <c r="N266" s="622" t="s">
        <v>646</v>
      </c>
    </row>
    <row r="267" spans="1:14" ht="51" customHeight="1" x14ac:dyDescent="0.25">
      <c r="A267" s="885"/>
      <c r="B267" s="597" t="s">
        <v>582</v>
      </c>
      <c r="C267" s="597" t="s">
        <v>583</v>
      </c>
      <c r="D267" s="597" t="s">
        <v>584</v>
      </c>
      <c r="E267" s="597" t="s">
        <v>358</v>
      </c>
      <c r="F267" s="610">
        <v>0.15</v>
      </c>
      <c r="G267" s="597" t="s">
        <v>360</v>
      </c>
      <c r="H267" s="617">
        <f>+[4]INVERSIÓN!BD31</f>
        <v>893</v>
      </c>
      <c r="I267" s="617">
        <v>348</v>
      </c>
      <c r="J267" s="611">
        <f t="shared" si="8"/>
        <v>0.38969764837625981</v>
      </c>
      <c r="K267" s="584">
        <v>0</v>
      </c>
      <c r="L267" s="584">
        <v>0</v>
      </c>
      <c r="M267" s="597">
        <v>0</v>
      </c>
      <c r="N267" s="622" t="s">
        <v>647</v>
      </c>
    </row>
    <row r="268" spans="1:14" ht="51" customHeight="1" x14ac:dyDescent="0.25">
      <c r="A268" s="885"/>
      <c r="B268" s="597" t="s">
        <v>586</v>
      </c>
      <c r="C268" s="597" t="s">
        <v>587</v>
      </c>
      <c r="D268" s="597" t="s">
        <v>588</v>
      </c>
      <c r="E268" s="597" t="s">
        <v>358</v>
      </c>
      <c r="F268" s="610">
        <v>0.15</v>
      </c>
      <c r="G268" s="597" t="s">
        <v>361</v>
      </c>
      <c r="H268" s="610">
        <f>+[4]INVERSIÓN!BD38</f>
        <v>1</v>
      </c>
      <c r="I268" s="610">
        <v>1</v>
      </c>
      <c r="J268" s="611">
        <f t="shared" si="8"/>
        <v>1</v>
      </c>
      <c r="K268" s="584">
        <v>0</v>
      </c>
      <c r="L268" s="584">
        <v>0</v>
      </c>
      <c r="M268" s="597">
        <v>0</v>
      </c>
      <c r="N268" s="622" t="s">
        <v>648</v>
      </c>
    </row>
    <row r="269" spans="1:14" ht="51" customHeight="1" x14ac:dyDescent="0.25">
      <c r="A269" s="885"/>
      <c r="B269" s="895" t="s">
        <v>590</v>
      </c>
      <c r="C269" s="895" t="s">
        <v>591</v>
      </c>
      <c r="D269" s="895" t="s">
        <v>592</v>
      </c>
      <c r="E269" s="895" t="s">
        <v>578</v>
      </c>
      <c r="F269" s="899">
        <v>0.25</v>
      </c>
      <c r="G269" s="597" t="s">
        <v>356</v>
      </c>
      <c r="H269" s="617">
        <f>+[4]INVERSIÓN!BD45</f>
        <v>4707</v>
      </c>
      <c r="I269" s="617">
        <v>2706</v>
      </c>
      <c r="J269" s="611">
        <f t="shared" si="8"/>
        <v>0.57488846398980242</v>
      </c>
      <c r="K269" s="584">
        <v>0</v>
      </c>
      <c r="L269" s="584">
        <v>0</v>
      </c>
      <c r="M269" s="597">
        <v>0</v>
      </c>
      <c r="N269" s="622" t="s">
        <v>649</v>
      </c>
    </row>
    <row r="270" spans="1:14" ht="51" customHeight="1" x14ac:dyDescent="0.25">
      <c r="A270" s="886"/>
      <c r="B270" s="895"/>
      <c r="C270" s="895"/>
      <c r="D270" s="895"/>
      <c r="E270" s="895"/>
      <c r="F270" s="899"/>
      <c r="G270" s="597" t="s">
        <v>446</v>
      </c>
      <c r="H270" s="610">
        <f>+[4]INVERSIÓN!BD52</f>
        <v>1</v>
      </c>
      <c r="I270" s="610">
        <v>0.88</v>
      </c>
      <c r="J270" s="611">
        <f t="shared" si="8"/>
        <v>0.88</v>
      </c>
      <c r="K270" s="584">
        <v>0</v>
      </c>
      <c r="L270" s="584">
        <v>0</v>
      </c>
      <c r="M270" s="597">
        <v>0</v>
      </c>
      <c r="N270" s="622" t="s">
        <v>650</v>
      </c>
    </row>
    <row r="271" spans="1:14" ht="51" customHeight="1" x14ac:dyDescent="0.25">
      <c r="A271" s="884" t="s">
        <v>148</v>
      </c>
      <c r="B271" s="895" t="s">
        <v>575</v>
      </c>
      <c r="C271" s="895" t="s">
        <v>576</v>
      </c>
      <c r="D271" s="895" t="s">
        <v>577</v>
      </c>
      <c r="E271" s="895" t="s">
        <v>578</v>
      </c>
      <c r="F271" s="899">
        <v>0.45</v>
      </c>
      <c r="G271" s="597" t="s">
        <v>414</v>
      </c>
      <c r="H271" s="610">
        <f>+[4]INVERSIÓN!BD10</f>
        <v>1</v>
      </c>
      <c r="I271" s="610">
        <f>+[4]INVERSIÓN!BE10</f>
        <v>1</v>
      </c>
      <c r="J271" s="611">
        <f t="shared" si="8"/>
        <v>1</v>
      </c>
      <c r="K271" s="584">
        <v>0</v>
      </c>
      <c r="L271" s="584">
        <v>0</v>
      </c>
      <c r="M271" s="597">
        <v>0</v>
      </c>
      <c r="N271" s="622" t="s">
        <v>651</v>
      </c>
    </row>
    <row r="272" spans="1:14" ht="51" customHeight="1" x14ac:dyDescent="0.25">
      <c r="A272" s="885"/>
      <c r="B272" s="895"/>
      <c r="C272" s="895"/>
      <c r="D272" s="895"/>
      <c r="E272" s="895"/>
      <c r="F272" s="899"/>
      <c r="G272" s="597" t="s">
        <v>457</v>
      </c>
      <c r="H272" s="617">
        <f>+[4]INVERSIÓN!BD17</f>
        <v>8</v>
      </c>
      <c r="I272" s="617">
        <f>+[4]INVERSIÓN!BE17</f>
        <v>3</v>
      </c>
      <c r="J272" s="611">
        <f t="shared" si="8"/>
        <v>0.375</v>
      </c>
      <c r="K272" s="584">
        <v>0</v>
      </c>
      <c r="L272" s="584">
        <v>0</v>
      </c>
      <c r="M272" s="597">
        <v>0</v>
      </c>
      <c r="N272" s="622" t="s">
        <v>497</v>
      </c>
    </row>
    <row r="273" spans="1:14" ht="51" customHeight="1" x14ac:dyDescent="0.25">
      <c r="A273" s="885"/>
      <c r="B273" s="895"/>
      <c r="C273" s="895"/>
      <c r="D273" s="895"/>
      <c r="E273" s="895"/>
      <c r="F273" s="899"/>
      <c r="G273" s="597" t="s">
        <v>458</v>
      </c>
      <c r="H273" s="617">
        <f>+[4]INVERSIÓN!BD24</f>
        <v>1.9999999999999998</v>
      </c>
      <c r="I273" s="617">
        <f>+[4]INVERSIÓN!BE24</f>
        <v>1</v>
      </c>
      <c r="J273" s="611">
        <f t="shared" si="8"/>
        <v>0.5</v>
      </c>
      <c r="K273" s="584">
        <v>0</v>
      </c>
      <c r="L273" s="584">
        <v>0</v>
      </c>
      <c r="M273" s="597">
        <v>0</v>
      </c>
      <c r="N273" s="622" t="s">
        <v>652</v>
      </c>
    </row>
    <row r="274" spans="1:14" ht="51" customHeight="1" x14ac:dyDescent="0.25">
      <c r="A274" s="885"/>
      <c r="B274" s="597" t="s">
        <v>582</v>
      </c>
      <c r="C274" s="597" t="s">
        <v>583</v>
      </c>
      <c r="D274" s="597" t="s">
        <v>584</v>
      </c>
      <c r="E274" s="597" t="s">
        <v>358</v>
      </c>
      <c r="F274" s="610">
        <v>0.15</v>
      </c>
      <c r="G274" s="597" t="s">
        <v>360</v>
      </c>
      <c r="H274" s="617">
        <f>+[4]INVERSIÓN!BD31</f>
        <v>893</v>
      </c>
      <c r="I274" s="617">
        <f>+[4]INVERSIÓN!BE31</f>
        <v>463</v>
      </c>
      <c r="J274" s="611">
        <f t="shared" si="8"/>
        <v>0.51847704367301228</v>
      </c>
      <c r="K274" s="584">
        <v>0</v>
      </c>
      <c r="L274" s="584">
        <v>0</v>
      </c>
      <c r="M274" s="597">
        <v>0</v>
      </c>
      <c r="N274" s="622" t="s">
        <v>653</v>
      </c>
    </row>
    <row r="275" spans="1:14" ht="51" customHeight="1" x14ac:dyDescent="0.25">
      <c r="A275" s="885"/>
      <c r="B275" s="597" t="s">
        <v>586</v>
      </c>
      <c r="C275" s="597" t="s">
        <v>587</v>
      </c>
      <c r="D275" s="597" t="s">
        <v>588</v>
      </c>
      <c r="E275" s="597" t="s">
        <v>358</v>
      </c>
      <c r="F275" s="610">
        <v>0.15</v>
      </c>
      <c r="G275" s="597" t="s">
        <v>361</v>
      </c>
      <c r="H275" s="610">
        <f>+[4]INVERSIÓN!BD38</f>
        <v>1</v>
      </c>
      <c r="I275" s="610">
        <f>+[4]INVERSIÓN!BE38</f>
        <v>1</v>
      </c>
      <c r="J275" s="611">
        <f t="shared" si="8"/>
        <v>1</v>
      </c>
      <c r="K275" s="584">
        <v>0</v>
      </c>
      <c r="L275" s="584">
        <v>0</v>
      </c>
      <c r="M275" s="597">
        <v>0</v>
      </c>
      <c r="N275" s="622" t="s">
        <v>654</v>
      </c>
    </row>
    <row r="276" spans="1:14" ht="51" customHeight="1" x14ac:dyDescent="0.25">
      <c r="A276" s="885"/>
      <c r="B276" s="895" t="s">
        <v>590</v>
      </c>
      <c r="C276" s="895" t="s">
        <v>591</v>
      </c>
      <c r="D276" s="895" t="s">
        <v>592</v>
      </c>
      <c r="E276" s="895" t="s">
        <v>578</v>
      </c>
      <c r="F276" s="899">
        <v>0.25</v>
      </c>
      <c r="G276" s="597" t="s">
        <v>356</v>
      </c>
      <c r="H276" s="617">
        <f>+[4]INVERSIÓN!BD45</f>
        <v>4707</v>
      </c>
      <c r="I276" s="617">
        <f>+[4]INVERSIÓN!BE45</f>
        <v>3504</v>
      </c>
      <c r="J276" s="611">
        <f t="shared" si="8"/>
        <v>0.74442319949012115</v>
      </c>
      <c r="K276" s="584">
        <v>0</v>
      </c>
      <c r="L276" s="584">
        <v>0</v>
      </c>
      <c r="M276" s="597">
        <v>0</v>
      </c>
      <c r="N276" s="622" t="s">
        <v>655</v>
      </c>
    </row>
    <row r="277" spans="1:14" ht="51" customHeight="1" x14ac:dyDescent="0.25">
      <c r="A277" s="886"/>
      <c r="B277" s="895"/>
      <c r="C277" s="895"/>
      <c r="D277" s="895"/>
      <c r="E277" s="895"/>
      <c r="F277" s="899"/>
      <c r="G277" s="597" t="s">
        <v>446</v>
      </c>
      <c r="H277" s="610">
        <f>+[4]INVERSIÓN!BD52</f>
        <v>1</v>
      </c>
      <c r="I277" s="610">
        <f>+[4]INVERSIÓN!BE52</f>
        <v>0.91600000000000004</v>
      </c>
      <c r="J277" s="611">
        <f t="shared" si="8"/>
        <v>0.91600000000000004</v>
      </c>
      <c r="K277" s="584">
        <v>0</v>
      </c>
      <c r="L277" s="584">
        <v>0</v>
      </c>
      <c r="M277" s="597">
        <v>0</v>
      </c>
      <c r="N277" s="622" t="s">
        <v>656</v>
      </c>
    </row>
    <row r="278" spans="1:14" x14ac:dyDescent="0.25">
      <c r="A278" s="57" t="s">
        <v>136</v>
      </c>
      <c r="B278" s="57"/>
      <c r="C278" s="57"/>
      <c r="D278" s="57"/>
      <c r="E278" s="57"/>
      <c r="F278" s="57"/>
      <c r="G278" s="57"/>
      <c r="H278" s="57"/>
      <c r="I278" s="57"/>
      <c r="J278" s="57" t="e">
        <f t="shared" si="8"/>
        <v>#DIV/0!</v>
      </c>
      <c r="K278" s="57"/>
      <c r="L278" s="57"/>
      <c r="M278" s="57" t="e">
        <f t="shared" ref="M278:M283" si="9">L278/K278</f>
        <v>#DIV/0!</v>
      </c>
      <c r="N278" s="57"/>
    </row>
    <row r="279" spans="1:14" x14ac:dyDescent="0.25">
      <c r="A279" s="57" t="s">
        <v>137</v>
      </c>
      <c r="B279" s="57"/>
      <c r="C279" s="57"/>
      <c r="D279" s="57"/>
      <c r="E279" s="57"/>
      <c r="F279" s="57"/>
      <c r="G279" s="57"/>
      <c r="H279" s="57"/>
      <c r="I279" s="57"/>
      <c r="J279" s="57" t="e">
        <f t="shared" si="8"/>
        <v>#DIV/0!</v>
      </c>
      <c r="K279" s="57"/>
      <c r="L279" s="57"/>
      <c r="M279" s="57" t="e">
        <f t="shared" si="9"/>
        <v>#DIV/0!</v>
      </c>
      <c r="N279" s="57"/>
    </row>
    <row r="280" spans="1:14" x14ac:dyDescent="0.25">
      <c r="A280" s="57" t="s">
        <v>138</v>
      </c>
      <c r="B280" s="57"/>
      <c r="C280" s="57"/>
      <c r="D280" s="57"/>
      <c r="E280" s="57"/>
      <c r="F280" s="57"/>
      <c r="G280" s="57"/>
      <c r="H280" s="57"/>
      <c r="I280" s="57"/>
      <c r="J280" s="57" t="e">
        <f t="shared" si="8"/>
        <v>#DIV/0!</v>
      </c>
      <c r="K280" s="57"/>
      <c r="L280" s="57"/>
      <c r="M280" s="57" t="e">
        <f t="shared" si="9"/>
        <v>#DIV/0!</v>
      </c>
      <c r="N280" s="57"/>
    </row>
    <row r="281" spans="1:14" x14ac:dyDescent="0.25">
      <c r="A281" s="57" t="s">
        <v>139</v>
      </c>
      <c r="B281" s="57"/>
      <c r="C281" s="57"/>
      <c r="D281" s="57"/>
      <c r="E281" s="57"/>
      <c r="F281" s="57"/>
      <c r="G281" s="57"/>
      <c r="H281" s="57"/>
      <c r="I281" s="57"/>
      <c r="J281" s="57" t="e">
        <f t="shared" si="8"/>
        <v>#DIV/0!</v>
      </c>
      <c r="K281" s="57"/>
      <c r="L281" s="57"/>
      <c r="M281" s="57" t="e">
        <f t="shared" si="9"/>
        <v>#DIV/0!</v>
      </c>
      <c r="N281" s="57"/>
    </row>
    <row r="282" spans="1:14" x14ac:dyDescent="0.25">
      <c r="A282" s="57" t="s">
        <v>140</v>
      </c>
      <c r="B282" s="57"/>
      <c r="C282" s="57"/>
      <c r="D282" s="57"/>
      <c r="E282" s="57"/>
      <c r="F282" s="57"/>
      <c r="G282" s="57"/>
      <c r="H282" s="57"/>
      <c r="I282" s="57"/>
      <c r="J282" s="57" t="e">
        <f t="shared" si="8"/>
        <v>#DIV/0!</v>
      </c>
      <c r="K282" s="57"/>
      <c r="L282" s="57"/>
      <c r="M282" s="57" t="e">
        <f t="shared" si="9"/>
        <v>#DIV/0!</v>
      </c>
      <c r="N282" s="57"/>
    </row>
    <row r="283" spans="1:14" x14ac:dyDescent="0.25">
      <c r="A283" s="57" t="s">
        <v>141</v>
      </c>
      <c r="B283" s="57"/>
      <c r="C283" s="57"/>
      <c r="D283" s="57"/>
      <c r="E283" s="57"/>
      <c r="F283" s="57"/>
      <c r="G283" s="57"/>
      <c r="H283" s="57"/>
      <c r="I283" s="57"/>
      <c r="J283" s="57" t="e">
        <f t="shared" si="8"/>
        <v>#DIV/0!</v>
      </c>
      <c r="K283" s="57"/>
      <c r="L283" s="57"/>
      <c r="M283" s="57" t="e">
        <f t="shared" si="9"/>
        <v>#DIV/0!</v>
      </c>
      <c r="N283" s="57"/>
    </row>
    <row r="285" spans="1:14" ht="19.899999999999999" hidden="1" customHeight="1" x14ac:dyDescent="0.25">
      <c r="A285" s="900" t="s">
        <v>170</v>
      </c>
      <c r="B285" s="901"/>
      <c r="C285" s="901"/>
      <c r="D285" s="901"/>
      <c r="E285" s="901"/>
      <c r="F285" s="901"/>
      <c r="G285" s="901"/>
      <c r="H285" s="901"/>
      <c r="I285" s="901"/>
      <c r="J285" s="901"/>
      <c r="K285" s="901"/>
      <c r="L285" s="901"/>
      <c r="M285" s="901"/>
      <c r="N285" s="902"/>
    </row>
    <row r="286" spans="1:14" ht="44.25" hidden="1" customHeight="1" x14ac:dyDescent="0.25">
      <c r="A286" s="595" t="s">
        <v>62</v>
      </c>
      <c r="B286" s="54" t="s">
        <v>153</v>
      </c>
      <c r="C286" s="54" t="s">
        <v>154</v>
      </c>
      <c r="D286" s="54" t="s">
        <v>155</v>
      </c>
      <c r="E286" s="54" t="s">
        <v>156</v>
      </c>
      <c r="F286" s="54" t="s">
        <v>171</v>
      </c>
      <c r="G286" s="54" t="s">
        <v>158</v>
      </c>
      <c r="H286" s="54" t="s">
        <v>172</v>
      </c>
      <c r="I286" s="54" t="s">
        <v>173</v>
      </c>
      <c r="J286" s="62" t="s">
        <v>174</v>
      </c>
      <c r="K286" s="54" t="s">
        <v>162</v>
      </c>
      <c r="L286" s="54" t="s">
        <v>163</v>
      </c>
      <c r="M286" s="54" t="s">
        <v>164</v>
      </c>
      <c r="N286" s="54" t="s">
        <v>165</v>
      </c>
    </row>
    <row r="287" spans="1:14" ht="16.5" hidden="1" customHeight="1" x14ac:dyDescent="0.25">
      <c r="A287" s="57" t="s">
        <v>143</v>
      </c>
      <c r="B287" s="57"/>
      <c r="C287" s="57"/>
      <c r="D287" s="57"/>
      <c r="E287" s="57"/>
      <c r="F287" s="57"/>
      <c r="G287" s="57"/>
      <c r="H287" s="57"/>
      <c r="I287" s="57"/>
      <c r="J287" s="57" t="e">
        <f t="shared" ref="J287:J298" si="10">I287/H287</f>
        <v>#DIV/0!</v>
      </c>
      <c r="K287" s="57"/>
      <c r="L287" s="57"/>
      <c r="M287" s="57" t="e">
        <f t="shared" ref="M287:M298" si="11">L287/K287</f>
        <v>#DIV/0!</v>
      </c>
      <c r="N287" s="57"/>
    </row>
    <row r="288" spans="1:14" ht="16.5" hidden="1" customHeight="1" x14ac:dyDescent="0.25">
      <c r="A288" s="57" t="s">
        <v>144</v>
      </c>
      <c r="B288" s="57"/>
      <c r="C288" s="57"/>
      <c r="D288" s="57"/>
      <c r="E288" s="57"/>
      <c r="F288" s="57"/>
      <c r="G288" s="57"/>
      <c r="H288" s="57"/>
      <c r="I288" s="57"/>
      <c r="J288" s="57" t="e">
        <f t="shared" si="10"/>
        <v>#DIV/0!</v>
      </c>
      <c r="K288" s="57"/>
      <c r="L288" s="57"/>
      <c r="M288" s="57" t="e">
        <f t="shared" si="11"/>
        <v>#DIV/0!</v>
      </c>
      <c r="N288" s="57"/>
    </row>
    <row r="289" spans="1:14" ht="16.5" hidden="1" customHeight="1" x14ac:dyDescent="0.25">
      <c r="A289" s="57" t="s">
        <v>145</v>
      </c>
      <c r="B289" s="57"/>
      <c r="C289" s="57"/>
      <c r="D289" s="57"/>
      <c r="E289" s="57"/>
      <c r="F289" s="57"/>
      <c r="G289" s="57"/>
      <c r="H289" s="57"/>
      <c r="I289" s="57"/>
      <c r="J289" s="57" t="e">
        <f t="shared" si="10"/>
        <v>#DIV/0!</v>
      </c>
      <c r="K289" s="57"/>
      <c r="L289" s="57"/>
      <c r="M289" s="57" t="e">
        <f t="shared" si="11"/>
        <v>#DIV/0!</v>
      </c>
      <c r="N289" s="57"/>
    </row>
    <row r="290" spans="1:14" ht="16.5" hidden="1" customHeight="1" x14ac:dyDescent="0.25">
      <c r="A290" s="57" t="s">
        <v>146</v>
      </c>
      <c r="B290" s="57"/>
      <c r="C290" s="57"/>
      <c r="D290" s="57"/>
      <c r="E290" s="57"/>
      <c r="F290" s="57"/>
      <c r="G290" s="57"/>
      <c r="H290" s="57"/>
      <c r="I290" s="57"/>
      <c r="J290" s="57" t="e">
        <f t="shared" si="10"/>
        <v>#DIV/0!</v>
      </c>
      <c r="K290" s="57"/>
      <c r="L290" s="57"/>
      <c r="M290" s="57" t="e">
        <f t="shared" si="11"/>
        <v>#DIV/0!</v>
      </c>
      <c r="N290" s="57"/>
    </row>
    <row r="291" spans="1:14" ht="16.5" hidden="1" customHeight="1" x14ac:dyDescent="0.25">
      <c r="A291" s="57" t="s">
        <v>147</v>
      </c>
      <c r="B291" s="57"/>
      <c r="C291" s="57"/>
      <c r="D291" s="57"/>
      <c r="E291" s="57"/>
      <c r="F291" s="57"/>
      <c r="G291" s="57"/>
      <c r="H291" s="57"/>
      <c r="I291" s="57"/>
      <c r="J291" s="57" t="e">
        <f t="shared" si="10"/>
        <v>#DIV/0!</v>
      </c>
      <c r="K291" s="57"/>
      <c r="L291" s="57"/>
      <c r="M291" s="57" t="e">
        <f t="shared" si="11"/>
        <v>#DIV/0!</v>
      </c>
      <c r="N291" s="57"/>
    </row>
    <row r="292" spans="1:14" ht="16.5" hidden="1" customHeight="1" x14ac:dyDescent="0.25">
      <c r="A292" s="57" t="s">
        <v>148</v>
      </c>
      <c r="B292" s="57"/>
      <c r="C292" s="57"/>
      <c r="D292" s="57"/>
      <c r="E292" s="57"/>
      <c r="F292" s="57"/>
      <c r="G292" s="57"/>
      <c r="H292" s="57"/>
      <c r="I292" s="57"/>
      <c r="J292" s="57" t="e">
        <f t="shared" si="10"/>
        <v>#DIV/0!</v>
      </c>
      <c r="K292" s="57"/>
      <c r="L292" s="57"/>
      <c r="M292" s="57" t="e">
        <f t="shared" si="11"/>
        <v>#DIV/0!</v>
      </c>
      <c r="N292" s="57"/>
    </row>
    <row r="293" spans="1:14" hidden="1" x14ac:dyDescent="0.25">
      <c r="A293" s="57" t="s">
        <v>136</v>
      </c>
      <c r="B293" s="57"/>
      <c r="C293" s="57"/>
      <c r="D293" s="57"/>
      <c r="E293" s="57"/>
      <c r="F293" s="57"/>
      <c r="G293" s="57"/>
      <c r="H293" s="57"/>
      <c r="I293" s="57"/>
      <c r="J293" s="57" t="e">
        <f t="shared" si="10"/>
        <v>#DIV/0!</v>
      </c>
      <c r="K293" s="57"/>
      <c r="L293" s="57"/>
      <c r="M293" s="57" t="e">
        <f t="shared" si="11"/>
        <v>#DIV/0!</v>
      </c>
      <c r="N293" s="57"/>
    </row>
    <row r="294" spans="1:14" hidden="1" x14ac:dyDescent="0.25">
      <c r="A294" s="57" t="s">
        <v>137</v>
      </c>
      <c r="B294" s="57"/>
      <c r="C294" s="57"/>
      <c r="D294" s="57"/>
      <c r="E294" s="57"/>
      <c r="F294" s="57"/>
      <c r="G294" s="57"/>
      <c r="H294" s="57"/>
      <c r="I294" s="57"/>
      <c r="J294" s="57" t="e">
        <f t="shared" si="10"/>
        <v>#DIV/0!</v>
      </c>
      <c r="K294" s="57"/>
      <c r="L294" s="57"/>
      <c r="M294" s="57" t="e">
        <f t="shared" si="11"/>
        <v>#DIV/0!</v>
      </c>
      <c r="N294" s="57"/>
    </row>
    <row r="295" spans="1:14" hidden="1" x14ac:dyDescent="0.25">
      <c r="A295" s="57" t="s">
        <v>138</v>
      </c>
      <c r="B295" s="57"/>
      <c r="C295" s="57"/>
      <c r="D295" s="57"/>
      <c r="E295" s="57"/>
      <c r="F295" s="57"/>
      <c r="G295" s="57"/>
      <c r="H295" s="57"/>
      <c r="I295" s="57"/>
      <c r="J295" s="57" t="e">
        <f t="shared" si="10"/>
        <v>#DIV/0!</v>
      </c>
      <c r="K295" s="57"/>
      <c r="L295" s="57"/>
      <c r="M295" s="57" t="e">
        <f t="shared" si="11"/>
        <v>#DIV/0!</v>
      </c>
      <c r="N295" s="57"/>
    </row>
    <row r="296" spans="1:14" hidden="1" x14ac:dyDescent="0.25">
      <c r="A296" s="57" t="s">
        <v>139</v>
      </c>
      <c r="B296" s="57"/>
      <c r="C296" s="57"/>
      <c r="D296" s="57"/>
      <c r="E296" s="57"/>
      <c r="F296" s="57"/>
      <c r="G296" s="57"/>
      <c r="H296" s="57"/>
      <c r="I296" s="57"/>
      <c r="J296" s="57" t="e">
        <f t="shared" si="10"/>
        <v>#DIV/0!</v>
      </c>
      <c r="K296" s="57"/>
      <c r="L296" s="57"/>
      <c r="M296" s="57" t="e">
        <f t="shared" si="11"/>
        <v>#DIV/0!</v>
      </c>
      <c r="N296" s="57"/>
    </row>
    <row r="297" spans="1:14" hidden="1" x14ac:dyDescent="0.25">
      <c r="A297" s="57" t="s">
        <v>140</v>
      </c>
      <c r="B297" s="57"/>
      <c r="C297" s="57"/>
      <c r="D297" s="57"/>
      <c r="E297" s="57"/>
      <c r="F297" s="57"/>
      <c r="G297" s="57"/>
      <c r="H297" s="57"/>
      <c r="I297" s="57"/>
      <c r="J297" s="57" t="e">
        <f t="shared" si="10"/>
        <v>#DIV/0!</v>
      </c>
      <c r="K297" s="57"/>
      <c r="L297" s="57"/>
      <c r="M297" s="57" t="e">
        <f t="shared" si="11"/>
        <v>#DIV/0!</v>
      </c>
      <c r="N297" s="57"/>
    </row>
    <row r="298" spans="1:14" hidden="1" x14ac:dyDescent="0.25">
      <c r="A298" s="57" t="s">
        <v>141</v>
      </c>
      <c r="B298" s="57"/>
      <c r="C298" s="57"/>
      <c r="D298" s="57"/>
      <c r="E298" s="57"/>
      <c r="F298" s="57"/>
      <c r="G298" s="57"/>
      <c r="H298" s="57"/>
      <c r="I298" s="57"/>
      <c r="J298" s="57" t="e">
        <f t="shared" si="10"/>
        <v>#DIV/0!</v>
      </c>
      <c r="K298" s="57"/>
      <c r="L298" s="57"/>
      <c r="M298" s="57" t="e">
        <f t="shared" si="11"/>
        <v>#DIV/0!</v>
      </c>
      <c r="N298" s="57"/>
    </row>
    <row r="299" spans="1:14" hidden="1" x14ac:dyDescent="0.25"/>
    <row r="300" spans="1:14" ht="19.899999999999999" hidden="1" customHeight="1" x14ac:dyDescent="0.25">
      <c r="A300" s="900" t="s">
        <v>175</v>
      </c>
      <c r="B300" s="901"/>
      <c r="C300" s="901"/>
      <c r="D300" s="901"/>
      <c r="E300" s="901"/>
      <c r="F300" s="901"/>
      <c r="G300" s="901"/>
      <c r="H300" s="901"/>
      <c r="I300" s="901"/>
      <c r="J300" s="901"/>
      <c r="K300" s="901"/>
      <c r="L300" s="901"/>
      <c r="M300" s="901"/>
      <c r="N300" s="902"/>
    </row>
    <row r="301" spans="1:14" ht="44.25" hidden="1" customHeight="1" x14ac:dyDescent="0.25">
      <c r="A301" s="595" t="s">
        <v>63</v>
      </c>
      <c r="B301" s="54" t="s">
        <v>153</v>
      </c>
      <c r="C301" s="54" t="s">
        <v>154</v>
      </c>
      <c r="D301" s="54" t="s">
        <v>155</v>
      </c>
      <c r="E301" s="54" t="s">
        <v>156</v>
      </c>
      <c r="F301" s="54" t="s">
        <v>176</v>
      </c>
      <c r="G301" s="54" t="s">
        <v>158</v>
      </c>
      <c r="H301" s="54" t="s">
        <v>177</v>
      </c>
      <c r="I301" s="54" t="s">
        <v>178</v>
      </c>
      <c r="J301" s="62" t="s">
        <v>179</v>
      </c>
      <c r="K301" s="54" t="s">
        <v>162</v>
      </c>
      <c r="L301" s="54" t="s">
        <v>163</v>
      </c>
      <c r="M301" s="54" t="s">
        <v>164</v>
      </c>
      <c r="N301" s="54" t="s">
        <v>165</v>
      </c>
    </row>
    <row r="302" spans="1:14" ht="16.5" hidden="1" customHeight="1" x14ac:dyDescent="0.25">
      <c r="A302" s="57" t="s">
        <v>143</v>
      </c>
      <c r="B302" s="57"/>
      <c r="C302" s="57"/>
      <c r="D302" s="57"/>
      <c r="E302" s="57"/>
      <c r="F302" s="57"/>
      <c r="G302" s="57"/>
      <c r="H302" s="57"/>
      <c r="I302" s="57"/>
      <c r="J302" s="57" t="e">
        <f t="shared" ref="J302:J313" si="12">I302/H302</f>
        <v>#DIV/0!</v>
      </c>
      <c r="K302" s="57"/>
      <c r="L302" s="57"/>
      <c r="M302" s="57" t="e">
        <f t="shared" ref="M302:M313" si="13">L302/K302</f>
        <v>#DIV/0!</v>
      </c>
      <c r="N302" s="57"/>
    </row>
    <row r="303" spans="1:14" ht="16.5" hidden="1" customHeight="1" x14ac:dyDescent="0.25">
      <c r="A303" s="57" t="s">
        <v>144</v>
      </c>
      <c r="B303" s="57"/>
      <c r="C303" s="57"/>
      <c r="D303" s="57"/>
      <c r="E303" s="57"/>
      <c r="F303" s="57"/>
      <c r="G303" s="57"/>
      <c r="H303" s="57"/>
      <c r="I303" s="57"/>
      <c r="J303" s="57" t="e">
        <f t="shared" si="12"/>
        <v>#DIV/0!</v>
      </c>
      <c r="K303" s="57"/>
      <c r="L303" s="57"/>
      <c r="M303" s="57" t="e">
        <f t="shared" si="13"/>
        <v>#DIV/0!</v>
      </c>
      <c r="N303" s="57"/>
    </row>
    <row r="304" spans="1:14" ht="16.5" hidden="1" customHeight="1" x14ac:dyDescent="0.25">
      <c r="A304" s="57" t="s">
        <v>145</v>
      </c>
      <c r="B304" s="57"/>
      <c r="C304" s="57"/>
      <c r="D304" s="57"/>
      <c r="E304" s="57"/>
      <c r="F304" s="57"/>
      <c r="G304" s="57"/>
      <c r="H304" s="57"/>
      <c r="I304" s="57"/>
      <c r="J304" s="57" t="e">
        <f t="shared" si="12"/>
        <v>#DIV/0!</v>
      </c>
      <c r="K304" s="57"/>
      <c r="L304" s="57"/>
      <c r="M304" s="57" t="e">
        <f t="shared" si="13"/>
        <v>#DIV/0!</v>
      </c>
      <c r="N304" s="57"/>
    </row>
    <row r="305" spans="1:14" ht="16.5" hidden="1" customHeight="1" x14ac:dyDescent="0.25">
      <c r="A305" s="57" t="s">
        <v>146</v>
      </c>
      <c r="B305" s="57"/>
      <c r="C305" s="57"/>
      <c r="D305" s="57"/>
      <c r="E305" s="57"/>
      <c r="F305" s="57"/>
      <c r="G305" s="57"/>
      <c r="H305" s="57"/>
      <c r="I305" s="57"/>
      <c r="J305" s="57" t="e">
        <f t="shared" si="12"/>
        <v>#DIV/0!</v>
      </c>
      <c r="K305" s="57"/>
      <c r="L305" s="57"/>
      <c r="M305" s="57" t="e">
        <f t="shared" si="13"/>
        <v>#DIV/0!</v>
      </c>
      <c r="N305" s="57"/>
    </row>
    <row r="306" spans="1:14" ht="16.5" hidden="1" customHeight="1" x14ac:dyDescent="0.25">
      <c r="A306" s="57" t="s">
        <v>147</v>
      </c>
      <c r="B306" s="57"/>
      <c r="C306" s="57"/>
      <c r="D306" s="57"/>
      <c r="E306" s="57"/>
      <c r="F306" s="57"/>
      <c r="G306" s="57"/>
      <c r="H306" s="57"/>
      <c r="I306" s="57"/>
      <c r="J306" s="57" t="e">
        <f t="shared" si="12"/>
        <v>#DIV/0!</v>
      </c>
      <c r="K306" s="57"/>
      <c r="L306" s="57"/>
      <c r="M306" s="57" t="e">
        <f t="shared" si="13"/>
        <v>#DIV/0!</v>
      </c>
      <c r="N306" s="57"/>
    </row>
    <row r="307" spans="1:14" ht="16.5" hidden="1" customHeight="1" x14ac:dyDescent="0.25">
      <c r="A307" s="57" t="s">
        <v>148</v>
      </c>
      <c r="B307" s="57"/>
      <c r="C307" s="57"/>
      <c r="D307" s="57"/>
      <c r="E307" s="57"/>
      <c r="F307" s="57"/>
      <c r="G307" s="57"/>
      <c r="H307" s="57"/>
      <c r="I307" s="57"/>
      <c r="J307" s="57" t="e">
        <f t="shared" si="12"/>
        <v>#DIV/0!</v>
      </c>
      <c r="K307" s="57"/>
      <c r="L307" s="57"/>
      <c r="M307" s="57" t="e">
        <f t="shared" si="13"/>
        <v>#DIV/0!</v>
      </c>
      <c r="N307" s="57"/>
    </row>
    <row r="308" spans="1:14" hidden="1" x14ac:dyDescent="0.25">
      <c r="A308" s="57" t="s">
        <v>136</v>
      </c>
      <c r="B308" s="57"/>
      <c r="C308" s="57"/>
      <c r="D308" s="57"/>
      <c r="E308" s="57"/>
      <c r="F308" s="57"/>
      <c r="G308" s="57"/>
      <c r="H308" s="57"/>
      <c r="I308" s="57"/>
      <c r="J308" s="57" t="e">
        <f t="shared" si="12"/>
        <v>#DIV/0!</v>
      </c>
      <c r="K308" s="57"/>
      <c r="L308" s="57"/>
      <c r="M308" s="57" t="e">
        <f t="shared" si="13"/>
        <v>#DIV/0!</v>
      </c>
      <c r="N308" s="57"/>
    </row>
    <row r="309" spans="1:14" hidden="1" x14ac:dyDescent="0.25">
      <c r="A309" s="57" t="s">
        <v>137</v>
      </c>
      <c r="B309" s="57"/>
      <c r="C309" s="57"/>
      <c r="D309" s="57"/>
      <c r="E309" s="57"/>
      <c r="F309" s="57"/>
      <c r="G309" s="57"/>
      <c r="H309" s="57"/>
      <c r="I309" s="57"/>
      <c r="J309" s="57" t="e">
        <f t="shared" si="12"/>
        <v>#DIV/0!</v>
      </c>
      <c r="K309" s="57"/>
      <c r="L309" s="57"/>
      <c r="M309" s="57" t="e">
        <f t="shared" si="13"/>
        <v>#DIV/0!</v>
      </c>
      <c r="N309" s="57"/>
    </row>
    <row r="310" spans="1:14" hidden="1" x14ac:dyDescent="0.25">
      <c r="A310" s="57" t="s">
        <v>138</v>
      </c>
      <c r="B310" s="57"/>
      <c r="C310" s="57"/>
      <c r="D310" s="57"/>
      <c r="E310" s="57"/>
      <c r="F310" s="57"/>
      <c r="G310" s="57"/>
      <c r="H310" s="57"/>
      <c r="I310" s="57"/>
      <c r="J310" s="57" t="e">
        <f t="shared" si="12"/>
        <v>#DIV/0!</v>
      </c>
      <c r="K310" s="57"/>
      <c r="L310" s="57"/>
      <c r="M310" s="57" t="e">
        <f t="shared" si="13"/>
        <v>#DIV/0!</v>
      </c>
      <c r="N310" s="57"/>
    </row>
    <row r="311" spans="1:14" hidden="1" x14ac:dyDescent="0.25">
      <c r="A311" s="57" t="s">
        <v>139</v>
      </c>
      <c r="B311" s="57"/>
      <c r="C311" s="57"/>
      <c r="D311" s="57"/>
      <c r="E311" s="57"/>
      <c r="F311" s="57"/>
      <c r="G311" s="57"/>
      <c r="H311" s="57"/>
      <c r="I311" s="57"/>
      <c r="J311" s="57" t="e">
        <f t="shared" si="12"/>
        <v>#DIV/0!</v>
      </c>
      <c r="K311" s="57"/>
      <c r="L311" s="57"/>
      <c r="M311" s="57" t="e">
        <f t="shared" si="13"/>
        <v>#DIV/0!</v>
      </c>
      <c r="N311" s="57"/>
    </row>
    <row r="312" spans="1:14" hidden="1" x14ac:dyDescent="0.25">
      <c r="A312" s="57" t="s">
        <v>140</v>
      </c>
      <c r="B312" s="57"/>
      <c r="C312" s="57"/>
      <c r="D312" s="57"/>
      <c r="E312" s="57"/>
      <c r="F312" s="57"/>
      <c r="G312" s="57"/>
      <c r="H312" s="57"/>
      <c r="I312" s="57"/>
      <c r="J312" s="57" t="e">
        <f t="shared" si="12"/>
        <v>#DIV/0!</v>
      </c>
      <c r="K312" s="57"/>
      <c r="L312" s="57"/>
      <c r="M312" s="57" t="e">
        <f t="shared" si="13"/>
        <v>#DIV/0!</v>
      </c>
      <c r="N312" s="57"/>
    </row>
    <row r="313" spans="1:14" hidden="1" x14ac:dyDescent="0.25">
      <c r="A313" s="57" t="s">
        <v>141</v>
      </c>
      <c r="B313" s="57"/>
      <c r="C313" s="57"/>
      <c r="D313" s="57"/>
      <c r="E313" s="57"/>
      <c r="F313" s="57"/>
      <c r="G313" s="57"/>
      <c r="H313" s="57"/>
      <c r="I313" s="57"/>
      <c r="J313" s="57" t="e">
        <f t="shared" si="12"/>
        <v>#DIV/0!</v>
      </c>
      <c r="K313" s="57"/>
      <c r="L313" s="57"/>
      <c r="M313" s="57" t="e">
        <f t="shared" si="13"/>
        <v>#DIV/0!</v>
      </c>
      <c r="N313" s="57"/>
    </row>
    <row r="314" spans="1:14" hidden="1" x14ac:dyDescent="0.25"/>
    <row r="315" spans="1:14" ht="19.899999999999999" hidden="1" customHeight="1" x14ac:dyDescent="0.25">
      <c r="A315" s="900" t="s">
        <v>180</v>
      </c>
      <c r="B315" s="901"/>
      <c r="C315" s="901"/>
      <c r="D315" s="901"/>
      <c r="E315" s="901"/>
      <c r="F315" s="901"/>
      <c r="G315" s="901"/>
      <c r="H315" s="901"/>
      <c r="I315" s="901"/>
      <c r="J315" s="901"/>
      <c r="K315" s="901"/>
      <c r="L315" s="901"/>
      <c r="M315" s="901"/>
      <c r="N315" s="902"/>
    </row>
    <row r="316" spans="1:14" ht="44.25" hidden="1" customHeight="1" x14ac:dyDescent="0.25">
      <c r="A316" s="595" t="s">
        <v>64</v>
      </c>
      <c r="B316" s="54" t="s">
        <v>153</v>
      </c>
      <c r="C316" s="54" t="s">
        <v>154</v>
      </c>
      <c r="D316" s="54" t="s">
        <v>155</v>
      </c>
      <c r="E316" s="54" t="s">
        <v>156</v>
      </c>
      <c r="F316" s="54" t="s">
        <v>181</v>
      </c>
      <c r="G316" s="54" t="s">
        <v>158</v>
      </c>
      <c r="H316" s="54" t="s">
        <v>182</v>
      </c>
      <c r="I316" s="54" t="s">
        <v>183</v>
      </c>
      <c r="J316" s="62" t="s">
        <v>184</v>
      </c>
      <c r="K316" s="54" t="s">
        <v>162</v>
      </c>
      <c r="L316" s="54" t="s">
        <v>163</v>
      </c>
      <c r="M316" s="54" t="s">
        <v>164</v>
      </c>
      <c r="N316" s="54" t="s">
        <v>165</v>
      </c>
    </row>
    <row r="317" spans="1:14" ht="16.5" hidden="1" customHeight="1" x14ac:dyDescent="0.25">
      <c r="A317" s="57" t="s">
        <v>143</v>
      </c>
      <c r="B317" s="57"/>
      <c r="C317" s="57"/>
      <c r="D317" s="57"/>
      <c r="E317" s="57"/>
      <c r="F317" s="57"/>
      <c r="G317" s="57"/>
      <c r="H317" s="57"/>
      <c r="I317" s="57"/>
      <c r="J317" s="57" t="e">
        <f t="shared" ref="J317:J328" si="14">I317/H317</f>
        <v>#DIV/0!</v>
      </c>
      <c r="K317" s="57"/>
      <c r="L317" s="57"/>
      <c r="M317" s="57" t="e">
        <f t="shared" ref="M317:M328" si="15">L317/K317</f>
        <v>#DIV/0!</v>
      </c>
      <c r="N317" s="57"/>
    </row>
    <row r="318" spans="1:14" ht="16.5" hidden="1" customHeight="1" x14ac:dyDescent="0.25">
      <c r="A318" s="57" t="s">
        <v>144</v>
      </c>
      <c r="B318" s="57"/>
      <c r="C318" s="57"/>
      <c r="D318" s="57"/>
      <c r="E318" s="57"/>
      <c r="F318" s="57"/>
      <c r="G318" s="57"/>
      <c r="H318" s="57"/>
      <c r="I318" s="57"/>
      <c r="J318" s="57" t="e">
        <f t="shared" si="14"/>
        <v>#DIV/0!</v>
      </c>
      <c r="K318" s="57"/>
      <c r="L318" s="57"/>
      <c r="M318" s="57" t="e">
        <f t="shared" si="15"/>
        <v>#DIV/0!</v>
      </c>
      <c r="N318" s="57"/>
    </row>
    <row r="319" spans="1:14" ht="16.5" hidden="1" customHeight="1" x14ac:dyDescent="0.25">
      <c r="A319" s="57" t="s">
        <v>145</v>
      </c>
      <c r="B319" s="57"/>
      <c r="C319" s="57"/>
      <c r="D319" s="57"/>
      <c r="E319" s="57"/>
      <c r="F319" s="57"/>
      <c r="G319" s="57"/>
      <c r="H319" s="57"/>
      <c r="I319" s="57"/>
      <c r="J319" s="57" t="e">
        <f t="shared" si="14"/>
        <v>#DIV/0!</v>
      </c>
      <c r="K319" s="57"/>
      <c r="L319" s="57"/>
      <c r="M319" s="57" t="e">
        <f t="shared" si="15"/>
        <v>#DIV/0!</v>
      </c>
      <c r="N319" s="57"/>
    </row>
    <row r="320" spans="1:14" ht="16.5" hidden="1" customHeight="1" x14ac:dyDescent="0.25">
      <c r="A320" s="57" t="s">
        <v>146</v>
      </c>
      <c r="B320" s="57"/>
      <c r="C320" s="57"/>
      <c r="D320" s="57"/>
      <c r="E320" s="57"/>
      <c r="F320" s="57"/>
      <c r="G320" s="57"/>
      <c r="H320" s="57"/>
      <c r="I320" s="57"/>
      <c r="J320" s="57" t="e">
        <f t="shared" si="14"/>
        <v>#DIV/0!</v>
      </c>
      <c r="K320" s="57"/>
      <c r="L320" s="57"/>
      <c r="M320" s="57" t="e">
        <f t="shared" si="15"/>
        <v>#DIV/0!</v>
      </c>
      <c r="N320" s="57"/>
    </row>
    <row r="321" spans="1:14" ht="16.5" hidden="1" customHeight="1" x14ac:dyDescent="0.25">
      <c r="A321" s="57" t="s">
        <v>147</v>
      </c>
      <c r="B321" s="57"/>
      <c r="C321" s="57"/>
      <c r="D321" s="57"/>
      <c r="E321" s="57"/>
      <c r="F321" s="57"/>
      <c r="G321" s="57"/>
      <c r="H321" s="57"/>
      <c r="I321" s="57"/>
      <c r="J321" s="57" t="e">
        <f t="shared" si="14"/>
        <v>#DIV/0!</v>
      </c>
      <c r="K321" s="57"/>
      <c r="L321" s="57"/>
      <c r="M321" s="57" t="e">
        <f t="shared" si="15"/>
        <v>#DIV/0!</v>
      </c>
      <c r="N321" s="57"/>
    </row>
    <row r="322" spans="1:14" ht="16.5" hidden="1" customHeight="1" x14ac:dyDescent="0.25">
      <c r="A322" s="57" t="s">
        <v>148</v>
      </c>
      <c r="B322" s="57"/>
      <c r="C322" s="57"/>
      <c r="D322" s="57"/>
      <c r="E322" s="57"/>
      <c r="F322" s="57"/>
      <c r="G322" s="57"/>
      <c r="H322" s="57"/>
      <c r="I322" s="57"/>
      <c r="J322" s="57" t="e">
        <f t="shared" si="14"/>
        <v>#DIV/0!</v>
      </c>
      <c r="K322" s="57"/>
      <c r="L322" s="57"/>
      <c r="M322" s="57" t="e">
        <f t="shared" si="15"/>
        <v>#DIV/0!</v>
      </c>
      <c r="N322" s="57"/>
    </row>
    <row r="323" spans="1:14" hidden="1" x14ac:dyDescent="0.25">
      <c r="A323" s="57" t="s">
        <v>136</v>
      </c>
      <c r="B323" s="57"/>
      <c r="C323" s="57"/>
      <c r="D323" s="57"/>
      <c r="E323" s="57"/>
      <c r="F323" s="57"/>
      <c r="G323" s="57"/>
      <c r="H323" s="57"/>
      <c r="I323" s="57"/>
      <c r="J323" s="57" t="e">
        <f t="shared" si="14"/>
        <v>#DIV/0!</v>
      </c>
      <c r="K323" s="57"/>
      <c r="L323" s="57"/>
      <c r="M323" s="57" t="e">
        <f t="shared" si="15"/>
        <v>#DIV/0!</v>
      </c>
      <c r="N323" s="57"/>
    </row>
    <row r="324" spans="1:14" hidden="1" x14ac:dyDescent="0.25">
      <c r="A324" s="57" t="s">
        <v>137</v>
      </c>
      <c r="B324" s="57"/>
      <c r="C324" s="57"/>
      <c r="D324" s="57"/>
      <c r="E324" s="57"/>
      <c r="F324" s="57"/>
      <c r="G324" s="57"/>
      <c r="H324" s="57"/>
      <c r="I324" s="57"/>
      <c r="J324" s="57" t="e">
        <f t="shared" si="14"/>
        <v>#DIV/0!</v>
      </c>
      <c r="K324" s="57"/>
      <c r="L324" s="57"/>
      <c r="M324" s="57" t="e">
        <f t="shared" si="15"/>
        <v>#DIV/0!</v>
      </c>
      <c r="N324" s="57"/>
    </row>
    <row r="325" spans="1:14" hidden="1" x14ac:dyDescent="0.25">
      <c r="A325" s="57" t="s">
        <v>138</v>
      </c>
      <c r="B325" s="57"/>
      <c r="C325" s="57"/>
      <c r="D325" s="57"/>
      <c r="E325" s="57"/>
      <c r="F325" s="57"/>
      <c r="G325" s="57"/>
      <c r="H325" s="57"/>
      <c r="I325" s="57"/>
      <c r="J325" s="57" t="e">
        <f t="shared" si="14"/>
        <v>#DIV/0!</v>
      </c>
      <c r="K325" s="57"/>
      <c r="L325" s="57"/>
      <c r="M325" s="57" t="e">
        <f t="shared" si="15"/>
        <v>#DIV/0!</v>
      </c>
      <c r="N325" s="57"/>
    </row>
    <row r="326" spans="1:14" hidden="1" x14ac:dyDescent="0.25">
      <c r="A326" s="57" t="s">
        <v>139</v>
      </c>
      <c r="B326" s="57"/>
      <c r="C326" s="57"/>
      <c r="D326" s="57"/>
      <c r="E326" s="57"/>
      <c r="F326" s="57"/>
      <c r="G326" s="57"/>
      <c r="H326" s="57"/>
      <c r="I326" s="57"/>
      <c r="J326" s="57" t="e">
        <f t="shared" si="14"/>
        <v>#DIV/0!</v>
      </c>
      <c r="K326" s="57"/>
      <c r="L326" s="57"/>
      <c r="M326" s="57" t="e">
        <f t="shared" si="15"/>
        <v>#DIV/0!</v>
      </c>
      <c r="N326" s="57"/>
    </row>
    <row r="327" spans="1:14" hidden="1" x14ac:dyDescent="0.25">
      <c r="A327" s="57" t="s">
        <v>140</v>
      </c>
      <c r="B327" s="57"/>
      <c r="C327" s="57"/>
      <c r="D327" s="57"/>
      <c r="E327" s="57"/>
      <c r="F327" s="57"/>
      <c r="G327" s="57"/>
      <c r="H327" s="57"/>
      <c r="I327" s="57"/>
      <c r="J327" s="57" t="e">
        <f t="shared" si="14"/>
        <v>#DIV/0!</v>
      </c>
      <c r="K327" s="57"/>
      <c r="L327" s="57"/>
      <c r="M327" s="57" t="e">
        <f t="shared" si="15"/>
        <v>#DIV/0!</v>
      </c>
      <c r="N327" s="57"/>
    </row>
    <row r="328" spans="1:14" hidden="1" x14ac:dyDescent="0.25">
      <c r="A328" s="57" t="s">
        <v>141</v>
      </c>
      <c r="B328" s="57"/>
      <c r="C328" s="57"/>
      <c r="D328" s="57"/>
      <c r="E328" s="57"/>
      <c r="F328" s="57"/>
      <c r="G328" s="57"/>
      <c r="H328" s="57"/>
      <c r="I328" s="57"/>
      <c r="J328" s="57" t="e">
        <f t="shared" si="14"/>
        <v>#DIV/0!</v>
      </c>
      <c r="K328" s="57"/>
      <c r="L328" s="57"/>
      <c r="M328" s="57" t="e">
        <f t="shared" si="15"/>
        <v>#DIV/0!</v>
      </c>
      <c r="N328" s="57"/>
    </row>
    <row r="330" spans="1:14" ht="26.25" customHeight="1" x14ac:dyDescent="0.3">
      <c r="A330" s="881" t="s">
        <v>185</v>
      </c>
      <c r="B330" s="882"/>
      <c r="C330" s="882"/>
      <c r="D330" s="882"/>
      <c r="E330" s="882"/>
      <c r="F330" s="882"/>
      <c r="G330" s="883"/>
    </row>
    <row r="331" spans="1:14" ht="38.25" x14ac:dyDescent="0.25">
      <c r="A331" s="595" t="s">
        <v>49</v>
      </c>
      <c r="B331" s="54" t="s">
        <v>153</v>
      </c>
      <c r="C331" s="54" t="s">
        <v>154</v>
      </c>
      <c r="D331" s="54" t="s">
        <v>186</v>
      </c>
      <c r="E331" s="54" t="s">
        <v>187</v>
      </c>
      <c r="F331" s="54" t="s">
        <v>188</v>
      </c>
      <c r="G331" s="54" t="s">
        <v>189</v>
      </c>
    </row>
    <row r="332" spans="1:14" s="600" customFormat="1" ht="49.9" customHeight="1" outlineLevel="1" x14ac:dyDescent="0.25">
      <c r="A332" s="889" t="s">
        <v>136</v>
      </c>
      <c r="B332" s="896" t="s">
        <v>575</v>
      </c>
      <c r="C332" s="896" t="s">
        <v>657</v>
      </c>
      <c r="D332" s="597" t="s">
        <v>414</v>
      </c>
      <c r="E332" s="598" t="e">
        <f>+[3]INVERSIÓN!I11</f>
        <v>#REF!</v>
      </c>
      <c r="F332" s="598" t="e">
        <f>+[3]INVERSIÓN!J11</f>
        <v>#REF!</v>
      </c>
      <c r="G332" s="597" t="s">
        <v>658</v>
      </c>
    </row>
    <row r="333" spans="1:14" s="600" customFormat="1" ht="49.9" customHeight="1" outlineLevel="2" x14ac:dyDescent="0.25">
      <c r="A333" s="889"/>
      <c r="B333" s="897"/>
      <c r="C333" s="897"/>
      <c r="D333" s="597" t="s">
        <v>457</v>
      </c>
      <c r="E333" s="598" t="e">
        <f>+[3]INVERSIÓN!I17</f>
        <v>#REF!</v>
      </c>
      <c r="F333" s="598" t="e">
        <f>+[3]INVERSIÓN!J17</f>
        <v>#REF!</v>
      </c>
      <c r="G333" s="597" t="s">
        <v>659</v>
      </c>
    </row>
    <row r="334" spans="1:14" s="600" customFormat="1" ht="49.9" customHeight="1" outlineLevel="2" x14ac:dyDescent="0.25">
      <c r="A334" s="889"/>
      <c r="B334" s="898"/>
      <c r="C334" s="898"/>
      <c r="D334" s="597" t="s">
        <v>660</v>
      </c>
      <c r="E334" s="598" t="e">
        <f>+[3]INVERSIÓN!I23</f>
        <v>#REF!</v>
      </c>
      <c r="F334" s="598" t="e">
        <f>+[3]INVERSIÓN!J23</f>
        <v>#REF!</v>
      </c>
      <c r="G334" s="597" t="s">
        <v>658</v>
      </c>
    </row>
    <row r="335" spans="1:14" s="600" customFormat="1" ht="49.9" customHeight="1" outlineLevel="2" x14ac:dyDescent="0.25">
      <c r="A335" s="889"/>
      <c r="B335" s="597" t="s">
        <v>582</v>
      </c>
      <c r="C335" s="597" t="s">
        <v>661</v>
      </c>
      <c r="D335" s="597" t="s">
        <v>662</v>
      </c>
      <c r="E335" s="598" t="e">
        <f>+[3]INVERSIÓN!I29</f>
        <v>#REF!</v>
      </c>
      <c r="F335" s="598" t="e">
        <f>+[3]INVERSIÓN!J29</f>
        <v>#REF!</v>
      </c>
      <c r="G335" s="597" t="s">
        <v>659</v>
      </c>
    </row>
    <row r="336" spans="1:14" s="600" customFormat="1" ht="49.9" customHeight="1" outlineLevel="2" x14ac:dyDescent="0.25">
      <c r="A336" s="889"/>
      <c r="B336" s="597" t="s">
        <v>586</v>
      </c>
      <c r="C336" s="597" t="s">
        <v>663</v>
      </c>
      <c r="D336" s="597" t="s">
        <v>664</v>
      </c>
      <c r="E336" s="598" t="e">
        <f>+[3]INVERSIÓN!I35</f>
        <v>#REF!</v>
      </c>
      <c r="F336" s="598" t="e">
        <f>+[3]INVERSIÓN!J35</f>
        <v>#REF!</v>
      </c>
      <c r="G336" s="597" t="s">
        <v>658</v>
      </c>
    </row>
    <row r="337" spans="1:7" s="600" customFormat="1" ht="49.9" customHeight="1" outlineLevel="2" x14ac:dyDescent="0.25">
      <c r="A337" s="889"/>
      <c r="B337" s="896" t="s">
        <v>590</v>
      </c>
      <c r="C337" s="896" t="s">
        <v>665</v>
      </c>
      <c r="D337" s="597" t="s">
        <v>666</v>
      </c>
      <c r="E337" s="598" t="e">
        <f>+[3]INVERSIÓN!I41</f>
        <v>#REF!</v>
      </c>
      <c r="F337" s="598" t="e">
        <f>+[3]INVERSIÓN!J41</f>
        <v>#REF!</v>
      </c>
      <c r="G337" s="597" t="s">
        <v>659</v>
      </c>
    </row>
    <row r="338" spans="1:7" s="600" customFormat="1" ht="49.9" customHeight="1" outlineLevel="2" x14ac:dyDescent="0.25">
      <c r="A338" s="889"/>
      <c r="B338" s="898"/>
      <c r="C338" s="898"/>
      <c r="D338" s="597" t="s">
        <v>446</v>
      </c>
      <c r="E338" s="598" t="e">
        <f>+[3]INVERSIÓN!I47</f>
        <v>#REF!</v>
      </c>
      <c r="F338" s="598" t="e">
        <f>+[3]INVERSIÓN!J47</f>
        <v>#REF!</v>
      </c>
      <c r="G338" s="597" t="s">
        <v>659</v>
      </c>
    </row>
    <row r="339" spans="1:7" s="600" customFormat="1" ht="49.9" customHeight="1" outlineLevel="2" x14ac:dyDescent="0.25">
      <c r="A339" s="891" t="s">
        <v>137</v>
      </c>
      <c r="B339" s="896" t="s">
        <v>575</v>
      </c>
      <c r="C339" s="896" t="s">
        <v>657</v>
      </c>
      <c r="D339" s="597" t="s">
        <v>414</v>
      </c>
      <c r="E339" s="598" t="e">
        <f>+[3]INVERSIÓN!K11</f>
        <v>#REF!</v>
      </c>
      <c r="F339" s="598" t="e">
        <f>+[3]INVERSIÓN!L11</f>
        <v>#REF!</v>
      </c>
      <c r="G339" s="597" t="s">
        <v>667</v>
      </c>
    </row>
    <row r="340" spans="1:7" s="600" customFormat="1" ht="49.9" customHeight="1" outlineLevel="2" x14ac:dyDescent="0.25">
      <c r="A340" s="889"/>
      <c r="B340" s="897"/>
      <c r="C340" s="897"/>
      <c r="D340" s="597" t="s">
        <v>457</v>
      </c>
      <c r="E340" s="598" t="e">
        <f>+[3]INVERSIÓN!K17</f>
        <v>#REF!</v>
      </c>
      <c r="F340" s="598" t="e">
        <f>+[3]INVERSIÓN!L17</f>
        <v>#REF!</v>
      </c>
      <c r="G340" s="597" t="s">
        <v>667</v>
      </c>
    </row>
    <row r="341" spans="1:7" s="600" customFormat="1" ht="49.9" customHeight="1" outlineLevel="2" x14ac:dyDescent="0.25">
      <c r="A341" s="889"/>
      <c r="B341" s="898"/>
      <c r="C341" s="898"/>
      <c r="D341" s="597" t="s">
        <v>660</v>
      </c>
      <c r="E341" s="598" t="e">
        <f>+[3]INVERSIÓN!K23</f>
        <v>#REF!</v>
      </c>
      <c r="F341" s="598" t="e">
        <f>+[3]INVERSIÓN!L23</f>
        <v>#REF!</v>
      </c>
      <c r="G341" s="597" t="s">
        <v>667</v>
      </c>
    </row>
    <row r="342" spans="1:7" s="600" customFormat="1" ht="49.9" customHeight="1" outlineLevel="2" x14ac:dyDescent="0.25">
      <c r="A342" s="889"/>
      <c r="B342" s="597" t="s">
        <v>582</v>
      </c>
      <c r="C342" s="597" t="s">
        <v>661</v>
      </c>
      <c r="D342" s="597" t="s">
        <v>662</v>
      </c>
      <c r="E342" s="598" t="e">
        <f>+[3]INVERSIÓN!K29</f>
        <v>#REF!</v>
      </c>
      <c r="F342" s="598" t="e">
        <f>+[3]INVERSIÓN!L29</f>
        <v>#REF!</v>
      </c>
      <c r="G342" s="597" t="s">
        <v>667</v>
      </c>
    </row>
    <row r="343" spans="1:7" s="600" customFormat="1" ht="49.9" customHeight="1" outlineLevel="2" x14ac:dyDescent="0.25">
      <c r="A343" s="889"/>
      <c r="B343" s="597" t="s">
        <v>586</v>
      </c>
      <c r="C343" s="597" t="s">
        <v>663</v>
      </c>
      <c r="D343" s="597" t="s">
        <v>664</v>
      </c>
      <c r="E343" s="598" t="e">
        <f>+[3]INVERSIÓN!K35</f>
        <v>#REF!</v>
      </c>
      <c r="F343" s="598" t="e">
        <f>+[3]INVERSIÓN!L35</f>
        <v>#REF!</v>
      </c>
      <c r="G343" s="597" t="s">
        <v>667</v>
      </c>
    </row>
    <row r="344" spans="1:7" s="600" customFormat="1" ht="49.9" customHeight="1" outlineLevel="2" x14ac:dyDescent="0.25">
      <c r="A344" s="889"/>
      <c r="B344" s="896" t="s">
        <v>590</v>
      </c>
      <c r="C344" s="896" t="s">
        <v>665</v>
      </c>
      <c r="D344" s="597" t="s">
        <v>666</v>
      </c>
      <c r="E344" s="598" t="e">
        <f>+[3]INVERSIÓN!K41</f>
        <v>#REF!</v>
      </c>
      <c r="F344" s="598" t="e">
        <f>+[3]INVERSIÓN!L41</f>
        <v>#REF!</v>
      </c>
      <c r="G344" s="597" t="s">
        <v>667</v>
      </c>
    </row>
    <row r="345" spans="1:7" s="600" customFormat="1" ht="49.9" customHeight="1" outlineLevel="2" x14ac:dyDescent="0.25">
      <c r="A345" s="889"/>
      <c r="B345" s="898"/>
      <c r="C345" s="898"/>
      <c r="D345" s="597" t="s">
        <v>446</v>
      </c>
      <c r="E345" s="598" t="e">
        <f>+[3]INVERSIÓN!K47</f>
        <v>#REF!</v>
      </c>
      <c r="F345" s="598" t="e">
        <f>+[3]INVERSIÓN!L47</f>
        <v>#REF!</v>
      </c>
      <c r="G345" s="597" t="s">
        <v>667</v>
      </c>
    </row>
    <row r="346" spans="1:7" s="600" customFormat="1" ht="49.9" customHeight="1" outlineLevel="2" x14ac:dyDescent="0.25">
      <c r="A346" s="891" t="s">
        <v>138</v>
      </c>
      <c r="B346" s="896" t="s">
        <v>575</v>
      </c>
      <c r="C346" s="896" t="s">
        <v>657</v>
      </c>
      <c r="D346" s="597" t="s">
        <v>414</v>
      </c>
      <c r="E346" s="598" t="e">
        <f>+[3]INVERSIÓN!M11</f>
        <v>#REF!</v>
      </c>
      <c r="F346" s="598" t="e">
        <f>+[3]INVERSIÓN!N11</f>
        <v>#REF!</v>
      </c>
      <c r="G346" s="597" t="s">
        <v>667</v>
      </c>
    </row>
    <row r="347" spans="1:7" s="600" customFormat="1" ht="49.9" customHeight="1" outlineLevel="2" x14ac:dyDescent="0.25">
      <c r="A347" s="889"/>
      <c r="B347" s="897"/>
      <c r="C347" s="897"/>
      <c r="D347" s="597" t="s">
        <v>457</v>
      </c>
      <c r="E347" s="598" t="e">
        <f>+[3]INVERSIÓN!M17</f>
        <v>#REF!</v>
      </c>
      <c r="F347" s="598" t="e">
        <f>+[3]INVERSIÓN!N17</f>
        <v>#REF!</v>
      </c>
      <c r="G347" s="597" t="s">
        <v>667</v>
      </c>
    </row>
    <row r="348" spans="1:7" s="600" customFormat="1" ht="49.9" customHeight="1" outlineLevel="2" x14ac:dyDescent="0.25">
      <c r="A348" s="889"/>
      <c r="B348" s="898"/>
      <c r="C348" s="898"/>
      <c r="D348" s="597" t="s">
        <v>660</v>
      </c>
      <c r="E348" s="598" t="e">
        <f>+[3]INVERSIÓN!M23</f>
        <v>#REF!</v>
      </c>
      <c r="F348" s="598" t="e">
        <f>+[3]INVERSIÓN!N23</f>
        <v>#REF!</v>
      </c>
      <c r="G348" s="597" t="s">
        <v>667</v>
      </c>
    </row>
    <row r="349" spans="1:7" s="600" customFormat="1" ht="49.9" customHeight="1" outlineLevel="2" x14ac:dyDescent="0.25">
      <c r="A349" s="889"/>
      <c r="B349" s="597" t="s">
        <v>582</v>
      </c>
      <c r="C349" s="597" t="s">
        <v>661</v>
      </c>
      <c r="D349" s="597" t="s">
        <v>662</v>
      </c>
      <c r="E349" s="598" t="e">
        <f>+[3]INVERSIÓN!M29</f>
        <v>#REF!</v>
      </c>
      <c r="F349" s="598" t="e">
        <f>+[3]INVERSIÓN!N29</f>
        <v>#REF!</v>
      </c>
      <c r="G349" s="597" t="s">
        <v>667</v>
      </c>
    </row>
    <row r="350" spans="1:7" s="600" customFormat="1" ht="49.9" customHeight="1" outlineLevel="2" x14ac:dyDescent="0.25">
      <c r="A350" s="889"/>
      <c r="B350" s="597" t="s">
        <v>586</v>
      </c>
      <c r="C350" s="597" t="s">
        <v>663</v>
      </c>
      <c r="D350" s="597" t="s">
        <v>664</v>
      </c>
      <c r="E350" s="598" t="e">
        <f>+[3]INVERSIÓN!M35</f>
        <v>#REF!</v>
      </c>
      <c r="F350" s="598" t="e">
        <f>+[3]INVERSIÓN!N35</f>
        <v>#REF!</v>
      </c>
      <c r="G350" s="597" t="s">
        <v>667</v>
      </c>
    </row>
    <row r="351" spans="1:7" s="600" customFormat="1" ht="49.9" customHeight="1" outlineLevel="2" x14ac:dyDescent="0.25">
      <c r="A351" s="889"/>
      <c r="B351" s="896" t="s">
        <v>590</v>
      </c>
      <c r="C351" s="896" t="s">
        <v>665</v>
      </c>
      <c r="D351" s="597" t="s">
        <v>666</v>
      </c>
      <c r="E351" s="598" t="e">
        <f>+[3]INVERSIÓN!M41</f>
        <v>#REF!</v>
      </c>
      <c r="F351" s="598" t="e">
        <f>+[3]INVERSIÓN!N41</f>
        <v>#REF!</v>
      </c>
      <c r="G351" s="597" t="s">
        <v>667</v>
      </c>
    </row>
    <row r="352" spans="1:7" s="600" customFormat="1" ht="49.9" customHeight="1" outlineLevel="2" x14ac:dyDescent="0.25">
      <c r="A352" s="889"/>
      <c r="B352" s="898"/>
      <c r="C352" s="898"/>
      <c r="D352" s="597" t="s">
        <v>446</v>
      </c>
      <c r="E352" s="598" t="e">
        <f>+[3]INVERSIÓN!M47</f>
        <v>#REF!</v>
      </c>
      <c r="F352" s="598" t="e">
        <f>+[3]INVERSIÓN!N47</f>
        <v>#REF!</v>
      </c>
      <c r="G352" s="597" t="s">
        <v>667</v>
      </c>
    </row>
    <row r="353" spans="1:7" s="600" customFormat="1" ht="49.9" customHeight="1" outlineLevel="2" x14ac:dyDescent="0.25">
      <c r="A353" s="848" t="s">
        <v>139</v>
      </c>
      <c r="B353" s="895" t="s">
        <v>575</v>
      </c>
      <c r="C353" s="895" t="s">
        <v>657</v>
      </c>
      <c r="D353" s="597" t="s">
        <v>414</v>
      </c>
      <c r="E353" s="598" t="e">
        <f>+[3]INVERSIÓN!O11</f>
        <v>#REF!</v>
      </c>
      <c r="F353" s="598" t="e">
        <f>+[3]INVERSIÓN!P11</f>
        <v>#REF!</v>
      </c>
      <c r="G353" s="597" t="s">
        <v>667</v>
      </c>
    </row>
    <row r="354" spans="1:7" s="600" customFormat="1" ht="49.9" customHeight="1" outlineLevel="2" x14ac:dyDescent="0.25">
      <c r="A354" s="848"/>
      <c r="B354" s="895"/>
      <c r="C354" s="895"/>
      <c r="D354" s="597" t="s">
        <v>457</v>
      </c>
      <c r="E354" s="598" t="e">
        <f>+[3]INVERSIÓN!O17</f>
        <v>#REF!</v>
      </c>
      <c r="F354" s="598" t="e">
        <f>+[3]INVERSIÓN!P17</f>
        <v>#REF!</v>
      </c>
      <c r="G354" s="597" t="s">
        <v>667</v>
      </c>
    </row>
    <row r="355" spans="1:7" s="600" customFormat="1" ht="49.9" customHeight="1" outlineLevel="2" x14ac:dyDescent="0.25">
      <c r="A355" s="848"/>
      <c r="B355" s="895"/>
      <c r="C355" s="895"/>
      <c r="D355" s="597" t="s">
        <v>660</v>
      </c>
      <c r="E355" s="598" t="e">
        <f>+[3]INVERSIÓN!O23</f>
        <v>#REF!</v>
      </c>
      <c r="F355" s="598" t="e">
        <f>+[3]INVERSIÓN!P23</f>
        <v>#REF!</v>
      </c>
      <c r="G355" s="597" t="s">
        <v>667</v>
      </c>
    </row>
    <row r="356" spans="1:7" s="600" customFormat="1" ht="49.9" customHeight="1" outlineLevel="2" x14ac:dyDescent="0.25">
      <c r="A356" s="848"/>
      <c r="B356" s="597" t="s">
        <v>582</v>
      </c>
      <c r="C356" s="597" t="s">
        <v>661</v>
      </c>
      <c r="D356" s="597" t="s">
        <v>662</v>
      </c>
      <c r="E356" s="598" t="e">
        <f>+[3]INVERSIÓN!O29</f>
        <v>#REF!</v>
      </c>
      <c r="F356" s="598" t="e">
        <f>+[3]INVERSIÓN!P29</f>
        <v>#REF!</v>
      </c>
      <c r="G356" s="597" t="s">
        <v>667</v>
      </c>
    </row>
    <row r="357" spans="1:7" s="600" customFormat="1" ht="49.9" customHeight="1" outlineLevel="2" x14ac:dyDescent="0.25">
      <c r="A357" s="848"/>
      <c r="B357" s="597" t="s">
        <v>586</v>
      </c>
      <c r="C357" s="597" t="s">
        <v>663</v>
      </c>
      <c r="D357" s="597" t="s">
        <v>664</v>
      </c>
      <c r="E357" s="598" t="e">
        <f>+[3]INVERSIÓN!O35</f>
        <v>#REF!</v>
      </c>
      <c r="F357" s="598" t="e">
        <f>+[3]INVERSIÓN!P35</f>
        <v>#REF!</v>
      </c>
      <c r="G357" s="597" t="s">
        <v>667</v>
      </c>
    </row>
    <row r="358" spans="1:7" s="600" customFormat="1" ht="49.9" customHeight="1" outlineLevel="2" x14ac:dyDescent="0.25">
      <c r="A358" s="848"/>
      <c r="B358" s="895" t="s">
        <v>590</v>
      </c>
      <c r="C358" s="895" t="s">
        <v>665</v>
      </c>
      <c r="D358" s="597" t="s">
        <v>666</v>
      </c>
      <c r="E358" s="598" t="e">
        <f>+[3]INVERSIÓN!O41</f>
        <v>#REF!</v>
      </c>
      <c r="F358" s="598" t="e">
        <f>+[3]INVERSIÓN!P41</f>
        <v>#REF!</v>
      </c>
      <c r="G358" s="597" t="s">
        <v>667</v>
      </c>
    </row>
    <row r="359" spans="1:7" s="600" customFormat="1" ht="49.9" customHeight="1" outlineLevel="2" x14ac:dyDescent="0.25">
      <c r="A359" s="848"/>
      <c r="B359" s="895"/>
      <c r="C359" s="895"/>
      <c r="D359" s="597" t="s">
        <v>446</v>
      </c>
      <c r="E359" s="598" t="e">
        <f>+[3]INVERSIÓN!O47</f>
        <v>#REF!</v>
      </c>
      <c r="F359" s="598" t="e">
        <f>+[3]INVERSIÓN!P47</f>
        <v>#REF!</v>
      </c>
      <c r="G359" s="597" t="s">
        <v>667</v>
      </c>
    </row>
    <row r="360" spans="1:7" s="600" customFormat="1" ht="49.9" customHeight="1" outlineLevel="2" x14ac:dyDescent="0.25">
      <c r="A360" s="848" t="s">
        <v>140</v>
      </c>
      <c r="B360" s="895" t="s">
        <v>575</v>
      </c>
      <c r="C360" s="895" t="s">
        <v>657</v>
      </c>
      <c r="D360" s="597" t="s">
        <v>414</v>
      </c>
      <c r="E360" s="598" t="e">
        <f>+[3]INVERSIÓN!Q11</f>
        <v>#REF!</v>
      </c>
      <c r="F360" s="598" t="e">
        <f>+[3]INVERSIÓN!R11</f>
        <v>#REF!</v>
      </c>
      <c r="G360" s="597" t="s">
        <v>667</v>
      </c>
    </row>
    <row r="361" spans="1:7" s="600" customFormat="1" ht="49.9" customHeight="1" outlineLevel="2" x14ac:dyDescent="0.25">
      <c r="A361" s="848"/>
      <c r="B361" s="895"/>
      <c r="C361" s="895"/>
      <c r="D361" s="597" t="s">
        <v>457</v>
      </c>
      <c r="E361" s="598" t="e">
        <f>+[3]INVERSIÓN!Q17</f>
        <v>#REF!</v>
      </c>
      <c r="F361" s="598" t="e">
        <f>+[3]INVERSIÓN!R17</f>
        <v>#REF!</v>
      </c>
      <c r="G361" s="597" t="s">
        <v>667</v>
      </c>
    </row>
    <row r="362" spans="1:7" s="600" customFormat="1" ht="49.9" customHeight="1" outlineLevel="2" x14ac:dyDescent="0.25">
      <c r="A362" s="848"/>
      <c r="B362" s="895"/>
      <c r="C362" s="895"/>
      <c r="D362" s="597" t="s">
        <v>660</v>
      </c>
      <c r="E362" s="598" t="e">
        <f>+[3]INVERSIÓN!Q23</f>
        <v>#REF!</v>
      </c>
      <c r="F362" s="598" t="e">
        <f>+[3]INVERSIÓN!R23</f>
        <v>#REF!</v>
      </c>
      <c r="G362" s="597" t="s">
        <v>667</v>
      </c>
    </row>
    <row r="363" spans="1:7" s="600" customFormat="1" ht="49.9" customHeight="1" outlineLevel="2" x14ac:dyDescent="0.25">
      <c r="A363" s="848"/>
      <c r="B363" s="597" t="s">
        <v>582</v>
      </c>
      <c r="C363" s="597" t="s">
        <v>661</v>
      </c>
      <c r="D363" s="597" t="s">
        <v>662</v>
      </c>
      <c r="E363" s="598" t="e">
        <f>+[3]INVERSIÓN!Q29</f>
        <v>#REF!</v>
      </c>
      <c r="F363" s="598" t="e">
        <f>+[3]INVERSIÓN!R29</f>
        <v>#REF!</v>
      </c>
      <c r="G363" s="597" t="s">
        <v>667</v>
      </c>
    </row>
    <row r="364" spans="1:7" s="600" customFormat="1" ht="49.9" customHeight="1" outlineLevel="2" x14ac:dyDescent="0.25">
      <c r="A364" s="848"/>
      <c r="B364" s="597" t="s">
        <v>586</v>
      </c>
      <c r="C364" s="597" t="s">
        <v>663</v>
      </c>
      <c r="D364" s="597" t="s">
        <v>664</v>
      </c>
      <c r="E364" s="598" t="e">
        <f>+[3]INVERSIÓN!Q35</f>
        <v>#REF!</v>
      </c>
      <c r="F364" s="598" t="e">
        <f>+[3]INVERSIÓN!R35</f>
        <v>#REF!</v>
      </c>
      <c r="G364" s="597" t="s">
        <v>667</v>
      </c>
    </row>
    <row r="365" spans="1:7" s="600" customFormat="1" ht="49.9" customHeight="1" outlineLevel="2" x14ac:dyDescent="0.25">
      <c r="A365" s="848"/>
      <c r="B365" s="895" t="s">
        <v>590</v>
      </c>
      <c r="C365" s="895" t="s">
        <v>665</v>
      </c>
      <c r="D365" s="597" t="s">
        <v>666</v>
      </c>
      <c r="E365" s="598" t="e">
        <f>+[3]INVERSIÓN!Q41</f>
        <v>#REF!</v>
      </c>
      <c r="F365" s="598" t="e">
        <f>+[3]INVERSIÓN!R41</f>
        <v>#REF!</v>
      </c>
      <c r="G365" s="597" t="s">
        <v>667</v>
      </c>
    </row>
    <row r="366" spans="1:7" s="600" customFormat="1" ht="49.9" customHeight="1" outlineLevel="2" x14ac:dyDescent="0.25">
      <c r="A366" s="848"/>
      <c r="B366" s="895"/>
      <c r="C366" s="895"/>
      <c r="D366" s="597" t="s">
        <v>446</v>
      </c>
      <c r="E366" s="598" t="e">
        <f>+[3]INVERSIÓN!Q47</f>
        <v>#REF!</v>
      </c>
      <c r="F366" s="598" t="e">
        <f>+[3]INVERSIÓN!R47</f>
        <v>#REF!</v>
      </c>
      <c r="G366" s="597" t="s">
        <v>667</v>
      </c>
    </row>
    <row r="367" spans="1:7" s="600" customFormat="1" ht="55.15" customHeight="1" outlineLevel="2" x14ac:dyDescent="0.25">
      <c r="A367" s="891" t="s">
        <v>141</v>
      </c>
      <c r="B367" s="895" t="s">
        <v>575</v>
      </c>
      <c r="C367" s="895" t="s">
        <v>657</v>
      </c>
      <c r="D367" s="597" t="s">
        <v>414</v>
      </c>
      <c r="E367" s="598" t="e">
        <f>+[3]INVERSIÓN!S11</f>
        <v>#REF!</v>
      </c>
      <c r="F367" s="598" t="e">
        <f>+[3]INVERSIÓN!T11</f>
        <v>#REF!</v>
      </c>
      <c r="G367" s="597" t="s">
        <v>667</v>
      </c>
    </row>
    <row r="368" spans="1:7" s="600" customFormat="1" ht="55.15" customHeight="1" outlineLevel="2" x14ac:dyDescent="0.25">
      <c r="A368" s="889"/>
      <c r="B368" s="895"/>
      <c r="C368" s="895"/>
      <c r="D368" s="597" t="s">
        <v>457</v>
      </c>
      <c r="E368" s="598" t="e">
        <f>+[3]INVERSIÓN!S17</f>
        <v>#REF!</v>
      </c>
      <c r="F368" s="598" t="e">
        <f>+[3]INVERSIÓN!T17</f>
        <v>#REF!</v>
      </c>
      <c r="G368" s="597" t="s">
        <v>667</v>
      </c>
    </row>
    <row r="369" spans="1:10" s="600" customFormat="1" ht="55.15" customHeight="1" outlineLevel="2" x14ac:dyDescent="0.25">
      <c r="A369" s="889"/>
      <c r="B369" s="895"/>
      <c r="C369" s="895"/>
      <c r="D369" s="597" t="s">
        <v>660</v>
      </c>
      <c r="E369" s="598" t="e">
        <f>+[3]INVERSIÓN!S23</f>
        <v>#REF!</v>
      </c>
      <c r="F369" s="598" t="e">
        <f>+[3]INVERSIÓN!T23</f>
        <v>#REF!</v>
      </c>
      <c r="G369" s="597" t="s">
        <v>667</v>
      </c>
    </row>
    <row r="370" spans="1:10" s="600" customFormat="1" ht="55.15" customHeight="1" outlineLevel="2" x14ac:dyDescent="0.25">
      <c r="A370" s="889"/>
      <c r="B370" s="597" t="s">
        <v>582</v>
      </c>
      <c r="C370" s="597" t="s">
        <v>661</v>
      </c>
      <c r="D370" s="597" t="s">
        <v>662</v>
      </c>
      <c r="E370" s="598" t="e">
        <f>+[3]INVERSIÓN!S29</f>
        <v>#REF!</v>
      </c>
      <c r="F370" s="598" t="e">
        <f>+[3]INVERSIÓN!T29</f>
        <v>#REF!</v>
      </c>
      <c r="G370" s="597" t="s">
        <v>667</v>
      </c>
    </row>
    <row r="371" spans="1:10" s="600" customFormat="1" ht="55.15" customHeight="1" outlineLevel="2" x14ac:dyDescent="0.25">
      <c r="A371" s="889"/>
      <c r="B371" s="597" t="s">
        <v>586</v>
      </c>
      <c r="C371" s="597" t="s">
        <v>663</v>
      </c>
      <c r="D371" s="597" t="s">
        <v>664</v>
      </c>
      <c r="E371" s="598" t="e">
        <f>+[3]INVERSIÓN!S35</f>
        <v>#REF!</v>
      </c>
      <c r="F371" s="598" t="e">
        <f>+[3]INVERSIÓN!T35</f>
        <v>#REF!</v>
      </c>
      <c r="G371" s="597" t="s">
        <v>667</v>
      </c>
    </row>
    <row r="372" spans="1:10" s="600" customFormat="1" ht="55.15" customHeight="1" outlineLevel="2" x14ac:dyDescent="0.25">
      <c r="A372" s="889"/>
      <c r="B372" s="895" t="s">
        <v>590</v>
      </c>
      <c r="C372" s="895" t="s">
        <v>665</v>
      </c>
      <c r="D372" s="597" t="s">
        <v>666</v>
      </c>
      <c r="E372" s="598" t="e">
        <f>+[3]INVERSIÓN!S41</f>
        <v>#REF!</v>
      </c>
      <c r="F372" s="598" t="e">
        <f>+[3]INVERSIÓN!T41</f>
        <v>#REF!</v>
      </c>
      <c r="G372" s="597" t="s">
        <v>667</v>
      </c>
    </row>
    <row r="373" spans="1:10" s="600" customFormat="1" ht="55.15" customHeight="1" outlineLevel="2" x14ac:dyDescent="0.25">
      <c r="A373" s="890"/>
      <c r="B373" s="895"/>
      <c r="C373" s="895"/>
      <c r="D373" s="597" t="s">
        <v>446</v>
      </c>
      <c r="E373" s="598" t="e">
        <f>+[3]INVERSIÓN!S47</f>
        <v>#REF!</v>
      </c>
      <c r="F373" s="598" t="e">
        <f>+[3]INVERSIÓN!T47</f>
        <v>#REF!</v>
      </c>
      <c r="G373" s="597" t="s">
        <v>667</v>
      </c>
    </row>
    <row r="375" spans="1:10" ht="20.25" x14ac:dyDescent="0.3">
      <c r="A375" s="881" t="s">
        <v>190</v>
      </c>
      <c r="B375" s="882"/>
      <c r="C375" s="882"/>
      <c r="D375" s="882"/>
      <c r="E375" s="882"/>
      <c r="F375" s="882"/>
      <c r="G375" s="883"/>
    </row>
    <row r="376" spans="1:10" ht="38.25" x14ac:dyDescent="0.25">
      <c r="A376" s="595" t="s">
        <v>50</v>
      </c>
      <c r="B376" s="54" t="s">
        <v>153</v>
      </c>
      <c r="C376" s="54" t="s">
        <v>154</v>
      </c>
      <c r="D376" s="54" t="s">
        <v>186</v>
      </c>
      <c r="E376" s="54" t="s">
        <v>191</v>
      </c>
      <c r="F376" s="54" t="s">
        <v>192</v>
      </c>
      <c r="G376" s="54" t="s">
        <v>189</v>
      </c>
    </row>
    <row r="377" spans="1:10" ht="49.9" customHeight="1" x14ac:dyDescent="0.25">
      <c r="A377" s="884" t="s">
        <v>143</v>
      </c>
      <c r="B377" s="895" t="s">
        <v>575</v>
      </c>
      <c r="C377" s="895" t="s">
        <v>657</v>
      </c>
      <c r="D377" s="597" t="s">
        <v>414</v>
      </c>
      <c r="E377" s="598">
        <v>1564678000</v>
      </c>
      <c r="F377" s="598">
        <v>0</v>
      </c>
      <c r="G377" s="597" t="s">
        <v>667</v>
      </c>
      <c r="I377" s="624"/>
      <c r="J377" s="624"/>
    </row>
    <row r="378" spans="1:10" ht="49.9" customHeight="1" x14ac:dyDescent="0.25">
      <c r="A378" s="885"/>
      <c r="B378" s="895"/>
      <c r="C378" s="895"/>
      <c r="D378" s="597" t="s">
        <v>457</v>
      </c>
      <c r="E378" s="598">
        <v>1374057000</v>
      </c>
      <c r="F378" s="598">
        <v>0</v>
      </c>
      <c r="G378" s="597" t="s">
        <v>667</v>
      </c>
      <c r="I378" s="624"/>
      <c r="J378" s="624"/>
    </row>
    <row r="379" spans="1:10" ht="49.9" customHeight="1" x14ac:dyDescent="0.25">
      <c r="A379" s="885"/>
      <c r="B379" s="895"/>
      <c r="C379" s="895"/>
      <c r="D379" s="597" t="s">
        <v>660</v>
      </c>
      <c r="E379" s="598">
        <v>2973776000</v>
      </c>
      <c r="F379" s="598">
        <v>0</v>
      </c>
      <c r="G379" s="597" t="s">
        <v>667</v>
      </c>
      <c r="I379" s="624"/>
      <c r="J379" s="624"/>
    </row>
    <row r="380" spans="1:10" ht="49.9" customHeight="1" x14ac:dyDescent="0.25">
      <c r="A380" s="885"/>
      <c r="B380" s="597" t="s">
        <v>582</v>
      </c>
      <c r="C380" s="597" t="s">
        <v>661</v>
      </c>
      <c r="D380" s="597" t="s">
        <v>662</v>
      </c>
      <c r="E380" s="598">
        <v>1480481000</v>
      </c>
      <c r="F380" s="598">
        <v>0</v>
      </c>
      <c r="G380" s="597" t="s">
        <v>667</v>
      </c>
      <c r="I380" s="624"/>
      <c r="J380" s="624"/>
    </row>
    <row r="381" spans="1:10" ht="49.9" customHeight="1" x14ac:dyDescent="0.25">
      <c r="A381" s="885"/>
      <c r="B381" s="597" t="s">
        <v>586</v>
      </c>
      <c r="C381" s="597" t="s">
        <v>663</v>
      </c>
      <c r="D381" s="597" t="s">
        <v>664</v>
      </c>
      <c r="E381" s="598">
        <v>689070000</v>
      </c>
      <c r="F381" s="598">
        <v>0</v>
      </c>
      <c r="G381" s="597" t="s">
        <v>667</v>
      </c>
      <c r="I381" s="624"/>
      <c r="J381" s="624"/>
    </row>
    <row r="382" spans="1:10" ht="49.9" customHeight="1" x14ac:dyDescent="0.25">
      <c r="A382" s="885"/>
      <c r="B382" s="895" t="s">
        <v>590</v>
      </c>
      <c r="C382" s="895" t="s">
        <v>665</v>
      </c>
      <c r="D382" s="597" t="s">
        <v>666</v>
      </c>
      <c r="E382" s="598">
        <v>1294148000</v>
      </c>
      <c r="F382" s="598">
        <v>0</v>
      </c>
      <c r="G382" s="597" t="s">
        <v>667</v>
      </c>
      <c r="I382" s="624"/>
      <c r="J382" s="624"/>
    </row>
    <row r="383" spans="1:10" ht="49.9" customHeight="1" x14ac:dyDescent="0.25">
      <c r="A383" s="886"/>
      <c r="B383" s="895"/>
      <c r="C383" s="895"/>
      <c r="D383" s="597" t="s">
        <v>446</v>
      </c>
      <c r="E383" s="598">
        <v>691670000</v>
      </c>
      <c r="F383" s="598">
        <v>0</v>
      </c>
      <c r="G383" s="597" t="s">
        <v>667</v>
      </c>
      <c r="I383" s="624"/>
      <c r="J383" s="624"/>
    </row>
    <row r="384" spans="1:10" ht="49.9" customHeight="1" x14ac:dyDescent="0.25">
      <c r="A384" s="884" t="s">
        <v>144</v>
      </c>
      <c r="B384" s="895" t="s">
        <v>575</v>
      </c>
      <c r="C384" s="895" t="s">
        <v>657</v>
      </c>
      <c r="D384" s="597" t="s">
        <v>414</v>
      </c>
      <c r="E384" s="598">
        <v>1564678000</v>
      </c>
      <c r="F384" s="598">
        <v>188232000</v>
      </c>
      <c r="G384" s="597" t="s">
        <v>667</v>
      </c>
      <c r="I384" s="624"/>
      <c r="J384" s="624"/>
    </row>
    <row r="385" spans="1:10" ht="49.9" customHeight="1" x14ac:dyDescent="0.25">
      <c r="A385" s="885"/>
      <c r="B385" s="895"/>
      <c r="C385" s="895"/>
      <c r="D385" s="597" t="s">
        <v>457</v>
      </c>
      <c r="E385" s="598">
        <v>1374057000</v>
      </c>
      <c r="F385" s="598">
        <v>582050000</v>
      </c>
      <c r="G385" s="597" t="s">
        <v>667</v>
      </c>
      <c r="I385" s="624"/>
      <c r="J385" s="624"/>
    </row>
    <row r="386" spans="1:10" ht="49.9" customHeight="1" x14ac:dyDescent="0.25">
      <c r="A386" s="885"/>
      <c r="B386" s="895"/>
      <c r="C386" s="895"/>
      <c r="D386" s="597" t="s">
        <v>660</v>
      </c>
      <c r="E386" s="598">
        <v>2973776000</v>
      </c>
      <c r="F386" s="598">
        <v>408790000</v>
      </c>
      <c r="G386" s="597" t="s">
        <v>667</v>
      </c>
      <c r="I386" s="624"/>
      <c r="J386" s="624"/>
    </row>
    <row r="387" spans="1:10" ht="49.9" customHeight="1" x14ac:dyDescent="0.25">
      <c r="A387" s="885"/>
      <c r="B387" s="597" t="s">
        <v>582</v>
      </c>
      <c r="C387" s="597" t="s">
        <v>661</v>
      </c>
      <c r="D387" s="597" t="s">
        <v>662</v>
      </c>
      <c r="E387" s="598">
        <v>1480481000</v>
      </c>
      <c r="F387" s="598">
        <v>740287000</v>
      </c>
      <c r="G387" s="597" t="s">
        <v>667</v>
      </c>
      <c r="I387" s="624"/>
      <c r="J387" s="624"/>
    </row>
    <row r="388" spans="1:10" ht="49.9" customHeight="1" x14ac:dyDescent="0.25">
      <c r="A388" s="885"/>
      <c r="B388" s="597" t="s">
        <v>586</v>
      </c>
      <c r="C388" s="597" t="s">
        <v>663</v>
      </c>
      <c r="D388" s="597" t="s">
        <v>664</v>
      </c>
      <c r="E388" s="598">
        <v>689070000</v>
      </c>
      <c r="F388" s="598">
        <v>34584000</v>
      </c>
      <c r="G388" s="597" t="s">
        <v>667</v>
      </c>
      <c r="I388" s="624"/>
      <c r="J388" s="624"/>
    </row>
    <row r="389" spans="1:10" ht="49.9" customHeight="1" x14ac:dyDescent="0.25">
      <c r="A389" s="885"/>
      <c r="B389" s="895" t="s">
        <v>590</v>
      </c>
      <c r="C389" s="895" t="s">
        <v>665</v>
      </c>
      <c r="D389" s="597" t="s">
        <v>666</v>
      </c>
      <c r="E389" s="598">
        <v>1294148000</v>
      </c>
      <c r="F389" s="598">
        <v>385283000</v>
      </c>
      <c r="G389" s="597" t="s">
        <v>667</v>
      </c>
      <c r="I389" s="624"/>
      <c r="J389" s="624"/>
    </row>
    <row r="390" spans="1:10" ht="49.9" customHeight="1" x14ac:dyDescent="0.25">
      <c r="A390" s="886"/>
      <c r="B390" s="895"/>
      <c r="C390" s="895"/>
      <c r="D390" s="597" t="s">
        <v>446</v>
      </c>
      <c r="E390" s="598">
        <v>691670000</v>
      </c>
      <c r="F390" s="598">
        <v>326043000</v>
      </c>
      <c r="G390" s="597" t="s">
        <v>667</v>
      </c>
      <c r="I390" s="624"/>
      <c r="J390" s="624"/>
    </row>
    <row r="391" spans="1:10" ht="49.9" customHeight="1" x14ac:dyDescent="0.25">
      <c r="A391" s="884" t="s">
        <v>145</v>
      </c>
      <c r="B391" s="895" t="s">
        <v>575</v>
      </c>
      <c r="C391" s="895" t="s">
        <v>657</v>
      </c>
      <c r="D391" s="597" t="s">
        <v>414</v>
      </c>
      <c r="E391" s="598">
        <v>1564678000</v>
      </c>
      <c r="F391" s="598">
        <v>537224000</v>
      </c>
      <c r="G391" s="597" t="s">
        <v>667</v>
      </c>
      <c r="I391" s="624"/>
      <c r="J391" s="624"/>
    </row>
    <row r="392" spans="1:10" ht="49.9" customHeight="1" x14ac:dyDescent="0.25">
      <c r="A392" s="885"/>
      <c r="B392" s="895"/>
      <c r="C392" s="895"/>
      <c r="D392" s="597" t="s">
        <v>457</v>
      </c>
      <c r="E392" s="598">
        <v>1374057000</v>
      </c>
      <c r="F392" s="598">
        <v>1121617000</v>
      </c>
      <c r="G392" s="597" t="s">
        <v>667</v>
      </c>
      <c r="I392" s="624"/>
      <c r="J392" s="624"/>
    </row>
    <row r="393" spans="1:10" ht="49.9" customHeight="1" x14ac:dyDescent="0.25">
      <c r="A393" s="885"/>
      <c r="B393" s="895"/>
      <c r="C393" s="895"/>
      <c r="D393" s="597" t="s">
        <v>660</v>
      </c>
      <c r="E393" s="598">
        <v>2973776000</v>
      </c>
      <c r="F393" s="598">
        <v>1793944150</v>
      </c>
      <c r="G393" s="597" t="s">
        <v>667</v>
      </c>
      <c r="I393" s="624"/>
      <c r="J393" s="624"/>
    </row>
    <row r="394" spans="1:10" ht="49.9" customHeight="1" x14ac:dyDescent="0.25">
      <c r="A394" s="885"/>
      <c r="B394" s="597" t="s">
        <v>582</v>
      </c>
      <c r="C394" s="597" t="s">
        <v>661</v>
      </c>
      <c r="D394" s="597" t="s">
        <v>662</v>
      </c>
      <c r="E394" s="598">
        <v>1480481000</v>
      </c>
      <c r="F394" s="598">
        <v>1001575000</v>
      </c>
      <c r="G394" s="597" t="s">
        <v>667</v>
      </c>
      <c r="I394" s="624"/>
      <c r="J394" s="624"/>
    </row>
    <row r="395" spans="1:10" ht="49.9" customHeight="1" x14ac:dyDescent="0.25">
      <c r="A395" s="885"/>
      <c r="B395" s="597" t="s">
        <v>586</v>
      </c>
      <c r="C395" s="597" t="s">
        <v>663</v>
      </c>
      <c r="D395" s="597" t="s">
        <v>664</v>
      </c>
      <c r="E395" s="598">
        <v>689070000</v>
      </c>
      <c r="F395" s="598">
        <v>343006000</v>
      </c>
      <c r="G395" s="597" t="s">
        <v>667</v>
      </c>
      <c r="I395" s="624"/>
      <c r="J395" s="624"/>
    </row>
    <row r="396" spans="1:10" ht="49.9" customHeight="1" x14ac:dyDescent="0.25">
      <c r="A396" s="885"/>
      <c r="B396" s="895" t="s">
        <v>590</v>
      </c>
      <c r="C396" s="895" t="s">
        <v>665</v>
      </c>
      <c r="D396" s="597" t="s">
        <v>666</v>
      </c>
      <c r="E396" s="598">
        <v>1294148000</v>
      </c>
      <c r="F396" s="598">
        <v>1137979000</v>
      </c>
      <c r="G396" s="597" t="s">
        <v>667</v>
      </c>
      <c r="I396" s="624"/>
      <c r="J396" s="624"/>
    </row>
    <row r="397" spans="1:10" ht="49.9" customHeight="1" x14ac:dyDescent="0.25">
      <c r="A397" s="886"/>
      <c r="B397" s="895"/>
      <c r="C397" s="895"/>
      <c r="D397" s="597" t="s">
        <v>446</v>
      </c>
      <c r="E397" s="598">
        <v>691670000</v>
      </c>
      <c r="F397" s="598">
        <v>415638000</v>
      </c>
      <c r="G397" s="597" t="s">
        <v>667</v>
      </c>
      <c r="I397" s="624"/>
      <c r="J397" s="624"/>
    </row>
    <row r="398" spans="1:10" ht="51" customHeight="1" x14ac:dyDescent="0.25">
      <c r="A398" s="884" t="s">
        <v>146</v>
      </c>
      <c r="B398" s="895" t="s">
        <v>575</v>
      </c>
      <c r="C398" s="895" t="s">
        <v>657</v>
      </c>
      <c r="D398" s="597" t="s">
        <v>414</v>
      </c>
      <c r="E398" s="598">
        <v>837335614</v>
      </c>
      <c r="F398" s="598">
        <v>664703857</v>
      </c>
      <c r="G398" s="597" t="s">
        <v>667</v>
      </c>
      <c r="I398" s="624"/>
      <c r="J398" s="624"/>
    </row>
    <row r="399" spans="1:10" ht="51" customHeight="1" x14ac:dyDescent="0.25">
      <c r="A399" s="885"/>
      <c r="B399" s="895"/>
      <c r="C399" s="895"/>
      <c r="D399" s="597" t="s">
        <v>457</v>
      </c>
      <c r="E399" s="598">
        <v>1262994000</v>
      </c>
      <c r="F399" s="598">
        <v>1215729000</v>
      </c>
      <c r="G399" s="597" t="s">
        <v>667</v>
      </c>
      <c r="I399" s="624"/>
      <c r="J399" s="624"/>
    </row>
    <row r="400" spans="1:10" ht="51" customHeight="1" x14ac:dyDescent="0.25">
      <c r="A400" s="885"/>
      <c r="B400" s="895"/>
      <c r="C400" s="895"/>
      <c r="D400" s="597" t="s">
        <v>660</v>
      </c>
      <c r="E400" s="598">
        <v>2636043000</v>
      </c>
      <c r="F400" s="598">
        <v>1942784150</v>
      </c>
      <c r="G400" s="597" t="s">
        <v>667</v>
      </c>
      <c r="I400" s="624"/>
      <c r="J400" s="624"/>
    </row>
    <row r="401" spans="1:10" ht="51" customHeight="1" x14ac:dyDescent="0.25">
      <c r="A401" s="885"/>
      <c r="B401" s="597" t="s">
        <v>582</v>
      </c>
      <c r="C401" s="597" t="s">
        <v>661</v>
      </c>
      <c r="D401" s="597" t="s">
        <v>662</v>
      </c>
      <c r="E401" s="598">
        <v>1453575000</v>
      </c>
      <c r="F401" s="598">
        <v>1001575000</v>
      </c>
      <c r="G401" s="597" t="s">
        <v>667</v>
      </c>
      <c r="I401" s="624"/>
      <c r="J401" s="624"/>
    </row>
    <row r="402" spans="1:10" ht="51" customHeight="1" x14ac:dyDescent="0.25">
      <c r="A402" s="885"/>
      <c r="B402" s="597" t="s">
        <v>586</v>
      </c>
      <c r="C402" s="597" t="s">
        <v>663</v>
      </c>
      <c r="D402" s="597" t="s">
        <v>664</v>
      </c>
      <c r="E402" s="598">
        <v>483246000</v>
      </c>
      <c r="F402" s="598">
        <v>344744634</v>
      </c>
      <c r="G402" s="597" t="s">
        <v>667</v>
      </c>
      <c r="I402" s="624"/>
      <c r="J402" s="624"/>
    </row>
    <row r="403" spans="1:10" ht="51" customHeight="1" x14ac:dyDescent="0.25">
      <c r="A403" s="885"/>
      <c r="B403" s="895" t="s">
        <v>590</v>
      </c>
      <c r="C403" s="895" t="s">
        <v>665</v>
      </c>
      <c r="D403" s="597" t="s">
        <v>666</v>
      </c>
      <c r="E403" s="598">
        <v>1294148000</v>
      </c>
      <c r="F403" s="598">
        <v>1137979000</v>
      </c>
      <c r="G403" s="597" t="s">
        <v>667</v>
      </c>
      <c r="I403" s="624"/>
      <c r="J403" s="624"/>
    </row>
    <row r="404" spans="1:10" ht="51" customHeight="1" x14ac:dyDescent="0.25">
      <c r="A404" s="886"/>
      <c r="B404" s="895"/>
      <c r="C404" s="895"/>
      <c r="D404" s="597" t="s">
        <v>446</v>
      </c>
      <c r="E404" s="598">
        <v>528678000</v>
      </c>
      <c r="F404" s="598">
        <v>516118000</v>
      </c>
      <c r="G404" s="597" t="s">
        <v>667</v>
      </c>
      <c r="I404" s="624"/>
      <c r="J404" s="624"/>
    </row>
    <row r="405" spans="1:10" ht="51" customHeight="1" x14ac:dyDescent="0.25">
      <c r="A405" s="884" t="s">
        <v>147</v>
      </c>
      <c r="B405" s="895" t="s">
        <v>575</v>
      </c>
      <c r="C405" s="895" t="s">
        <v>657</v>
      </c>
      <c r="D405" s="597" t="s">
        <v>414</v>
      </c>
      <c r="E405" s="598">
        <v>837335614</v>
      </c>
      <c r="F405" s="598">
        <v>664703857</v>
      </c>
      <c r="G405" s="597" t="s">
        <v>667</v>
      </c>
    </row>
    <row r="406" spans="1:10" ht="51" customHeight="1" x14ac:dyDescent="0.25">
      <c r="A406" s="885"/>
      <c r="B406" s="895"/>
      <c r="C406" s="895"/>
      <c r="D406" s="597" t="s">
        <v>457</v>
      </c>
      <c r="E406" s="598">
        <v>1262994000</v>
      </c>
      <c r="F406" s="598">
        <v>1215729000</v>
      </c>
      <c r="G406" s="597" t="s">
        <v>667</v>
      </c>
    </row>
    <row r="407" spans="1:10" ht="51" customHeight="1" x14ac:dyDescent="0.25">
      <c r="A407" s="885"/>
      <c r="B407" s="895"/>
      <c r="C407" s="895"/>
      <c r="D407" s="597" t="s">
        <v>660</v>
      </c>
      <c r="E407" s="598">
        <v>2636043000</v>
      </c>
      <c r="F407" s="598">
        <v>1947784150</v>
      </c>
      <c r="G407" s="597" t="s">
        <v>667</v>
      </c>
    </row>
    <row r="408" spans="1:10" ht="51" customHeight="1" x14ac:dyDescent="0.25">
      <c r="A408" s="885"/>
      <c r="B408" s="597" t="s">
        <v>582</v>
      </c>
      <c r="C408" s="597" t="s">
        <v>661</v>
      </c>
      <c r="D408" s="597" t="s">
        <v>662</v>
      </c>
      <c r="E408" s="598">
        <v>1453575000</v>
      </c>
      <c r="F408" s="598">
        <v>1001575000</v>
      </c>
      <c r="G408" s="597" t="s">
        <v>667</v>
      </c>
    </row>
    <row r="409" spans="1:10" ht="51" customHeight="1" x14ac:dyDescent="0.25">
      <c r="A409" s="885"/>
      <c r="B409" s="597" t="s">
        <v>586</v>
      </c>
      <c r="C409" s="597" t="s">
        <v>663</v>
      </c>
      <c r="D409" s="597" t="s">
        <v>664</v>
      </c>
      <c r="E409" s="598">
        <v>483246000</v>
      </c>
      <c r="F409" s="598">
        <v>353986578</v>
      </c>
      <c r="G409" s="597" t="s">
        <v>667</v>
      </c>
    </row>
    <row r="410" spans="1:10" ht="51" customHeight="1" x14ac:dyDescent="0.25">
      <c r="A410" s="885"/>
      <c r="B410" s="895" t="s">
        <v>590</v>
      </c>
      <c r="C410" s="895" t="s">
        <v>665</v>
      </c>
      <c r="D410" s="597" t="s">
        <v>666</v>
      </c>
      <c r="E410" s="598">
        <v>1294148000</v>
      </c>
      <c r="F410" s="598">
        <v>1162045000</v>
      </c>
      <c r="G410" s="597" t="s">
        <v>667</v>
      </c>
    </row>
    <row r="411" spans="1:10" ht="51" customHeight="1" x14ac:dyDescent="0.25">
      <c r="A411" s="886"/>
      <c r="B411" s="895"/>
      <c r="C411" s="895"/>
      <c r="D411" s="597" t="s">
        <v>446</v>
      </c>
      <c r="E411" s="598">
        <v>528678000</v>
      </c>
      <c r="F411" s="598">
        <v>516118000</v>
      </c>
      <c r="G411" s="597" t="s">
        <v>667</v>
      </c>
    </row>
    <row r="412" spans="1:10" ht="51" customHeight="1" x14ac:dyDescent="0.25">
      <c r="A412" s="884" t="s">
        <v>148</v>
      </c>
      <c r="B412" s="895" t="s">
        <v>575</v>
      </c>
      <c r="C412" s="895" t="s">
        <v>657</v>
      </c>
      <c r="D412" s="597" t="s">
        <v>414</v>
      </c>
      <c r="E412" s="598">
        <v>837335614</v>
      </c>
      <c r="F412" s="598">
        <v>871181753</v>
      </c>
      <c r="G412" s="597" t="s">
        <v>667</v>
      </c>
    </row>
    <row r="413" spans="1:10" ht="51" customHeight="1" x14ac:dyDescent="0.25">
      <c r="A413" s="885"/>
      <c r="B413" s="895"/>
      <c r="C413" s="895"/>
      <c r="D413" s="597" t="s">
        <v>457</v>
      </c>
      <c r="E413" s="598">
        <v>1262994000</v>
      </c>
      <c r="F413" s="598">
        <v>1215729000</v>
      </c>
      <c r="G413" s="597" t="s">
        <v>667</v>
      </c>
    </row>
    <row r="414" spans="1:10" ht="51" customHeight="1" x14ac:dyDescent="0.25">
      <c r="A414" s="885"/>
      <c r="B414" s="895"/>
      <c r="C414" s="895"/>
      <c r="D414" s="597" t="s">
        <v>660</v>
      </c>
      <c r="E414" s="598">
        <v>2636043000</v>
      </c>
      <c r="F414" s="598">
        <v>2192515714</v>
      </c>
      <c r="G414" s="597" t="s">
        <v>667</v>
      </c>
    </row>
    <row r="415" spans="1:10" ht="51" customHeight="1" x14ac:dyDescent="0.25">
      <c r="A415" s="885"/>
      <c r="B415" s="597" t="s">
        <v>582</v>
      </c>
      <c r="C415" s="597" t="s">
        <v>661</v>
      </c>
      <c r="D415" s="597" t="s">
        <v>662</v>
      </c>
      <c r="E415" s="598">
        <v>1453575000</v>
      </c>
      <c r="F415" s="598">
        <v>1151575000</v>
      </c>
      <c r="G415" s="597" t="s">
        <v>667</v>
      </c>
    </row>
    <row r="416" spans="1:10" ht="51" customHeight="1" x14ac:dyDescent="0.25">
      <c r="A416" s="885"/>
      <c r="B416" s="597" t="s">
        <v>586</v>
      </c>
      <c r="C416" s="597" t="s">
        <v>663</v>
      </c>
      <c r="D416" s="597" t="s">
        <v>664</v>
      </c>
      <c r="E416" s="598">
        <v>483246000</v>
      </c>
      <c r="F416" s="598">
        <v>455766292</v>
      </c>
      <c r="G416" s="597" t="s">
        <v>667</v>
      </c>
    </row>
    <row r="417" spans="1:7" ht="51" customHeight="1" x14ac:dyDescent="0.25">
      <c r="A417" s="885"/>
      <c r="B417" s="895" t="s">
        <v>590</v>
      </c>
      <c r="C417" s="895" t="s">
        <v>665</v>
      </c>
      <c r="D417" s="597" t="s">
        <v>666</v>
      </c>
      <c r="E417" s="598">
        <v>1294148000</v>
      </c>
      <c r="F417" s="598">
        <v>1162045000</v>
      </c>
      <c r="G417" s="597" t="s">
        <v>667</v>
      </c>
    </row>
    <row r="418" spans="1:7" ht="51" customHeight="1" x14ac:dyDescent="0.25">
      <c r="A418" s="886"/>
      <c r="B418" s="895"/>
      <c r="C418" s="895"/>
      <c r="D418" s="597" t="s">
        <v>446</v>
      </c>
      <c r="E418" s="598">
        <v>528678000</v>
      </c>
      <c r="F418" s="598">
        <v>516118000</v>
      </c>
      <c r="G418" s="597" t="s">
        <v>667</v>
      </c>
    </row>
    <row r="419" spans="1:7" x14ac:dyDescent="0.25">
      <c r="A419" s="57" t="s">
        <v>136</v>
      </c>
      <c r="B419" s="57"/>
      <c r="C419" s="57"/>
      <c r="D419" s="57"/>
      <c r="E419" s="57"/>
      <c r="F419" s="57"/>
      <c r="G419" s="57"/>
    </row>
    <row r="420" spans="1:7" x14ac:dyDescent="0.25">
      <c r="A420" s="57" t="s">
        <v>137</v>
      </c>
      <c r="B420" s="57"/>
      <c r="C420" s="57"/>
      <c r="D420" s="57"/>
      <c r="E420" s="57"/>
      <c r="F420" s="57"/>
      <c r="G420" s="57"/>
    </row>
    <row r="421" spans="1:7" x14ac:dyDescent="0.25">
      <c r="A421" s="57" t="s">
        <v>138</v>
      </c>
      <c r="B421" s="57"/>
      <c r="C421" s="57"/>
      <c r="D421" s="57"/>
      <c r="E421" s="57"/>
      <c r="F421" s="57"/>
      <c r="G421" s="57"/>
    </row>
    <row r="422" spans="1:7" x14ac:dyDescent="0.25">
      <c r="A422" s="57" t="s">
        <v>139</v>
      </c>
      <c r="B422" s="57"/>
      <c r="C422" s="57"/>
      <c r="D422" s="57"/>
      <c r="E422" s="57"/>
      <c r="F422" s="57"/>
      <c r="G422" s="57"/>
    </row>
    <row r="423" spans="1:7" x14ac:dyDescent="0.25">
      <c r="A423" s="57" t="s">
        <v>140</v>
      </c>
      <c r="B423" s="57"/>
      <c r="C423" s="57"/>
      <c r="D423" s="57"/>
      <c r="E423" s="57"/>
      <c r="F423" s="57"/>
      <c r="G423" s="57"/>
    </row>
    <row r="424" spans="1:7" x14ac:dyDescent="0.25">
      <c r="A424" s="57" t="s">
        <v>141</v>
      </c>
      <c r="B424" s="57"/>
      <c r="C424" s="57"/>
      <c r="D424" s="57"/>
      <c r="E424" s="57"/>
      <c r="F424" s="57"/>
      <c r="G424" s="57"/>
    </row>
    <row r="425" spans="1:7" hidden="1" x14ac:dyDescent="0.25">
      <c r="A425" s="72"/>
      <c r="G425" s="73"/>
    </row>
    <row r="426" spans="1:7" ht="20.25" hidden="1" x14ac:dyDescent="0.3">
      <c r="A426" s="881" t="s">
        <v>668</v>
      </c>
      <c r="B426" s="882"/>
      <c r="C426" s="882"/>
      <c r="D426" s="882"/>
      <c r="E426" s="882"/>
      <c r="F426" s="882"/>
      <c r="G426" s="883"/>
    </row>
    <row r="427" spans="1:7" ht="38.25" hidden="1" x14ac:dyDescent="0.25">
      <c r="A427" s="595" t="s">
        <v>62</v>
      </c>
      <c r="B427" s="54" t="s">
        <v>153</v>
      </c>
      <c r="C427" s="54" t="s">
        <v>154</v>
      </c>
      <c r="D427" s="54" t="s">
        <v>186</v>
      </c>
      <c r="E427" s="54" t="s">
        <v>669</v>
      </c>
      <c r="F427" s="54" t="s">
        <v>670</v>
      </c>
      <c r="G427" s="54" t="s">
        <v>189</v>
      </c>
    </row>
    <row r="428" spans="1:7" ht="16.5" hidden="1" customHeight="1" x14ac:dyDescent="0.25">
      <c r="A428" s="57" t="s">
        <v>143</v>
      </c>
      <c r="B428" s="57"/>
      <c r="C428" s="57"/>
      <c r="D428" s="57"/>
      <c r="E428" s="57"/>
      <c r="F428" s="57"/>
      <c r="G428" s="57"/>
    </row>
    <row r="429" spans="1:7" ht="16.5" hidden="1" customHeight="1" x14ac:dyDescent="0.25">
      <c r="A429" s="57" t="s">
        <v>144</v>
      </c>
      <c r="B429" s="57"/>
      <c r="C429" s="57"/>
      <c r="D429" s="57"/>
      <c r="E429" s="57"/>
      <c r="F429" s="57"/>
      <c r="G429" s="57"/>
    </row>
    <row r="430" spans="1:7" ht="16.5" hidden="1" customHeight="1" x14ac:dyDescent="0.25">
      <c r="A430" s="57" t="s">
        <v>145</v>
      </c>
      <c r="B430" s="57"/>
      <c r="C430" s="57"/>
      <c r="D430" s="57"/>
      <c r="E430" s="57"/>
      <c r="F430" s="57"/>
      <c r="G430" s="57"/>
    </row>
    <row r="431" spans="1:7" ht="16.5" hidden="1" customHeight="1" x14ac:dyDescent="0.25">
      <c r="A431" s="57" t="s">
        <v>146</v>
      </c>
      <c r="B431" s="57"/>
      <c r="C431" s="57"/>
      <c r="D431" s="57"/>
      <c r="E431" s="57"/>
      <c r="F431" s="57"/>
      <c r="G431" s="57"/>
    </row>
    <row r="432" spans="1:7" ht="16.5" hidden="1" customHeight="1" x14ac:dyDescent="0.25">
      <c r="A432" s="57" t="s">
        <v>147</v>
      </c>
      <c r="B432" s="57"/>
      <c r="C432" s="57"/>
      <c r="D432" s="57"/>
      <c r="E432" s="57"/>
      <c r="F432" s="57"/>
      <c r="G432" s="57"/>
    </row>
    <row r="433" spans="1:7" ht="16.5" hidden="1" customHeight="1" x14ac:dyDescent="0.25">
      <c r="A433" s="57" t="s">
        <v>148</v>
      </c>
      <c r="B433" s="57"/>
      <c r="C433" s="57"/>
      <c r="D433" s="57"/>
      <c r="E433" s="57"/>
      <c r="F433" s="57"/>
      <c r="G433" s="57"/>
    </row>
    <row r="434" spans="1:7" hidden="1" x14ac:dyDescent="0.25">
      <c r="A434" s="57" t="s">
        <v>136</v>
      </c>
      <c r="B434" s="57"/>
      <c r="C434" s="57"/>
      <c r="D434" s="57"/>
      <c r="E434" s="57"/>
      <c r="F434" s="57"/>
      <c r="G434" s="57"/>
    </row>
    <row r="435" spans="1:7" hidden="1" x14ac:dyDescent="0.25">
      <c r="A435" s="57" t="s">
        <v>137</v>
      </c>
      <c r="B435" s="57"/>
      <c r="C435" s="57"/>
      <c r="D435" s="57"/>
      <c r="E435" s="57"/>
      <c r="F435" s="57"/>
      <c r="G435" s="57"/>
    </row>
    <row r="436" spans="1:7" hidden="1" x14ac:dyDescent="0.25">
      <c r="A436" s="57" t="s">
        <v>138</v>
      </c>
      <c r="B436" s="57"/>
      <c r="C436" s="57"/>
      <c r="D436" s="57"/>
      <c r="E436" s="57"/>
      <c r="F436" s="57"/>
      <c r="G436" s="57"/>
    </row>
    <row r="437" spans="1:7" hidden="1" x14ac:dyDescent="0.25">
      <c r="A437" s="57" t="s">
        <v>139</v>
      </c>
      <c r="B437" s="57"/>
      <c r="C437" s="57"/>
      <c r="D437" s="57"/>
      <c r="E437" s="57"/>
      <c r="F437" s="57"/>
      <c r="G437" s="57"/>
    </row>
    <row r="438" spans="1:7" hidden="1" x14ac:dyDescent="0.25">
      <c r="A438" s="57" t="s">
        <v>140</v>
      </c>
      <c r="B438" s="57"/>
      <c r="C438" s="57"/>
      <c r="D438" s="57"/>
      <c r="E438" s="57"/>
      <c r="F438" s="57"/>
      <c r="G438" s="57"/>
    </row>
    <row r="439" spans="1:7" hidden="1" x14ac:dyDescent="0.25">
      <c r="A439" s="57" t="s">
        <v>141</v>
      </c>
      <c r="B439" s="57"/>
      <c r="C439" s="57"/>
      <c r="D439" s="57"/>
      <c r="E439" s="57"/>
      <c r="F439" s="57"/>
      <c r="G439" s="57"/>
    </row>
    <row r="440" spans="1:7" hidden="1" x14ac:dyDescent="0.25">
      <c r="A440" s="72"/>
      <c r="G440" s="73"/>
    </row>
    <row r="441" spans="1:7" ht="30.75" hidden="1" customHeight="1" x14ac:dyDescent="0.3">
      <c r="A441" s="881" t="s">
        <v>193</v>
      </c>
      <c r="B441" s="882"/>
      <c r="C441" s="882"/>
      <c r="D441" s="882"/>
      <c r="E441" s="882"/>
      <c r="F441" s="882"/>
      <c r="G441" s="883"/>
    </row>
    <row r="442" spans="1:7" ht="38.25" hidden="1" x14ac:dyDescent="0.25">
      <c r="A442" s="595" t="s">
        <v>63</v>
      </c>
      <c r="B442" s="54" t="s">
        <v>153</v>
      </c>
      <c r="C442" s="54" t="s">
        <v>154</v>
      </c>
      <c r="D442" s="54" t="s">
        <v>186</v>
      </c>
      <c r="E442" s="54" t="s">
        <v>194</v>
      </c>
      <c r="F442" s="54" t="s">
        <v>195</v>
      </c>
      <c r="G442" s="54" t="s">
        <v>189</v>
      </c>
    </row>
    <row r="443" spans="1:7" ht="16.5" hidden="1" customHeight="1" x14ac:dyDescent="0.25">
      <c r="A443" s="57" t="s">
        <v>143</v>
      </c>
      <c r="B443" s="57"/>
      <c r="C443" s="57"/>
      <c r="D443" s="57"/>
      <c r="E443" s="57"/>
      <c r="F443" s="57"/>
      <c r="G443" s="57"/>
    </row>
    <row r="444" spans="1:7" ht="16.5" hidden="1" customHeight="1" x14ac:dyDescent="0.25">
      <c r="A444" s="57" t="s">
        <v>144</v>
      </c>
      <c r="B444" s="57"/>
      <c r="C444" s="57"/>
      <c r="D444" s="57"/>
      <c r="E444" s="57"/>
      <c r="F444" s="57"/>
      <c r="G444" s="57"/>
    </row>
    <row r="445" spans="1:7" ht="16.5" hidden="1" customHeight="1" x14ac:dyDescent="0.25">
      <c r="A445" s="57" t="s">
        <v>145</v>
      </c>
      <c r="B445" s="57"/>
      <c r="C445" s="57"/>
      <c r="D445" s="57"/>
      <c r="E445" s="57"/>
      <c r="F445" s="57"/>
      <c r="G445" s="57"/>
    </row>
    <row r="446" spans="1:7" ht="16.5" hidden="1" customHeight="1" x14ac:dyDescent="0.25">
      <c r="A446" s="57" t="s">
        <v>146</v>
      </c>
      <c r="B446" s="57"/>
      <c r="C446" s="57"/>
      <c r="D446" s="57"/>
      <c r="E446" s="57"/>
      <c r="F446" s="57"/>
      <c r="G446" s="57"/>
    </row>
    <row r="447" spans="1:7" ht="16.5" hidden="1" customHeight="1" x14ac:dyDescent="0.25">
      <c r="A447" s="57" t="s">
        <v>147</v>
      </c>
      <c r="B447" s="57"/>
      <c r="C447" s="57"/>
      <c r="D447" s="57"/>
      <c r="E447" s="57"/>
      <c r="F447" s="57"/>
      <c r="G447" s="57"/>
    </row>
    <row r="448" spans="1:7" ht="16.5" hidden="1" customHeight="1" x14ac:dyDescent="0.25">
      <c r="A448" s="57" t="s">
        <v>148</v>
      </c>
      <c r="B448" s="57"/>
      <c r="C448" s="57"/>
      <c r="D448" s="57"/>
      <c r="E448" s="57"/>
      <c r="F448" s="57"/>
      <c r="G448" s="57"/>
    </row>
    <row r="449" spans="1:7" hidden="1" x14ac:dyDescent="0.25">
      <c r="A449" s="57" t="s">
        <v>136</v>
      </c>
      <c r="B449" s="57"/>
      <c r="C449" s="57"/>
      <c r="D449" s="57"/>
      <c r="E449" s="57"/>
      <c r="F449" s="57"/>
      <c r="G449" s="57"/>
    </row>
    <row r="450" spans="1:7" hidden="1" x14ac:dyDescent="0.25">
      <c r="A450" s="57" t="s">
        <v>137</v>
      </c>
      <c r="B450" s="57"/>
      <c r="C450" s="57"/>
      <c r="D450" s="57"/>
      <c r="E450" s="57"/>
      <c r="F450" s="57"/>
      <c r="G450" s="57"/>
    </row>
    <row r="451" spans="1:7" hidden="1" x14ac:dyDescent="0.25">
      <c r="A451" s="57" t="s">
        <v>138</v>
      </c>
      <c r="B451" s="57"/>
      <c r="C451" s="57"/>
      <c r="D451" s="57"/>
      <c r="E451" s="57"/>
      <c r="F451" s="57"/>
      <c r="G451" s="57"/>
    </row>
    <row r="452" spans="1:7" hidden="1" x14ac:dyDescent="0.25">
      <c r="A452" s="57" t="s">
        <v>139</v>
      </c>
      <c r="B452" s="57"/>
      <c r="C452" s="57"/>
      <c r="D452" s="57"/>
      <c r="E452" s="57"/>
      <c r="F452" s="57"/>
      <c r="G452" s="57"/>
    </row>
    <row r="453" spans="1:7" hidden="1" x14ac:dyDescent="0.25">
      <c r="A453" s="57" t="s">
        <v>140</v>
      </c>
      <c r="B453" s="57"/>
      <c r="C453" s="57"/>
      <c r="D453" s="57"/>
      <c r="E453" s="57"/>
      <c r="F453" s="57"/>
      <c r="G453" s="57"/>
    </row>
    <row r="454" spans="1:7" hidden="1" x14ac:dyDescent="0.25">
      <c r="A454" s="57" t="s">
        <v>141</v>
      </c>
      <c r="B454" s="57"/>
      <c r="C454" s="57"/>
      <c r="D454" s="57"/>
      <c r="E454" s="57"/>
      <c r="F454" s="57"/>
      <c r="G454" s="57"/>
    </row>
    <row r="455" spans="1:7" hidden="1" x14ac:dyDescent="0.25">
      <c r="A455" s="72"/>
      <c r="G455" s="73"/>
    </row>
    <row r="456" spans="1:7" ht="20.25" hidden="1" x14ac:dyDescent="0.3">
      <c r="A456" s="881" t="s">
        <v>196</v>
      </c>
      <c r="B456" s="882"/>
      <c r="C456" s="882"/>
      <c r="D456" s="882"/>
      <c r="E456" s="882"/>
      <c r="F456" s="882"/>
      <c r="G456" s="883"/>
    </row>
    <row r="457" spans="1:7" ht="38.25" hidden="1" x14ac:dyDescent="0.25">
      <c r="A457" s="595" t="s">
        <v>64</v>
      </c>
      <c r="B457" s="54" t="s">
        <v>153</v>
      </c>
      <c r="C457" s="54" t="s">
        <v>154</v>
      </c>
      <c r="D457" s="54" t="s">
        <v>186</v>
      </c>
      <c r="E457" s="54" t="s">
        <v>197</v>
      </c>
      <c r="F457" s="54" t="s">
        <v>198</v>
      </c>
      <c r="G457" s="54" t="s">
        <v>189</v>
      </c>
    </row>
    <row r="458" spans="1:7" ht="16.5" hidden="1" customHeight="1" x14ac:dyDescent="0.25">
      <c r="A458" s="57" t="s">
        <v>143</v>
      </c>
      <c r="B458" s="57"/>
      <c r="C458" s="57"/>
      <c r="D458" s="57"/>
      <c r="E458" s="57"/>
      <c r="F458" s="57"/>
      <c r="G458" s="57"/>
    </row>
    <row r="459" spans="1:7" ht="16.5" hidden="1" customHeight="1" x14ac:dyDescent="0.25">
      <c r="A459" s="57" t="s">
        <v>144</v>
      </c>
      <c r="B459" s="57"/>
      <c r="C459" s="57"/>
      <c r="D459" s="57"/>
      <c r="E459" s="57"/>
      <c r="F459" s="57"/>
      <c r="G459" s="57"/>
    </row>
    <row r="460" spans="1:7" ht="16.5" hidden="1" customHeight="1" x14ac:dyDescent="0.25">
      <c r="A460" s="57" t="s">
        <v>145</v>
      </c>
      <c r="B460" s="57"/>
      <c r="C460" s="57"/>
      <c r="D460" s="57"/>
      <c r="E460" s="57"/>
      <c r="F460" s="57"/>
      <c r="G460" s="57"/>
    </row>
    <row r="461" spans="1:7" ht="16.5" hidden="1" customHeight="1" x14ac:dyDescent="0.25">
      <c r="A461" s="57" t="s">
        <v>146</v>
      </c>
      <c r="B461" s="57"/>
      <c r="C461" s="57"/>
      <c r="D461" s="57"/>
      <c r="E461" s="57"/>
      <c r="F461" s="57"/>
      <c r="G461" s="57"/>
    </row>
    <row r="462" spans="1:7" ht="16.5" hidden="1" customHeight="1" x14ac:dyDescent="0.25">
      <c r="A462" s="57" t="s">
        <v>147</v>
      </c>
      <c r="B462" s="57"/>
      <c r="C462" s="57"/>
      <c r="D462" s="57"/>
      <c r="E462" s="57"/>
      <c r="F462" s="57"/>
      <c r="G462" s="57"/>
    </row>
    <row r="463" spans="1:7" ht="16.5" hidden="1" customHeight="1" x14ac:dyDescent="0.25">
      <c r="A463" s="57" t="s">
        <v>148</v>
      </c>
      <c r="B463" s="57"/>
      <c r="C463" s="57"/>
      <c r="D463" s="57"/>
      <c r="E463" s="57"/>
      <c r="F463" s="57"/>
      <c r="G463" s="57"/>
    </row>
    <row r="464" spans="1:7" hidden="1" x14ac:dyDescent="0.25">
      <c r="A464" s="57" t="s">
        <v>136</v>
      </c>
      <c r="B464" s="57"/>
      <c r="C464" s="57"/>
      <c r="D464" s="57"/>
      <c r="E464" s="57"/>
      <c r="F464" s="57"/>
      <c r="G464" s="57"/>
    </row>
    <row r="465" spans="1:8" hidden="1" x14ac:dyDescent="0.25">
      <c r="A465" s="57" t="s">
        <v>137</v>
      </c>
      <c r="B465" s="57"/>
      <c r="C465" s="57"/>
      <c r="D465" s="57"/>
      <c r="E465" s="57"/>
      <c r="F465" s="57"/>
      <c r="G465" s="57"/>
    </row>
    <row r="466" spans="1:8" hidden="1" x14ac:dyDescent="0.25">
      <c r="A466" s="57" t="s">
        <v>138</v>
      </c>
      <c r="B466" s="57"/>
      <c r="C466" s="57"/>
      <c r="D466" s="57"/>
      <c r="E466" s="57"/>
      <c r="F466" s="57"/>
      <c r="G466" s="57"/>
    </row>
    <row r="467" spans="1:8" hidden="1" x14ac:dyDescent="0.25">
      <c r="A467" s="57" t="s">
        <v>139</v>
      </c>
      <c r="B467" s="57"/>
      <c r="C467" s="57"/>
      <c r="D467" s="57"/>
      <c r="E467" s="57"/>
      <c r="F467" s="57"/>
      <c r="G467" s="57"/>
    </row>
    <row r="468" spans="1:8" hidden="1" x14ac:dyDescent="0.25">
      <c r="A468" s="57" t="s">
        <v>140</v>
      </c>
      <c r="B468" s="57"/>
      <c r="C468" s="57"/>
      <c r="D468" s="57"/>
      <c r="E468" s="57"/>
      <c r="F468" s="57"/>
      <c r="G468" s="57"/>
    </row>
    <row r="469" spans="1:8" hidden="1" x14ac:dyDescent="0.25">
      <c r="A469" s="57" t="s">
        <v>141</v>
      </c>
      <c r="B469" s="57"/>
      <c r="C469" s="57"/>
      <c r="D469" s="57"/>
      <c r="E469" s="57"/>
      <c r="F469" s="57"/>
      <c r="G469" s="57"/>
    </row>
    <row r="471" spans="1:8" ht="24.75" customHeight="1" x14ac:dyDescent="0.3">
      <c r="A471" s="881" t="s">
        <v>199</v>
      </c>
      <c r="B471" s="882"/>
      <c r="C471" s="882"/>
      <c r="D471" s="882"/>
      <c r="E471" s="882"/>
      <c r="F471" s="882"/>
      <c r="G471" s="882"/>
      <c r="H471" s="883"/>
    </row>
    <row r="472" spans="1:8" ht="46.5" customHeight="1" x14ac:dyDescent="0.25">
      <c r="A472" s="595" t="s">
        <v>49</v>
      </c>
      <c r="B472" s="54" t="s">
        <v>200</v>
      </c>
      <c r="C472" s="74" t="s">
        <v>156</v>
      </c>
      <c r="D472" s="74" t="s">
        <v>157</v>
      </c>
      <c r="E472" s="74" t="s">
        <v>201</v>
      </c>
      <c r="F472" s="74" t="s">
        <v>202</v>
      </c>
      <c r="G472" s="74" t="s">
        <v>203</v>
      </c>
      <c r="H472" s="54" t="s">
        <v>189</v>
      </c>
    </row>
    <row r="473" spans="1:8" s="600" customFormat="1" ht="49.9" customHeight="1" outlineLevel="1" x14ac:dyDescent="0.25">
      <c r="A473" s="887" t="s">
        <v>136</v>
      </c>
      <c r="B473" s="583" t="s">
        <v>671</v>
      </c>
      <c r="C473" s="338" t="s">
        <v>672</v>
      </c>
      <c r="D473" s="625">
        <v>0.15</v>
      </c>
      <c r="E473" s="584">
        <v>20</v>
      </c>
      <c r="F473" s="584">
        <v>20</v>
      </c>
      <c r="G473" s="602">
        <f t="shared" ref="G473:G514" si="16">F473/E473</f>
        <v>1</v>
      </c>
      <c r="H473" s="597" t="str">
        <f t="shared" ref="H473:H507" si="17">+N191</f>
        <v xml:space="preserve">Para el mes de julio de 2020, se remite el reporte de los mantenimientos preventivos y correctivos que se han realizado durante el mes, estos han sido ejecutados por los técnicos de campo. En el reporte se relaciona la fecha del mantenimiento, el No. de inventario, el nombre y la ubicación del equipo, la actividad que se realiza, el tipo de mantenimiento, el técnico responsable y la estación en la cual se realizó el mantenimiento. 
Por otro lado, se realizó la validación diaria de los datos de concentraciones de contaminantes criterio y parámetros meteorológicos que monitorea la RMCAB, se adjunta reporte de operatividad en el que se evidencia un 95,1% de los datos validos para el mes. 
Se realizó el análisis de datos del mes de junio de 2020 para plasmarlo en el informe de calidad del aire, se adjunta el documento de Excel en el que se evidencia el tratamiento de los datos. Asimismo, el equipo de la RMCAB en el mes de julio de 2020 elaboró y publicó el informe mensual de junio. Se adjunta copia de este.  </v>
      </c>
    </row>
    <row r="474" spans="1:8" s="600" customFormat="1" ht="49.9" customHeight="1" outlineLevel="1" x14ac:dyDescent="0.25">
      <c r="A474" s="888"/>
      <c r="B474" s="583" t="s">
        <v>673</v>
      </c>
      <c r="C474" s="338" t="s">
        <v>672</v>
      </c>
      <c r="D474" s="625">
        <v>0.15</v>
      </c>
      <c r="E474" s="626" t="e">
        <f>+[3]INVERSIÓN!I16</f>
        <v>#REF!</v>
      </c>
      <c r="F474" s="626" t="e">
        <f>+[3]INVERSIÓN!J16</f>
        <v>#REF!</v>
      </c>
      <c r="G474" s="602" t="e">
        <f t="shared" si="16"/>
        <v>#REF!</v>
      </c>
      <c r="H474" s="597" t="str">
        <f t="shared" si="17"/>
        <v xml:space="preserve">No fueron programados avances para el mes de julio, la ejecución respectiva se realizará desde el mes de agosto </v>
      </c>
    </row>
    <row r="475" spans="1:8" s="600" customFormat="1" ht="49.9" customHeight="1" outlineLevel="1" x14ac:dyDescent="0.25">
      <c r="A475" s="888"/>
      <c r="B475" s="583" t="s">
        <v>674</v>
      </c>
      <c r="C475" s="338" t="s">
        <v>672</v>
      </c>
      <c r="D475" s="625">
        <v>0.15</v>
      </c>
      <c r="E475" s="626" t="e">
        <f>+[3]INVERSIÓN!I22</f>
        <v>#REF!</v>
      </c>
      <c r="F475" s="626" t="e">
        <f>+[3]INVERSIÓN!J22</f>
        <v>#REF!</v>
      </c>
      <c r="G475" s="602" t="e">
        <f t="shared" si="16"/>
        <v>#REF!</v>
      </c>
      <c r="H475" s="597" t="str">
        <f t="shared" si="17"/>
        <v>Julio de 2020: Con el fin de construir el informe correspondiente al segundo semestre de 2020, se realizó intervención mediante actuaciones técnicas, atención a PQRs, visitas de control, acompañamientos entre otras actividades del sector de fuentes fijas, operativos de medición de seguimiento y control ambiental de emisiones a vehículos que transitan en el Distrito, visitas técnicas de auditoria  a centros de diagnóstico automotor del Distrito Capital y la caracterización de procedimientos vigentes correspondientes al control y seguimiento de fuentes móviles, con esta información se adelanta la construcción del informe de acciones de evaluación, control y seguimiento a las fuentes fijas y móviles.</v>
      </c>
    </row>
    <row r="476" spans="1:8" s="600" customFormat="1" ht="49.9" customHeight="1" outlineLevel="1" x14ac:dyDescent="0.25">
      <c r="A476" s="888"/>
      <c r="B476" s="583" t="s">
        <v>675</v>
      </c>
      <c r="C476" s="338" t="s">
        <v>672</v>
      </c>
      <c r="D476" s="625">
        <v>0.15</v>
      </c>
      <c r="E476" s="584">
        <v>362</v>
      </c>
      <c r="F476" s="584">
        <v>5</v>
      </c>
      <c r="G476" s="602">
        <f t="shared" si="16"/>
        <v>1.3812154696132596E-2</v>
      </c>
      <c r="H476" s="597" t="str">
        <f t="shared" si="17"/>
        <v>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La Meta del proyecto de Inversión presenta avance en el mes de Julio, toda vez que las acciones realizadas se ejecutaron al comienzo del mes de Julio con personal contratado vigente desde el mes de marzo de 2020 y aun en el Plan de Desarrollo BMPT.</v>
      </c>
    </row>
    <row r="477" spans="1:8" s="600" customFormat="1" ht="49.9" customHeight="1" outlineLevel="1" x14ac:dyDescent="0.25">
      <c r="A477" s="888"/>
      <c r="B477" s="583" t="s">
        <v>676</v>
      </c>
      <c r="C477" s="338" t="s">
        <v>672</v>
      </c>
      <c r="D477" s="625">
        <v>0.15</v>
      </c>
      <c r="E477" s="626" t="e">
        <f>+[3]INVERSIÓN!I34</f>
        <v>#REF!</v>
      </c>
      <c r="F477" s="626" t="e">
        <f>+[3]INVERSIÓN!J34</f>
        <v>#REF!</v>
      </c>
      <c r="G477" s="602" t="e">
        <f t="shared" si="16"/>
        <v>#REF!</v>
      </c>
      <c r="H477" s="597" t="str">
        <f t="shared" si="17"/>
        <v xml:space="preserve">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Berna, Jardín Botánico JCM, Cruz Roja Avenida 68, CAI Quirigua, CAI Las Ferias y CAI Normandía. 
Durante el presente periodo se diligencia y envía por correo electrónico matriz Inventario de equipos/ patrones/ material de referencia y programa de mantenimiento, calibración y verificación. </v>
      </c>
    </row>
    <row r="478" spans="1:8" s="600" customFormat="1" ht="49.9" customHeight="1" outlineLevel="1" x14ac:dyDescent="0.25">
      <c r="A478" s="888"/>
      <c r="B478" s="583" t="s">
        <v>677</v>
      </c>
      <c r="C478" s="338" t="s">
        <v>672</v>
      </c>
      <c r="D478" s="625">
        <v>0.15</v>
      </c>
      <c r="E478" s="626" t="e">
        <f>+[3]INVERSIÓN!I40</f>
        <v>#REF!</v>
      </c>
      <c r="F478" s="627" t="e">
        <f>+[3]INVERSIÓN!J40</f>
        <v>#REF!</v>
      </c>
      <c r="G478" s="602" t="e">
        <f t="shared" si="16"/>
        <v>#REF!</v>
      </c>
      <c r="H478" s="597" t="str">
        <f t="shared" si="17"/>
        <v>Se realizaron las siguientes actividades en cumplimiento de la meta
- Siete (7) operativos (5 Op. de sensibilización y 2 Op. de Control) - 87 establecimientos
- Cinco (5) visitas a elementos mayores (vallas tubulares): (3 visitas de evaluación y 2 visitas de control y seguimiento)
- Un (1) documento técnico: 1 Concepto técnico 
- Quince (15) visitas a elementos menores
- Cero (0) actuaciones técnicas de evaluación de elementos de publicidad de la vigencia.
La Meta del proyecto de Inversión presenta avance en el mes de Julio, toda vez que las acciones realizadas se ejecutaron al comienzo del mes de Julio con personal contratado vigente desde el mes de marzo de 2020 y aun en el Plan de Desarrollo BMPT.</v>
      </c>
    </row>
    <row r="479" spans="1:8" s="600" customFormat="1" ht="49.9" customHeight="1" outlineLevel="1" x14ac:dyDescent="0.25">
      <c r="A479" s="888"/>
      <c r="B479" s="583" t="s">
        <v>678</v>
      </c>
      <c r="C479" s="338" t="s">
        <v>672</v>
      </c>
      <c r="D479" s="625">
        <v>0.1</v>
      </c>
      <c r="E479" s="626" t="e">
        <f>+[3]INVERSIÓN!I46</f>
        <v>#REF!</v>
      </c>
      <c r="F479" s="626" t="e">
        <f>+[3]INVERSIÓN!J46</f>
        <v>#REF!</v>
      </c>
      <c r="G479" s="602" t="e">
        <f t="shared" si="16"/>
        <v>#REF!</v>
      </c>
      <c r="H479" s="597" t="str">
        <f t="shared" si="17"/>
        <v>Durante julio, se atendió el 100% de los conceptos técnicos que recomendaron actuación administrativa sancionatoria, obteniendo el siguiente avance: 
Julio 2020:
N° de Conceptos Técnicos que recomiendan actuaciones administrativas sancionatorias: 13
N° de Conceptos Técnicos atendidos jurídicamente: 13
Total, avance meta julio 2020: 100 % 
Es importante aclarar que los avances en la magnitud de la meta están sujetos a la demanda de conceptos técnicos que genere el área técnica para ser acogidos jurídicamente; por lo tanto, el porcentaje de la magnitud programada es a 100% de conformidad con el volumen de conceptos recibidos durante el periodo.
La Meta del proyecto de Inversión presenta avance en el mes de Julio, toda vez que las actuaciones realizadas se ejecutaron al comienzo del mes de Julio con personal contratado vigente desde el mes de marzo de 2020 y aun en el Plan de Desarrollo BMPT.</v>
      </c>
    </row>
    <row r="480" spans="1:8" s="600" customFormat="1" ht="49.9" customHeight="1" outlineLevel="1" x14ac:dyDescent="0.25">
      <c r="A480" s="887" t="s">
        <v>137</v>
      </c>
      <c r="B480" s="583" t="s">
        <v>671</v>
      </c>
      <c r="C480" s="338" t="s">
        <v>672</v>
      </c>
      <c r="D480" s="625">
        <v>0.15</v>
      </c>
      <c r="E480" s="584">
        <v>20</v>
      </c>
      <c r="F480" s="584">
        <v>20</v>
      </c>
      <c r="G480" s="602">
        <f t="shared" si="16"/>
        <v>1</v>
      </c>
      <c r="H480" s="597" t="str">
        <f t="shared" si="17"/>
        <v xml:space="preserve">"Para el mes de julio, se realizó los mantenimientos preventivos y correctivos, se realizó la validación diaria de los datos de concentraciones de contaminantes criterio y parámetros meteorológicos que monitorea la RMCAB, el reporte de operatividad para el mes fue del 95,1%. Se realizó el análisis de datos del mes de junio para plasmarlo en el informe de calidad del aire. Asimismo, en el mes de julio de 2020 se elaboró y publicó el informe mensual de junio.
Para el mes de agosto, se realizó los mantenimientos preventivos y correctivos, se realizó la validación diaria de los datos de concentraciones de contaminantes criterio y parámetros meteorológicos que monitorea la RMCAB, el reporte de operatividad para el mes fue del 93,2%. Se realizó el análisis de datos del mes de julio para plasmarlo en el informe de calidad del aire, el informe mensual de julio se publicará a más tardar el 14 de septiembre, debido a los retrasos generados por la reducción de la capacidad operativa del personal durante la primera mitad de agosto."
</v>
      </c>
    </row>
    <row r="481" spans="1:8" s="600" customFormat="1" ht="49.9" customHeight="1" outlineLevel="1" x14ac:dyDescent="0.25">
      <c r="A481" s="888"/>
      <c r="B481" s="583" t="s">
        <v>673</v>
      </c>
      <c r="C481" s="338" t="s">
        <v>672</v>
      </c>
      <c r="D481" s="625">
        <v>0.15</v>
      </c>
      <c r="E481" s="626" t="e">
        <f>+[3]INVERSIÓN!K16</f>
        <v>#REF!</v>
      </c>
      <c r="F481" s="626" t="e">
        <f>+[3]INVERSIÓN!L10</f>
        <v>#REF!</v>
      </c>
      <c r="G481" s="602" t="e">
        <f t="shared" si="16"/>
        <v>#REF!</v>
      </c>
      <c r="H481" s="597" t="str">
        <f t="shared" si="17"/>
        <v>En el marco de la gestión integral de la calidad del aire de Bogotá, se ha avanzado en la estructuración del contenido de 3 informes, los cuales son: 1. contenido en el cual se encuentra el cierre del PDDAB con los resultados respectivos de su implementación de 2010 a 2020, así como el contenido del plan estratégico para la gestión integral de la calidad del aire; 2. Definición del plan de trabajo con sus alcances teniendo en cuenta los 5 temas estratégicos definidos, avanzando en la concertación de las acciones relacionadas con las mesas de trabajo para la actualización del IBOCA y los lineamientos de protocolos de actuación con la mesa de expertos de calidad del aire, entre otras acciones relacionadas con la gestión de la calidad del aire; 3. Validación de datos e información de inventarios realizada para el Informe Anual de Calidad del Aire Año 2019, como estructura general del documento.</v>
      </c>
    </row>
    <row r="482" spans="1:8" s="600" customFormat="1" ht="49.9" customHeight="1" outlineLevel="1" x14ac:dyDescent="0.25">
      <c r="A482" s="888"/>
      <c r="B482" s="583" t="s">
        <v>674</v>
      </c>
      <c r="C482" s="338" t="s">
        <v>672</v>
      </c>
      <c r="D482" s="625">
        <v>0.15</v>
      </c>
      <c r="E482" s="626" t="e">
        <f>+[3]INVERSIÓN!K22</f>
        <v>#REF!</v>
      </c>
      <c r="F482" s="626" t="e">
        <f>+[3]INVERSIÓN!L16</f>
        <v>#REF!</v>
      </c>
      <c r="G482" s="602" t="e">
        <f t="shared" si="16"/>
        <v>#REF!</v>
      </c>
      <c r="H482" s="597" t="str">
        <f t="shared" si="17"/>
        <v>Con el fin de construir el informe correspondiente al segundo semestre de 2020, se realizó intervención mediante la generación de actuaciones técnicas, producto de las visitas de Inspección Vigilancia, Control y Monitoreo generadas de la atención a PQRs,  y el ejercicio misional propio de la Entidad, mediante operativos internos, e interinstitucionales, acompañamientos a monitoreo de Fuentes Fijas de combustión externa y Fuentes Fijas de emisión por proceso así como operativos de medición en vía a vehículos que transitan en el Distrito Capital como parte del seguimiento y control ambiental a fuentes móviles, visitas técnicas de auditoria a Centros de Diagnóstico Automotor CDA'S  y la caracterización de procedimientos vigentes correspondientes al control y seguimiento de fuentes móviles.
Con esta información se adelanta la construcción del informe de acciones de evaluación, control y seguimiento a las fuentes fijas y móviles en el cual se reporta el avance de las actividades que desarrolla cada grupo, el cual habla de los objetivos la operatividad del grupo y los programas de autogestión aplicados durante la vigencia  semestre II 2020 teniendo en cuenta el control a los factores de deterioro ambiental  en pro de aportar a la meta plan de desarrollo de reducir en un 10% como promedio ponderado ciudad, la concentración de material partículado pm10 y pm2.5, mediante la implementación del plan de gestión integral de la calidad de aire. Alcanzando un 0.33% de la meta de gestión.</v>
      </c>
    </row>
    <row r="483" spans="1:8" s="600" customFormat="1" ht="49.9" customHeight="1" outlineLevel="1" x14ac:dyDescent="0.25">
      <c r="A483" s="888"/>
      <c r="B483" s="583" t="s">
        <v>675</v>
      </c>
      <c r="C483" s="338" t="s">
        <v>672</v>
      </c>
      <c r="D483" s="625">
        <v>0.15</v>
      </c>
      <c r="E483" s="584">
        <v>362</v>
      </c>
      <c r="F483" s="584">
        <v>1</v>
      </c>
      <c r="G483" s="602">
        <f t="shared" si="16"/>
        <v>2.7624309392265192E-3</v>
      </c>
      <c r="H483" s="597" t="str">
        <f t="shared" si="17"/>
        <v>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Agosto 2020, el área técnica de ruido realizó un total de 1 visita técnica, correspondientes a visita no efectiva, la cual es objeto de reprogramación. 6 actuaciones técnicas correspondientes a otros documentos así; 1 comunicación oficial externa sin visita para finalizar el caso, 1 oficio relacionado con una petición en el marco del SUGA, 1 presentación en ppt para una socialización a realizar en la Cámara de Comercio de Bogotá y 3 documentos técnicos relacionados con informes mensuales de las Acciones Populares que cursan en materia de ruido para un sector de las localidades de Bosa, Antonio Nariño y Teusaquillo. 
Así, el acumulado para el II semestre del 2020 es de: 6 visitas técnicas; 1 visita efectiva con medición, 5 visitas no efectivas objeto de reprogramación. 9 actuaciones técnicas correspondientes a otros documentos, dos 2 conceptos técnicos aclaratorios, dos 2 documentos relacionados con SUGA, 1 comunicación oficial externa para finalizar caso de presunta afectación por emisión de ruido, 1 presentación técnica enviada, vía correo electrónico, dirigida a la Cámara de Comercio de Bogotá y 3 informes mensuales para las Acciones Populares mencionadas previamente.</v>
      </c>
    </row>
    <row r="484" spans="1:8" s="600" customFormat="1" ht="49.9" customHeight="1" outlineLevel="1" x14ac:dyDescent="0.25">
      <c r="A484" s="888"/>
      <c r="B484" s="583" t="s">
        <v>676</v>
      </c>
      <c r="C484" s="338" t="s">
        <v>672</v>
      </c>
      <c r="D484" s="625">
        <v>0.15</v>
      </c>
      <c r="E484" s="626" t="e">
        <f>+[3]INVERSIÓN!K34</f>
        <v>#REF!</v>
      </c>
      <c r="F484" s="628" t="e">
        <f>+[3]INVERSIÓN!L34</f>
        <v>#REF!</v>
      </c>
      <c r="G484" s="602" t="e">
        <f t="shared" si="16"/>
        <v>#REF!</v>
      </c>
      <c r="H484" s="597" t="str">
        <f t="shared" si="17"/>
        <v>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Las Ferias, CAI Quirigua y CAI Normandía. 
Asimismo, se participó en las reuniones de seguimiento programadas por los profesionales del laboratorio ambiental de la SDA – LABCIMAB, en donde se programa la presentación de plan de capacitaciones, proyección de matriz de equipos activos, cartas control y demás documentos necesarios para la acreditación en la matriz aire – ruido – ruido ambiental ante el IDEAM.</v>
      </c>
    </row>
    <row r="485" spans="1:8" s="600" customFormat="1" ht="49.9" customHeight="1" outlineLevel="1" x14ac:dyDescent="0.25">
      <c r="A485" s="888"/>
      <c r="B485" s="583" t="s">
        <v>677</v>
      </c>
      <c r="C485" s="338" t="s">
        <v>672</v>
      </c>
      <c r="D485" s="625">
        <v>0.15</v>
      </c>
      <c r="E485" s="627" t="e">
        <f>+[3]INVERSIÓN!K40</f>
        <v>#REF!</v>
      </c>
      <c r="F485" s="627" t="e">
        <f>+[3]INVERSIÓN!L40</f>
        <v>#REF!</v>
      </c>
      <c r="G485" s="602" t="e">
        <f t="shared" si="16"/>
        <v>#REF!</v>
      </c>
      <c r="H485" s="597" t="str">
        <f t="shared" si="17"/>
        <v>Para la vigencia del Proyecto de Inversión se han realizado (46) acciones de evaluación, control y seguimiento:
            Trece (13) operativos de control y seguimiento, Nueve (09) visitas a elementos mayores, Un (1) documento técnico, Veintitrés (23)  visitas a elementos menores.
JULIO: Se realizaron veintiocho (28) actividades en cumplimiento de la meta
- Siete (7) operativos (5 Op. de sensibilización y 2 Op. de Control) - 87 establecimientos
- Cinco (5) visitas a elementos mayores (vallas tubulares)
- Un (1) documento técnico: 1 Concepto técnico 
- Quince (15) visitas a elementos menores
AGOSTO: se realizaron dieciocho (18) acciones en cumplimiento de la meta
- Seis (06) operativos (03 Op. de control y 03 Op. de sensibilización) - 45 establecimientos.
- Cuatro (04) visitas a elementos mayores (vallas tubulares).
- Ocho (08) visitas a elementos menores de PEV.
Nota: La información de evaluación a elementos de Publicidad Exterior Visual se reporta trimestralmente</v>
      </c>
    </row>
    <row r="486" spans="1:8" s="600" customFormat="1" ht="49.9" customHeight="1" outlineLevel="1" x14ac:dyDescent="0.25">
      <c r="A486" s="888"/>
      <c r="B486" s="583" t="s">
        <v>678</v>
      </c>
      <c r="C486" s="338" t="s">
        <v>672</v>
      </c>
      <c r="D486" s="625">
        <v>0.1</v>
      </c>
      <c r="E486" s="626" t="e">
        <f>+[3]INVERSIÓN!K46</f>
        <v>#REF!</v>
      </c>
      <c r="F486" s="628" t="e">
        <f>+[3]INVERSIÓN!L46</f>
        <v>#REF!</v>
      </c>
      <c r="G486" s="602" t="e">
        <f t="shared" si="16"/>
        <v>#REF!</v>
      </c>
      <c r="H486" s="597" t="str">
        <f t="shared" si="17"/>
        <v>Para el cumplimiento de las regulaciones asociadas al control de los factores de deterioro de calidad del aire, acústica y visual del Distrito Capital, la Secretaría Distrital de Ambiente durante el mes de Agosto atendió el 100% de los conceptos técnicos que recomiendan una actuación administrativa sancionatoria, obteniendo el siguiente avance: 
Agosto 2020 
N° de Conceptos Técnicos que recomiendan actuaciones administrativas sancionatorias: 13 (Conceptos Técnicos No 6572, 7991, 569, 6322, 13400, 8356, 1360, 8126, 8784, 4927, 7458, 11323, 2092).  
N° de Conceptos Técnicos atendidos jurídicamente: 13 (AUTO N. AUTO DCA-02819-AUTO DCA-02820-AUTO DCA-02821-AUTO DCA-02822-AUTO DCA-02824-AUTO DCA-02861-AUTO DCA-02869-AUTO DCA 02878
AUTO DCA-02882-AUTO DCA-02883-AUTO DCA-02902-AUTO DCA-02903-AUTO DCA-02904)
Total, avance meta Agosto 2020: 100 % 
Por último, es importante tener presente que los avances en la magnitud de la meta están sujetos a la demanda de conceptos técnicos que remitan las áreas para ser acogidos jurídicamente; por lo tanto, el porcentaje de la magnitud programada corresponde al 100%.</v>
      </c>
    </row>
    <row r="487" spans="1:8" s="600" customFormat="1" ht="49.9" customHeight="1" outlineLevel="1" x14ac:dyDescent="0.25">
      <c r="A487" s="887" t="s">
        <v>138</v>
      </c>
      <c r="B487" s="583" t="s">
        <v>671</v>
      </c>
      <c r="C487" s="338" t="s">
        <v>672</v>
      </c>
      <c r="D487" s="625">
        <v>0.15</v>
      </c>
      <c r="E487" s="584">
        <v>20</v>
      </c>
      <c r="F487" s="584">
        <v>20</v>
      </c>
      <c r="G487" s="602">
        <f t="shared" si="16"/>
        <v>1</v>
      </c>
      <c r="H487" s="597" t="str">
        <f t="shared" si="17"/>
        <v>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v>
      </c>
    </row>
    <row r="488" spans="1:8" s="600" customFormat="1" ht="49.9" customHeight="1" outlineLevel="1" x14ac:dyDescent="0.25">
      <c r="A488" s="888"/>
      <c r="B488" s="583" t="s">
        <v>673</v>
      </c>
      <c r="C488" s="338" t="s">
        <v>672</v>
      </c>
      <c r="D488" s="625">
        <v>0.15</v>
      </c>
      <c r="E488" s="626" t="e">
        <f>+[3]INVERSIÓN!M16</f>
        <v>#REF!</v>
      </c>
      <c r="F488" s="626" t="e">
        <f>+[3]INVERSIÓN!N16</f>
        <v>#REF!</v>
      </c>
      <c r="G488" s="602" t="e">
        <f t="shared" si="16"/>
        <v>#REF!</v>
      </c>
      <c r="H488" s="597" t="str">
        <f t="shared" si="17"/>
        <v>En el marco de la gestión integral de la calidad del aire de Bogotá, durante la vigencia en el Proyecto de Inversión se ha avanzado en la estructuración del contenido de 3 informes,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v>
      </c>
    </row>
    <row r="489" spans="1:8" s="600" customFormat="1" ht="49.9" customHeight="1" outlineLevel="1" x14ac:dyDescent="0.25">
      <c r="A489" s="888"/>
      <c r="B489" s="583" t="s">
        <v>674</v>
      </c>
      <c r="C489" s="338" t="s">
        <v>672</v>
      </c>
      <c r="D489" s="625">
        <v>0.15</v>
      </c>
      <c r="E489" s="626" t="e">
        <f>+[3]INVERSIÓN!M22</f>
        <v>#REF!</v>
      </c>
      <c r="F489" s="626" t="e">
        <f>+[3]INVERSIÓN!N22</f>
        <v>#REF!</v>
      </c>
      <c r="G489" s="602" t="e">
        <f t="shared" si="16"/>
        <v>#REF!</v>
      </c>
      <c r="H489" s="597" t="str">
        <f t="shared" si="17"/>
        <v>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v>
      </c>
    </row>
    <row r="490" spans="1:8" s="600" customFormat="1" ht="49.9" customHeight="1" outlineLevel="1" x14ac:dyDescent="0.25">
      <c r="A490" s="888"/>
      <c r="B490" s="583" t="s">
        <v>675</v>
      </c>
      <c r="C490" s="338" t="s">
        <v>672</v>
      </c>
      <c r="D490" s="625">
        <v>0.15</v>
      </c>
      <c r="E490" s="584">
        <v>362</v>
      </c>
      <c r="F490" s="584">
        <v>65</v>
      </c>
      <c r="G490" s="602">
        <f t="shared" si="16"/>
        <v>0.17955801104972377</v>
      </c>
      <c r="H490" s="597" t="str">
        <f t="shared" si="17"/>
        <v>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v>
      </c>
    </row>
    <row r="491" spans="1:8" s="600" customFormat="1" ht="49.9" customHeight="1" outlineLevel="1" x14ac:dyDescent="0.25">
      <c r="A491" s="888"/>
      <c r="B491" s="583" t="s">
        <v>676</v>
      </c>
      <c r="C491" s="338" t="s">
        <v>672</v>
      </c>
      <c r="D491" s="625">
        <v>0.15</v>
      </c>
      <c r="E491" s="626" t="e">
        <f>+[3]INVERSIÓN!M34</f>
        <v>#REF!</v>
      </c>
      <c r="F491" s="628" t="e">
        <f>+[3]INVERSIÓN!N34</f>
        <v>#REF!</v>
      </c>
      <c r="G491" s="602" t="e">
        <f t="shared" si="16"/>
        <v>#REF!</v>
      </c>
      <c r="H491" s="597" t="str">
        <f t="shared" si="17"/>
        <v>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(En caso que se tengan las cantidades de visitas, por favor enunciarlas).</v>
      </c>
    </row>
    <row r="492" spans="1:8" s="600" customFormat="1" ht="49.9" customHeight="1" outlineLevel="1" x14ac:dyDescent="0.25">
      <c r="A492" s="888"/>
      <c r="B492" s="583" t="s">
        <v>677</v>
      </c>
      <c r="C492" s="338" t="s">
        <v>672</v>
      </c>
      <c r="D492" s="625">
        <v>0.15</v>
      </c>
      <c r="E492" s="626" t="e">
        <f>+[3]INVERSIÓN!M40</f>
        <v>#REF!</v>
      </c>
      <c r="F492" s="627" t="e">
        <f>+[3]INVERSIÓN!N40</f>
        <v>#REF!</v>
      </c>
      <c r="G492" s="602" t="e">
        <f t="shared" si="16"/>
        <v>#REF!</v>
      </c>
      <c r="H492" s="597" t="str">
        <f t="shared" si="17"/>
        <v>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v>
      </c>
    </row>
    <row r="493" spans="1:8" s="600" customFormat="1" ht="49.9" customHeight="1" outlineLevel="1" x14ac:dyDescent="0.25">
      <c r="A493" s="888"/>
      <c r="B493" s="583" t="s">
        <v>678</v>
      </c>
      <c r="C493" s="338" t="s">
        <v>672</v>
      </c>
      <c r="D493" s="625">
        <v>0.1</v>
      </c>
      <c r="E493" s="626" t="e">
        <f>+[3]INVERSIÓN!M46</f>
        <v>#REF!</v>
      </c>
      <c r="F493" s="628" t="e">
        <f>+[3]INVERSIÓN!N46</f>
        <v>#REF!</v>
      </c>
      <c r="G493" s="602" t="e">
        <f t="shared" si="16"/>
        <v>#REF!</v>
      </c>
      <c r="H493" s="597" t="str">
        <f t="shared" si="17"/>
        <v>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v>
      </c>
    </row>
    <row r="494" spans="1:8" s="600" customFormat="1" ht="49.9" customHeight="1" outlineLevel="1" x14ac:dyDescent="0.25">
      <c r="A494" s="848" t="s">
        <v>139</v>
      </c>
      <c r="B494" s="583" t="s">
        <v>671</v>
      </c>
      <c r="C494" s="338" t="s">
        <v>672</v>
      </c>
      <c r="D494" s="602">
        <v>0.15</v>
      </c>
      <c r="E494" s="584">
        <v>20</v>
      </c>
      <c r="F494" s="584">
        <v>20</v>
      </c>
      <c r="G494" s="602">
        <f t="shared" si="16"/>
        <v>1</v>
      </c>
      <c r="H494" s="597" t="e">
        <f t="shared" si="17"/>
        <v>#REF!</v>
      </c>
    </row>
    <row r="495" spans="1:8" s="600" customFormat="1" ht="49.9" customHeight="1" outlineLevel="1" x14ac:dyDescent="0.25">
      <c r="A495" s="848"/>
      <c r="B495" s="583" t="s">
        <v>673</v>
      </c>
      <c r="C495" s="338" t="s">
        <v>672</v>
      </c>
      <c r="D495" s="602">
        <v>0.15</v>
      </c>
      <c r="E495" s="626" t="e">
        <f>+[3]INVERSIÓN!O16</f>
        <v>#REF!</v>
      </c>
      <c r="F495" s="626" t="e">
        <f>+[3]INVERSIÓN!P16</f>
        <v>#REF!</v>
      </c>
      <c r="G495" s="602" t="e">
        <f t="shared" si="16"/>
        <v>#REF!</v>
      </c>
      <c r="H495" s="597" t="e">
        <f t="shared" si="17"/>
        <v>#REF!</v>
      </c>
    </row>
    <row r="496" spans="1:8" s="600" customFormat="1" ht="49.9" customHeight="1" outlineLevel="1" x14ac:dyDescent="0.25">
      <c r="A496" s="848"/>
      <c r="B496" s="583" t="s">
        <v>674</v>
      </c>
      <c r="C496" s="338" t="s">
        <v>672</v>
      </c>
      <c r="D496" s="602">
        <v>0.15</v>
      </c>
      <c r="E496" s="626" t="e">
        <f>+[3]INVERSIÓN!O22</f>
        <v>#REF!</v>
      </c>
      <c r="F496" s="626" t="e">
        <f>+[3]INVERSIÓN!P22</f>
        <v>#REF!</v>
      </c>
      <c r="G496" s="602" t="e">
        <f t="shared" si="16"/>
        <v>#REF!</v>
      </c>
      <c r="H496" s="597" t="e">
        <f t="shared" si="17"/>
        <v>#REF!</v>
      </c>
    </row>
    <row r="497" spans="1:8" s="600" customFormat="1" ht="49.9" customHeight="1" outlineLevel="1" x14ac:dyDescent="0.25">
      <c r="A497" s="848"/>
      <c r="B497" s="583" t="s">
        <v>675</v>
      </c>
      <c r="C497" s="338" t="s">
        <v>672</v>
      </c>
      <c r="D497" s="602">
        <v>0.15</v>
      </c>
      <c r="E497" s="584">
        <v>362</v>
      </c>
      <c r="F497" s="584">
        <v>120</v>
      </c>
      <c r="G497" s="602">
        <f t="shared" si="16"/>
        <v>0.33149171270718231</v>
      </c>
      <c r="H497" s="597" t="e">
        <f t="shared" si="17"/>
        <v>#REF!</v>
      </c>
    </row>
    <row r="498" spans="1:8" s="600" customFormat="1" ht="49.9" customHeight="1" outlineLevel="1" x14ac:dyDescent="0.25">
      <c r="A498" s="848"/>
      <c r="B498" s="583" t="s">
        <v>676</v>
      </c>
      <c r="C498" s="338" t="s">
        <v>672</v>
      </c>
      <c r="D498" s="602">
        <v>0.15</v>
      </c>
      <c r="E498" s="626" t="e">
        <f>+[3]INVERSIÓN!O34</f>
        <v>#REF!</v>
      </c>
      <c r="F498" s="626" t="e">
        <f>+[3]INVERSIÓN!P34</f>
        <v>#REF!</v>
      </c>
      <c r="G498" s="602" t="e">
        <f t="shared" si="16"/>
        <v>#REF!</v>
      </c>
      <c r="H498" s="597" t="e">
        <f t="shared" si="17"/>
        <v>#REF!</v>
      </c>
    </row>
    <row r="499" spans="1:8" s="600" customFormat="1" ht="49.9" customHeight="1" outlineLevel="1" x14ac:dyDescent="0.25">
      <c r="A499" s="848"/>
      <c r="B499" s="583" t="s">
        <v>677</v>
      </c>
      <c r="C499" s="338" t="s">
        <v>672</v>
      </c>
      <c r="D499" s="602">
        <v>0.15</v>
      </c>
      <c r="E499" s="626" t="e">
        <f>+[3]INVERSIÓN!O40</f>
        <v>#REF!</v>
      </c>
      <c r="F499" s="626" t="e">
        <f>+[3]INVERSIÓN!P40</f>
        <v>#REF!</v>
      </c>
      <c r="G499" s="602" t="e">
        <f t="shared" si="16"/>
        <v>#REF!</v>
      </c>
      <c r="H499" s="597" t="e">
        <f t="shared" si="17"/>
        <v>#REF!</v>
      </c>
    </row>
    <row r="500" spans="1:8" s="600" customFormat="1" ht="49.9" customHeight="1" outlineLevel="1" x14ac:dyDescent="0.25">
      <c r="A500" s="848"/>
      <c r="B500" s="583" t="s">
        <v>678</v>
      </c>
      <c r="C500" s="338" t="s">
        <v>672</v>
      </c>
      <c r="D500" s="602">
        <v>0.1</v>
      </c>
      <c r="E500" s="626" t="e">
        <f>+[3]INVERSIÓN!O46</f>
        <v>#REF!</v>
      </c>
      <c r="F500" s="626" t="e">
        <f>+[3]INVERSIÓN!P46</f>
        <v>#REF!</v>
      </c>
      <c r="G500" s="602" t="e">
        <f t="shared" si="16"/>
        <v>#REF!</v>
      </c>
      <c r="H500" s="597" t="e">
        <f t="shared" si="17"/>
        <v>#REF!</v>
      </c>
    </row>
    <row r="501" spans="1:8" s="600" customFormat="1" ht="49.9" customHeight="1" outlineLevel="1" x14ac:dyDescent="0.25">
      <c r="A501" s="889" t="s">
        <v>140</v>
      </c>
      <c r="B501" s="583" t="s">
        <v>671</v>
      </c>
      <c r="C501" s="338" t="s">
        <v>672</v>
      </c>
      <c r="D501" s="602">
        <v>0.15</v>
      </c>
      <c r="E501" s="584">
        <v>20</v>
      </c>
      <c r="F501" s="584">
        <v>20</v>
      </c>
      <c r="G501" s="602">
        <f t="shared" si="16"/>
        <v>1</v>
      </c>
      <c r="H501" s="601" t="str">
        <f t="shared" si="17"/>
        <v>De acuerdo con la tipología constante de la meta se presenta un avance acumulado del 100% para la vigencia 2020.  Se realizaron mantenimientos preventivos y correctivos, validación y análisis de datos, incluyendo nuevas estaciones en la RMCAB (Bolivia, Usme, Ciudad Bolívar, Bosa, Jazmín) se trabajó en integración SDA-CAR y en plan de prueba de sensores de bajo costo.
Para el mes de noviembre el porcentaje de cumplimiento para este indicador es del 98%,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noviembre fue del 96,4%  el cual es promedio de los datos validos de todos los parámetros de la red  que se genera a través del software Envista. Se realizó el análisis de datos del mes de octubre de 2020. Asimismo, el equipo de la RMCAB en el mes de noviembre elaboró el informe mensual de octubre y lo publicó el 02 de diciembre. Se mantiene el proceso de validación de los datos generados por las nuevas estaciones y los equipos.
Avance acumulado en la ejecución de la meta 100%.</v>
      </c>
    </row>
    <row r="502" spans="1:8" s="600" customFormat="1" ht="49.9" customHeight="1" outlineLevel="1" x14ac:dyDescent="0.25">
      <c r="A502" s="889"/>
      <c r="B502" s="583" t="s">
        <v>673</v>
      </c>
      <c r="C502" s="338" t="s">
        <v>672</v>
      </c>
      <c r="D502" s="602">
        <v>0.15</v>
      </c>
      <c r="E502" s="626" t="e">
        <f>+[3]INVERSIÓN!Q16</f>
        <v>#REF!</v>
      </c>
      <c r="F502" s="626" t="e">
        <f>+[3]INVERSIÓN!R16</f>
        <v>#REF!</v>
      </c>
      <c r="G502" s="602" t="e">
        <f t="shared" si="16"/>
        <v>#REF!</v>
      </c>
      <c r="H502" s="601" t="str">
        <f t="shared" si="17"/>
        <v>En el segundo semestre de 2020, con respecto a lo programado de la meta se tiene un avance del 75%, correspondiendo a 3 documentos técnicos para que al final del año se entreguen los 4 documentos totales, Con respecto al cuatrienio hay un avance del 10,3%, la descripción de las actividades realizadas para el mes de noviembre a continuación:
1.	se procedió a realizar la consolidación de la información de resultados logrados para cada uno de los proyectos, teniendo en cuenta el periodo de implementación definido para cada uno de estos en el marco de las reuniones y concertaciones realizadas, logrando capturar y consolidar la información y datos de los indicadores de resultados y gestión, específicamente lo relacionado con las estrategias sectoriales, ya que las mismas con identificadas como los sectores y fuentes que aportan en mayor proporción a las emisiones de material partículado en la ciudad.
Seguido, se realizó la descripción de la metodología de seguimiento y evaluación a cada uno de los proyectos, mencionada metodología será enfocada a aquellos proyectos que se encuentren en implementación, y mediante el cual se obtienen los resultados respectivos
2.	se realizó la consolidación de la información faltante del documento, en especial en los resultados de resuspendido, en donde se realiza el cálculo de las emisiones de este para el año 2018 y en el documento se realiza la explicación de este cálculo y los resultados encontrados para este año y sus impactos en la calidad de aire. Adicionalmente se realizan correcciones enviadas por el profesional a cargo de la revisión del documento para posteriormente ordenar el documento para la presentación del mes actual. En este documento las secciones que tendrá ejecución para el siguiente mes serán el resumen ejecutivo, conclusiones, y estética del documento, para su presentación final. 
3.	en el marco de la actualización normativa del IBOCA, se busca la armonización con la normatividad nacional, sin dejar a un lado el papel central en la gestión del riesgo que tiene este indicador. Con base en las discusiones y análisis adelantados entre la SDA y la SDS, se avanzó en el borrador del Documento Técnico de Soporte para la primera etapa de modificación normativa del IBOCA. Este documento se desarrolla con base en las justificaciones conceptuales, técnicas y jurídicas del borrador del articulado. En este documento se debe incluir el análisis retrospectivo de los nuevos niveles de alerta que sean definidos en dicha modificación normativa,
Seguidamente, y en el marco del proceso que debe surtir los protocolos de actuación frente a las alertas por calidad del aire, se están realizando las mesas de trabajo y concertación para los mismos, en ese sentido durante este mes de noviembre,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y también reuniones con la ANDI exponiendo los resultados de los escenarios de modelación para las fuentes fijas industriales en la ciudad.</v>
      </c>
    </row>
    <row r="503" spans="1:8" s="600" customFormat="1" ht="49.9" customHeight="1" outlineLevel="1" x14ac:dyDescent="0.25">
      <c r="A503" s="889"/>
      <c r="B503" s="583" t="s">
        <v>674</v>
      </c>
      <c r="C503" s="338" t="s">
        <v>672</v>
      </c>
      <c r="D503" s="602">
        <v>0.15</v>
      </c>
      <c r="E503" s="626" t="e">
        <f>+[3]INVERSIÓN!Q22</f>
        <v>#REF!</v>
      </c>
      <c r="F503" s="626" t="e">
        <f>+[3]INVERSIÓN!R22</f>
        <v>#REF!</v>
      </c>
      <c r="G503" s="602" t="e">
        <f t="shared" si="16"/>
        <v>#REF!</v>
      </c>
      <c r="H503" s="601" t="str">
        <f t="shared" si="17"/>
        <v>El avance acumulado para la vigencia 2020 del cumplimiento en la ejecución de la meta es del 0.71% del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Avance de Noviembre 0,20, basado en : Este documento contiene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
Se registra el inicio de los monitoreos de fuentes fijas como laboratorio acreditado para la toma de muestras de los parámetros de NOx, SO2 y MP en las industrias objeto de control; se atienden las visitas de seguimiento de la autorización realizada por el IDEAM para cada uno de los programas de evaluación control y seguimiento de fuentes móviles. 
Así mismo, se realizan los seguimientos a empresas que son objeto de permiso de emisiones, operativos de medición en vía a vehículos que transitan en el Distrito Capital, visitas técnicas de auditoria a Centros de Diagnóstico Automotor CDA'S, vinculación de empresas al programa de autorregulación y requerimientos ambientales presentados por la ciudadanía.
Alcanzando un 71% del cumplimiento de la meta de inversión para la vigencia 2020.</v>
      </c>
    </row>
    <row r="504" spans="1:8" s="600" customFormat="1" ht="49.9" customHeight="1" outlineLevel="1" x14ac:dyDescent="0.25">
      <c r="A504" s="889"/>
      <c r="B504" s="583" t="s">
        <v>675</v>
      </c>
      <c r="C504" s="338" t="s">
        <v>672</v>
      </c>
      <c r="D504" s="602">
        <v>0.15</v>
      </c>
      <c r="E504" s="584">
        <v>362</v>
      </c>
      <c r="F504" s="584">
        <v>120</v>
      </c>
      <c r="G504" s="602">
        <f t="shared" si="16"/>
        <v>0.33149171270718231</v>
      </c>
      <c r="H504" s="601" t="str">
        <f t="shared" si="17"/>
        <v>Para la vigencia 2020, se presenta un avance acumulado de la meta de cuatrocientas veintitrés (423) actuaciones, correspondientes al 99,30% de ejecución, es así: 
•	Julio; acciones de seguimiento y control de emisión de ruido; cinco (05) visitas y tres (03) documentos técnicos. Total, ocho (08) acciones.
•	Agosto; acciones de seguimiento y control de emisión de ruido; uno (01) visitas y seis (06) documentos técnicos. Total, siete (07) acciones.
•	Septiembre; acciones de seguimiento y control de emisión de ruido; sesenta y cinco (65) visitas y cuarenta (40) documentos técnicos. Total, ciento cinco (105) acciones.
•	Octubre; acciones de seguimiento y control de emisión de ruido; ciento veinte (120) visitas y veintiocho (28) documentos técnicos. Total, ciento cuarenta y ocho (148) acciones.
•	Noviembre; acciones de seguimiento y control de emisión de ruido; ciento veinte dos (122) visitas y treinta y tres (33) documentos técnicos. Total, ciento cincuenta y cinco acciones (155)
En general se distribuyen:
•	313 visitas técnicas (51 visitas efectivas con medición, 184 visitas efectivas para cerrar el caso y 78 visitas no efectivas (reprogramación).
•	110 actuaciones técnicas de otros documentos:
o	12 informes acciones populares
o	2 conceptos aclaratorios
o	1 presentación a la Cámara de Comercio de Bogotá
o	20 socializaciones OPEL
o	7 socializaciones CAL
o	1 socialización en mesa territorial
o	1 oficio de salida cerrando caso
o	3 estudios de ruido
o	2 WEBINAR con el MADS
o	1 informe CAL
o	60 oficios SUGA
Avance acumulado en la vigencia de 99,30%.</v>
      </c>
    </row>
    <row r="505" spans="1:8" s="600" customFormat="1" ht="49.9" customHeight="1" outlineLevel="1" x14ac:dyDescent="0.25">
      <c r="A505" s="889"/>
      <c r="B505" s="583" t="s">
        <v>676</v>
      </c>
      <c r="C505" s="338" t="s">
        <v>672</v>
      </c>
      <c r="D505" s="602">
        <v>0.15</v>
      </c>
      <c r="E505" s="626" t="e">
        <f>+[3]INVERSIÓN!Q34</f>
        <v>#REF!</v>
      </c>
      <c r="F505" s="626" t="e">
        <f>+[3]INVERSIÓN!R34</f>
        <v>#REF!</v>
      </c>
      <c r="G505" s="602" t="e">
        <f t="shared" si="16"/>
        <v>#REF!</v>
      </c>
      <c r="H505" s="601" t="str">
        <f t="shared" si="17"/>
        <v>En cumplimiento la meta en la vigencia 2020, se presenta un avance del 100%, basado en el desarrollo de actividades así: (tipología de la Meta Constante)
Julio: se avanza en el informe técnico semestral en el cual se relacionan estadística y geográficamente, las empresas que tramitan reactivación económica ante la alcaldía mayor de Bogotá, a fin de clasificar y priorizar posibles establecimientos objeto de monitoreo de ruido, que sirvan de insumo para la identificación del %PUAR. Avance en el periodo 100%.
Agosto: Durante el presente periodo se avanza en la proyección del informe técnico semestral en el cual se incluyen los datos de las estaciones de la Red de Monitoreo de Ruido Ambiental de Bogotá (RMRAB) y los avances en la formulación de procedimiento de validación de los datos generados. Avance en el periodo 100%.
Septiembre: Para el presente periodo se avanza en la proyección del informe semestral de operación de la red de ruido del Distrito, dentro del cual se incluye reporte de siniestros en nueve (9) de las estaciones de monitoreo de ruido que fueron objeto de vandalismo durante las protestas ocurridas el 09 y 10 se septiembre. Avance en el periodo 100%.
Octubre: Durante el presente periodo se avanza con la proyección del informe semestral de operación de la Red de Monitoreo de Ruido Ambiental de Bogotá (RMRAB) en el cual se destacan la realización de las siguientes actividades: reporte de empresas que solicitaron reactivación económica por COVID 19, acreditación del procedimiento de monitoreo de ruido ambiental ante el IDEAM, soporte y mantenimiento a las estaciones de monitoreo de ruido, actualización del visor monitor web MAIGRAI. Avance en el periodo 100%.
Noviembre:  Para el presente mes, se avanza con la proyección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actualización del visor monitor web MAIGRAI , reporte de estaciones de la RMRAB afectadas durante protestas y espacialización de datos de emisión de ruido Colector-ESRI. 
Avance acumulado según la tipología de la meta es del 100% para la vigencia 2020.</v>
      </c>
    </row>
    <row r="506" spans="1:8" s="600" customFormat="1" ht="49.9" customHeight="1" outlineLevel="1" x14ac:dyDescent="0.25">
      <c r="A506" s="889"/>
      <c r="B506" s="583" t="s">
        <v>677</v>
      </c>
      <c r="C506" s="338" t="s">
        <v>672</v>
      </c>
      <c r="D506" s="602">
        <v>0.15</v>
      </c>
      <c r="E506" s="626" t="e">
        <f>+[3]INVERSIÓN!Q40</f>
        <v>#REF!</v>
      </c>
      <c r="F506" s="626" t="e">
        <f>+[3]INVERSIÓN!R40</f>
        <v>#REF!</v>
      </c>
      <c r="G506" s="602" t="e">
        <f t="shared" si="16"/>
        <v>#REF!</v>
      </c>
      <c r="H506" s="601" t="str">
        <f t="shared" si="17"/>
        <v>Para la vigencia 2020 del Proyecto de Inversión se han realizado doscientas veinte nueve (229) acciones de evaluación, control y seguimiento, así:
•	Julio, 28 Acciones, avance de ejecución del 12%.
•	Agosto, 18 Acciones, avance de ejecución del 8%.
•	Septiembre, 136 Acciones, avance de ejecución del 62%.
•	Octubre, 37 Acciones, avance de ejecución del 16%.
•	Noviembre, No se realizaron acciones de evaluación sobre el resto del Distrito, se encaminaron a las Zonas de Alta Densidad.
Avance Acumulado 97,86%.</v>
      </c>
    </row>
    <row r="507" spans="1:8" s="600" customFormat="1" ht="49.9" customHeight="1" outlineLevel="1" x14ac:dyDescent="0.25">
      <c r="A507" s="890"/>
      <c r="B507" s="583" t="s">
        <v>678</v>
      </c>
      <c r="C507" s="338" t="s">
        <v>672</v>
      </c>
      <c r="D507" s="602">
        <v>0.1</v>
      </c>
      <c r="E507" s="626" t="e">
        <f>+[3]INVERSIÓN!Q46</f>
        <v>#REF!</v>
      </c>
      <c r="F507" s="626" t="e">
        <f>+[3]INVERSIÓN!R46</f>
        <v>#REF!</v>
      </c>
      <c r="G507" s="602" t="e">
        <f t="shared" si="16"/>
        <v>#REF!</v>
      </c>
      <c r="H507" s="601" t="str">
        <f t="shared" si="17"/>
        <v>Para el cumplimiento de las regulaciones asociadas al control de los factores de deterioro de calidad del Aire, Auditiva y Visual del Distrito Capital, la Secretaría Distrital de Ambiente durante el periodo del 1 de julio al 30 de noviembre de 2020 atendió el 100% de los conceptos técnicos que recomiendan una actuación Administrativa Sancionatoria, obteniendo el siguiente avance: 
Julio 2020:
N° de Conceptos Técnicos que recomiendan actuaciones administrativas sancionatorias: 13 
N° de Conceptos Técnicos atendidos jurídicamente: 13
Agosto 2020
N° de Conceptos Técnicos que recomiendan actuaciones administrativas sancionatorias: 13 
N° de Conceptos Técnicos atendidos jurídicamente: 13.
Septiembre 2020
N° de Conceptos Técnicos que recomiendan actuaciones administrativas sancionatorias: 133
N° de Conceptos Técnicos atendidos jurídicamente: 133.
Octubre 2020
N° de Conceptos Técnicos que recomiendan actuaciones administrativas sancionatorias: 13
N° de Conceptos Técnicos atendidos jurídicamente: 13.
Noviembre 2020
N° de Conceptos Técnicos que recomiendan actuaciones administrativas sancionatorias: 04
N° de Conceptos Técnicos atendidos jurídicamente: 04.  
Total, avance meta Noviembre 2020: 100 %
Por último, es importante tener presente que los avances en la magnitud de la meta están sujetos a la demanda de conceptos técnicos que remitan los grupos técnicos para ser acogidos jurídicamente; por lo tanto, el porcentaje de la magnitud programada corresponde al 100%</v>
      </c>
    </row>
    <row r="508" spans="1:8" s="600" customFormat="1" ht="55.15" customHeight="1" outlineLevel="1" x14ac:dyDescent="0.25">
      <c r="A508" s="891" t="s">
        <v>141</v>
      </c>
      <c r="B508" s="583" t="s">
        <v>671</v>
      </c>
      <c r="C508" s="338" t="s">
        <v>672</v>
      </c>
      <c r="D508" s="602">
        <v>0.15</v>
      </c>
      <c r="E508" s="584">
        <v>20</v>
      </c>
      <c r="F508" s="584">
        <v>20</v>
      </c>
      <c r="G508" s="602">
        <f t="shared" si="16"/>
        <v>1</v>
      </c>
      <c r="H508" s="597" t="s">
        <v>616</v>
      </c>
    </row>
    <row r="509" spans="1:8" s="600" customFormat="1" ht="55.15" customHeight="1" outlineLevel="1" x14ac:dyDescent="0.25">
      <c r="A509" s="889"/>
      <c r="B509" s="583" t="s">
        <v>673</v>
      </c>
      <c r="C509" s="338" t="s">
        <v>672</v>
      </c>
      <c r="D509" s="602">
        <v>0.15</v>
      </c>
      <c r="E509" s="626" t="e">
        <f>+[3]INVERSIÓN!S16</f>
        <v>#REF!</v>
      </c>
      <c r="F509" s="626" t="e">
        <f>+[3]INVERSIÓN!T16</f>
        <v>#REF!</v>
      </c>
      <c r="G509" s="602" t="e">
        <f t="shared" si="16"/>
        <v>#REF!</v>
      </c>
      <c r="H509" s="597" t="s">
        <v>617</v>
      </c>
    </row>
    <row r="510" spans="1:8" s="600" customFormat="1" ht="55.15" customHeight="1" outlineLevel="1" x14ac:dyDescent="0.25">
      <c r="A510" s="889"/>
      <c r="B510" s="583" t="s">
        <v>674</v>
      </c>
      <c r="C510" s="338" t="s">
        <v>672</v>
      </c>
      <c r="D510" s="602">
        <v>0.15</v>
      </c>
      <c r="E510" s="626" t="e">
        <f>+[3]INVERSIÓN!S22</f>
        <v>#REF!</v>
      </c>
      <c r="F510" s="626" t="e">
        <f>+[3]INVERSIÓN!T22</f>
        <v>#REF!</v>
      </c>
      <c r="G510" s="602" t="e">
        <f t="shared" si="16"/>
        <v>#REF!</v>
      </c>
      <c r="H510" s="597" t="s">
        <v>618</v>
      </c>
    </row>
    <row r="511" spans="1:8" s="600" customFormat="1" ht="55.15" customHeight="1" outlineLevel="1" x14ac:dyDescent="0.25">
      <c r="A511" s="889"/>
      <c r="B511" s="583" t="s">
        <v>675</v>
      </c>
      <c r="C511" s="338" t="s">
        <v>672</v>
      </c>
      <c r="D511" s="602">
        <v>0.15</v>
      </c>
      <c r="E511" s="584">
        <v>362</v>
      </c>
      <c r="F511" s="584">
        <v>362</v>
      </c>
      <c r="G511" s="602">
        <f t="shared" si="16"/>
        <v>1</v>
      </c>
      <c r="H511" s="597" t="s">
        <v>619</v>
      </c>
    </row>
    <row r="512" spans="1:8" s="600" customFormat="1" ht="55.15" customHeight="1" outlineLevel="1" x14ac:dyDescent="0.25">
      <c r="A512" s="889"/>
      <c r="B512" s="583" t="s">
        <v>676</v>
      </c>
      <c r="C512" s="338" t="s">
        <v>672</v>
      </c>
      <c r="D512" s="602">
        <v>0.15</v>
      </c>
      <c r="E512" s="626" t="e">
        <f>+[3]INVERSIÓN!S34</f>
        <v>#REF!</v>
      </c>
      <c r="F512" s="626" t="e">
        <f>+[3]INVERSIÓN!T34</f>
        <v>#REF!</v>
      </c>
      <c r="G512" s="602" t="e">
        <f t="shared" si="16"/>
        <v>#REF!</v>
      </c>
      <c r="H512" s="597" t="s">
        <v>620</v>
      </c>
    </row>
    <row r="513" spans="1:11" s="600" customFormat="1" ht="55.15" customHeight="1" outlineLevel="1" x14ac:dyDescent="0.25">
      <c r="A513" s="889"/>
      <c r="B513" s="583" t="s">
        <v>677</v>
      </c>
      <c r="C513" s="338" t="s">
        <v>672</v>
      </c>
      <c r="D513" s="602">
        <v>0.15</v>
      </c>
      <c r="E513" s="626" t="e">
        <f>+[3]INVERSIÓN!S40</f>
        <v>#REF!</v>
      </c>
      <c r="F513" s="626" t="e">
        <f>+[3]INVERSIÓN!T40</f>
        <v>#REF!</v>
      </c>
      <c r="G513" s="602" t="e">
        <f t="shared" si="16"/>
        <v>#REF!</v>
      </c>
      <c r="H513" s="597" t="s">
        <v>621</v>
      </c>
    </row>
    <row r="514" spans="1:11" s="600" customFormat="1" ht="55.15" customHeight="1" outlineLevel="1" x14ac:dyDescent="0.25">
      <c r="A514" s="890"/>
      <c r="B514" s="583" t="s">
        <v>678</v>
      </c>
      <c r="C514" s="338" t="s">
        <v>672</v>
      </c>
      <c r="D514" s="602">
        <v>0.1</v>
      </c>
      <c r="E514" s="626" t="e">
        <f>+[3]INVERSIÓN!S46</f>
        <v>#REF!</v>
      </c>
      <c r="F514" s="626" t="e">
        <f>+[3]INVERSIÓN!T46</f>
        <v>#REF!</v>
      </c>
      <c r="G514" s="602" t="e">
        <f t="shared" si="16"/>
        <v>#REF!</v>
      </c>
      <c r="H514" s="597" t="s">
        <v>622</v>
      </c>
    </row>
    <row r="516" spans="1:11" ht="25.5" customHeight="1" x14ac:dyDescent="0.3">
      <c r="A516" s="881" t="s">
        <v>274</v>
      </c>
      <c r="B516" s="882"/>
      <c r="C516" s="882"/>
      <c r="D516" s="882"/>
      <c r="E516" s="882"/>
      <c r="F516" s="882"/>
      <c r="G516" s="882"/>
      <c r="H516" s="883"/>
    </row>
    <row r="517" spans="1:11" ht="53.25" customHeight="1" x14ac:dyDescent="0.25">
      <c r="A517" s="595" t="s">
        <v>50</v>
      </c>
      <c r="B517" s="54" t="s">
        <v>200</v>
      </c>
      <c r="C517" s="74" t="s">
        <v>156</v>
      </c>
      <c r="D517" s="74" t="s">
        <v>166</v>
      </c>
      <c r="E517" s="74" t="s">
        <v>290</v>
      </c>
      <c r="F517" s="74" t="s">
        <v>291</v>
      </c>
      <c r="G517" s="74" t="s">
        <v>292</v>
      </c>
      <c r="H517" s="54" t="s">
        <v>189</v>
      </c>
    </row>
    <row r="518" spans="1:11" ht="49.9" customHeight="1" x14ac:dyDescent="0.25">
      <c r="A518" s="892" t="s">
        <v>143</v>
      </c>
      <c r="B518" s="583" t="s">
        <v>671</v>
      </c>
      <c r="C518" s="338" t="s">
        <v>672</v>
      </c>
      <c r="D518" s="602">
        <v>0.15</v>
      </c>
      <c r="E518" s="584">
        <v>20</v>
      </c>
      <c r="F518" s="584">
        <v>20</v>
      </c>
      <c r="G518" s="602">
        <f t="shared" ref="G518:G565" si="18">F518/E518</f>
        <v>1</v>
      </c>
      <c r="H518" s="597" t="s">
        <v>616</v>
      </c>
      <c r="J518" s="600"/>
      <c r="K518" s="600"/>
    </row>
    <row r="519" spans="1:11" ht="49.9" customHeight="1" x14ac:dyDescent="0.25">
      <c r="A519" s="893"/>
      <c r="B519" s="583" t="s">
        <v>673</v>
      </c>
      <c r="C519" s="338" t="s">
        <v>672</v>
      </c>
      <c r="D519" s="602">
        <v>0.15</v>
      </c>
      <c r="E519" s="626">
        <v>8</v>
      </c>
      <c r="F519" s="626">
        <v>0.2</v>
      </c>
      <c r="G519" s="602">
        <f t="shared" si="18"/>
        <v>2.5000000000000001E-2</v>
      </c>
      <c r="H519" s="597" t="s">
        <v>617</v>
      </c>
      <c r="J519" s="629"/>
      <c r="K519" s="629"/>
    </row>
    <row r="520" spans="1:11" ht="49.9" customHeight="1" x14ac:dyDescent="0.25">
      <c r="A520" s="893"/>
      <c r="B520" s="583" t="s">
        <v>674</v>
      </c>
      <c r="C520" s="338" t="s">
        <v>672</v>
      </c>
      <c r="D520" s="602">
        <v>0.15</v>
      </c>
      <c r="E520" s="626">
        <v>2</v>
      </c>
      <c r="F520" s="626">
        <v>0.15</v>
      </c>
      <c r="G520" s="602">
        <f t="shared" si="18"/>
        <v>7.4999999999999997E-2</v>
      </c>
      <c r="H520" s="597" t="s">
        <v>618</v>
      </c>
      <c r="J520" s="629"/>
      <c r="K520" s="629"/>
    </row>
    <row r="521" spans="1:11" ht="49.9" customHeight="1" x14ac:dyDescent="0.25">
      <c r="A521" s="893"/>
      <c r="B521" s="583" t="s">
        <v>675</v>
      </c>
      <c r="C521" s="338" t="s">
        <v>672</v>
      </c>
      <c r="D521" s="602">
        <v>0.15</v>
      </c>
      <c r="E521" s="584">
        <v>362</v>
      </c>
      <c r="F521" s="584">
        <v>10</v>
      </c>
      <c r="G521" s="602">
        <f t="shared" si="18"/>
        <v>2.7624309392265192E-2</v>
      </c>
      <c r="H521" s="597" t="s">
        <v>619</v>
      </c>
      <c r="J521" s="600"/>
      <c r="K521" s="600"/>
    </row>
    <row r="522" spans="1:11" ht="49.9" customHeight="1" x14ac:dyDescent="0.25">
      <c r="A522" s="893"/>
      <c r="B522" s="583" t="s">
        <v>676</v>
      </c>
      <c r="C522" s="338" t="s">
        <v>672</v>
      </c>
      <c r="D522" s="602">
        <v>0.15</v>
      </c>
      <c r="E522" s="626">
        <v>1</v>
      </c>
      <c r="F522" s="626">
        <v>1</v>
      </c>
      <c r="G522" s="602">
        <f t="shared" si="18"/>
        <v>1</v>
      </c>
      <c r="H522" s="597" t="s">
        <v>620</v>
      </c>
      <c r="J522" s="629"/>
      <c r="K522" s="629"/>
    </row>
    <row r="523" spans="1:11" ht="49.9" customHeight="1" x14ac:dyDescent="0.25">
      <c r="A523" s="893"/>
      <c r="B523" s="583" t="s">
        <v>677</v>
      </c>
      <c r="C523" s="338" t="s">
        <v>672</v>
      </c>
      <c r="D523" s="602">
        <v>0.15</v>
      </c>
      <c r="E523" s="626">
        <v>759</v>
      </c>
      <c r="F523" s="626">
        <v>278</v>
      </c>
      <c r="G523" s="602">
        <f t="shared" si="18"/>
        <v>0.3662714097496706</v>
      </c>
      <c r="H523" s="597" t="s">
        <v>621</v>
      </c>
      <c r="J523" s="629"/>
      <c r="K523" s="629"/>
    </row>
    <row r="524" spans="1:11" ht="49.9" customHeight="1" x14ac:dyDescent="0.25">
      <c r="A524" s="894"/>
      <c r="B524" s="583" t="s">
        <v>678</v>
      </c>
      <c r="C524" s="338" t="s">
        <v>672</v>
      </c>
      <c r="D524" s="602">
        <v>0.1</v>
      </c>
      <c r="E524" s="626">
        <v>1</v>
      </c>
      <c r="F524" s="626">
        <v>1</v>
      </c>
      <c r="G524" s="602">
        <f t="shared" si="18"/>
        <v>1</v>
      </c>
      <c r="H524" s="597" t="s">
        <v>622</v>
      </c>
      <c r="J524" s="629"/>
      <c r="K524" s="629"/>
    </row>
    <row r="525" spans="1:11" ht="49.9" customHeight="1" x14ac:dyDescent="0.25">
      <c r="A525" s="884" t="s">
        <v>144</v>
      </c>
      <c r="B525" s="583" t="s">
        <v>671</v>
      </c>
      <c r="C525" s="338" t="s">
        <v>672</v>
      </c>
      <c r="D525" s="602">
        <v>0.15</v>
      </c>
      <c r="E525" s="584">
        <v>20</v>
      </c>
      <c r="F525" s="584">
        <v>20</v>
      </c>
      <c r="G525" s="602">
        <f t="shared" si="18"/>
        <v>1</v>
      </c>
      <c r="H525" s="597" t="s">
        <v>623</v>
      </c>
      <c r="J525" s="600"/>
      <c r="K525" s="600"/>
    </row>
    <row r="526" spans="1:11" ht="49.9" customHeight="1" x14ac:dyDescent="0.25">
      <c r="A526" s="885"/>
      <c r="B526" s="583" t="s">
        <v>673</v>
      </c>
      <c r="C526" s="338" t="s">
        <v>672</v>
      </c>
      <c r="D526" s="602">
        <v>0.15</v>
      </c>
      <c r="E526" s="626">
        <v>8</v>
      </c>
      <c r="F526" s="626">
        <v>0.45</v>
      </c>
      <c r="G526" s="602">
        <f t="shared" si="18"/>
        <v>5.6250000000000001E-2</v>
      </c>
      <c r="H526" s="597" t="s">
        <v>624</v>
      </c>
      <c r="J526" s="629"/>
      <c r="K526" s="629"/>
    </row>
    <row r="527" spans="1:11" ht="49.9" customHeight="1" x14ac:dyDescent="0.25">
      <c r="A527" s="885"/>
      <c r="B527" s="583" t="s">
        <v>674</v>
      </c>
      <c r="C527" s="338" t="s">
        <v>672</v>
      </c>
      <c r="D527" s="602">
        <v>0.15</v>
      </c>
      <c r="E527" s="626">
        <v>2</v>
      </c>
      <c r="F527" s="626">
        <v>0.26</v>
      </c>
      <c r="G527" s="602">
        <f t="shared" si="18"/>
        <v>0.13</v>
      </c>
      <c r="H527" s="597" t="s">
        <v>625</v>
      </c>
      <c r="J527" s="629"/>
      <c r="K527" s="629"/>
    </row>
    <row r="528" spans="1:11" ht="49.9" customHeight="1" x14ac:dyDescent="0.25">
      <c r="A528" s="885"/>
      <c r="B528" s="583" t="s">
        <v>675</v>
      </c>
      <c r="C528" s="338" t="s">
        <v>672</v>
      </c>
      <c r="D528" s="602">
        <v>0.15</v>
      </c>
      <c r="E528" s="584">
        <v>362</v>
      </c>
      <c r="F528" s="584">
        <v>16</v>
      </c>
      <c r="G528" s="602">
        <f t="shared" si="18"/>
        <v>4.4198895027624308E-2</v>
      </c>
      <c r="H528" s="597" t="s">
        <v>679</v>
      </c>
      <c r="J528" s="600"/>
      <c r="K528" s="600"/>
    </row>
    <row r="529" spans="1:11" ht="49.9" customHeight="1" x14ac:dyDescent="0.25">
      <c r="A529" s="885"/>
      <c r="B529" s="583" t="s">
        <v>676</v>
      </c>
      <c r="C529" s="338" t="s">
        <v>672</v>
      </c>
      <c r="D529" s="602">
        <v>0.15</v>
      </c>
      <c r="E529" s="626">
        <v>1</v>
      </c>
      <c r="F529" s="626">
        <v>1</v>
      </c>
      <c r="G529" s="602">
        <f t="shared" si="18"/>
        <v>1</v>
      </c>
      <c r="H529" s="597" t="s">
        <v>627</v>
      </c>
      <c r="J529" s="629"/>
      <c r="K529" s="629"/>
    </row>
    <row r="530" spans="1:11" ht="49.9" customHeight="1" x14ac:dyDescent="0.25">
      <c r="A530" s="885"/>
      <c r="B530" s="583" t="s">
        <v>677</v>
      </c>
      <c r="C530" s="338" t="s">
        <v>672</v>
      </c>
      <c r="D530" s="602">
        <v>0.15</v>
      </c>
      <c r="E530" s="626">
        <v>759</v>
      </c>
      <c r="F530" s="626">
        <v>489</v>
      </c>
      <c r="G530" s="602">
        <f t="shared" si="18"/>
        <v>0.64426877470355737</v>
      </c>
      <c r="H530" s="597" t="s">
        <v>628</v>
      </c>
      <c r="J530" s="629"/>
      <c r="K530" s="629"/>
    </row>
    <row r="531" spans="1:11" ht="49.9" customHeight="1" x14ac:dyDescent="0.25">
      <c r="A531" s="886"/>
      <c r="B531" s="583" t="s">
        <v>678</v>
      </c>
      <c r="C531" s="338" t="s">
        <v>672</v>
      </c>
      <c r="D531" s="602">
        <v>0.1</v>
      </c>
      <c r="E531" s="626">
        <v>1</v>
      </c>
      <c r="F531" s="626">
        <v>1</v>
      </c>
      <c r="G531" s="602">
        <f t="shared" si="18"/>
        <v>1</v>
      </c>
      <c r="H531" s="597" t="s">
        <v>629</v>
      </c>
      <c r="J531" s="629"/>
      <c r="K531" s="629"/>
    </row>
    <row r="532" spans="1:11" ht="49.9" customHeight="1" x14ac:dyDescent="0.25">
      <c r="A532" s="884" t="s">
        <v>145</v>
      </c>
      <c r="B532" s="583" t="s">
        <v>671</v>
      </c>
      <c r="C532" s="338" t="s">
        <v>672</v>
      </c>
      <c r="D532" s="602">
        <v>0.15</v>
      </c>
      <c r="E532" s="584">
        <v>20</v>
      </c>
      <c r="F532" s="584">
        <v>20</v>
      </c>
      <c r="G532" s="602">
        <f t="shared" si="18"/>
        <v>1</v>
      </c>
      <c r="H532" s="621" t="s">
        <v>630</v>
      </c>
      <c r="J532" s="600"/>
      <c r="K532" s="600"/>
    </row>
    <row r="533" spans="1:11" ht="49.9" customHeight="1" x14ac:dyDescent="0.25">
      <c r="A533" s="885"/>
      <c r="B533" s="583" t="s">
        <v>673</v>
      </c>
      <c r="C533" s="338" t="s">
        <v>672</v>
      </c>
      <c r="D533" s="602">
        <v>0.15</v>
      </c>
      <c r="E533" s="626">
        <v>8</v>
      </c>
      <c r="F533" s="626">
        <v>1</v>
      </c>
      <c r="G533" s="602">
        <f t="shared" si="18"/>
        <v>0.125</v>
      </c>
      <c r="H533" s="621" t="s">
        <v>631</v>
      </c>
      <c r="J533" s="629"/>
      <c r="K533" s="629"/>
    </row>
    <row r="534" spans="1:11" ht="49.9" customHeight="1" x14ac:dyDescent="0.25">
      <c r="A534" s="885"/>
      <c r="B534" s="583" t="s">
        <v>674</v>
      </c>
      <c r="C534" s="338" t="s">
        <v>672</v>
      </c>
      <c r="D534" s="602">
        <v>0.15</v>
      </c>
      <c r="E534" s="626">
        <v>2</v>
      </c>
      <c r="F534" s="626">
        <v>0.36</v>
      </c>
      <c r="G534" s="602">
        <f t="shared" si="18"/>
        <v>0.18</v>
      </c>
      <c r="H534" s="621" t="s">
        <v>632</v>
      </c>
      <c r="J534" s="629"/>
      <c r="K534" s="629"/>
    </row>
    <row r="535" spans="1:11" ht="49.9" customHeight="1" x14ac:dyDescent="0.25">
      <c r="A535" s="885"/>
      <c r="B535" s="583" t="s">
        <v>675</v>
      </c>
      <c r="C535" s="338" t="s">
        <v>672</v>
      </c>
      <c r="D535" s="602">
        <v>0.15</v>
      </c>
      <c r="E535" s="584">
        <v>362</v>
      </c>
      <c r="F535" s="584">
        <v>16</v>
      </c>
      <c r="G535" s="602">
        <f t="shared" si="18"/>
        <v>4.4198895027624308E-2</v>
      </c>
      <c r="H535" s="621" t="s">
        <v>633</v>
      </c>
      <c r="J535" s="600"/>
      <c r="K535" s="600"/>
    </row>
    <row r="536" spans="1:11" ht="49.9" customHeight="1" x14ac:dyDescent="0.25">
      <c r="A536" s="885"/>
      <c r="B536" s="583" t="s">
        <v>676</v>
      </c>
      <c r="C536" s="338" t="s">
        <v>672</v>
      </c>
      <c r="D536" s="602">
        <v>0.15</v>
      </c>
      <c r="E536" s="626">
        <v>1</v>
      </c>
      <c r="F536" s="626">
        <v>1</v>
      </c>
      <c r="G536" s="602">
        <f t="shared" si="18"/>
        <v>1</v>
      </c>
      <c r="H536" s="621" t="s">
        <v>634</v>
      </c>
      <c r="J536" s="629"/>
      <c r="K536" s="629"/>
    </row>
    <row r="537" spans="1:11" ht="49.9" customHeight="1" x14ac:dyDescent="0.25">
      <c r="A537" s="885"/>
      <c r="B537" s="583" t="s">
        <v>677</v>
      </c>
      <c r="C537" s="338" t="s">
        <v>672</v>
      </c>
      <c r="D537" s="602">
        <v>0.15</v>
      </c>
      <c r="E537" s="626">
        <v>4707</v>
      </c>
      <c r="F537" s="626">
        <v>1326</v>
      </c>
      <c r="G537" s="602">
        <f t="shared" si="18"/>
        <v>0.28170809432759719</v>
      </c>
      <c r="H537" s="621" t="s">
        <v>635</v>
      </c>
      <c r="J537" s="629"/>
      <c r="K537" s="629"/>
    </row>
    <row r="538" spans="1:11" ht="49.9" customHeight="1" x14ac:dyDescent="0.25">
      <c r="A538" s="886"/>
      <c r="B538" s="583" t="s">
        <v>678</v>
      </c>
      <c r="C538" s="338" t="s">
        <v>672</v>
      </c>
      <c r="D538" s="602">
        <v>0.1</v>
      </c>
      <c r="E538" s="626">
        <v>1</v>
      </c>
      <c r="F538" s="626">
        <v>1</v>
      </c>
      <c r="G538" s="602">
        <f t="shared" si="18"/>
        <v>1</v>
      </c>
      <c r="H538" s="621" t="s">
        <v>636</v>
      </c>
      <c r="J538" s="629"/>
      <c r="K538" s="629"/>
    </row>
    <row r="539" spans="1:11" ht="51" customHeight="1" x14ac:dyDescent="0.25">
      <c r="A539" s="884" t="s">
        <v>146</v>
      </c>
      <c r="B539" s="583" t="s">
        <v>671</v>
      </c>
      <c r="C539" s="338" t="s">
        <v>672</v>
      </c>
      <c r="D539" s="602">
        <v>0.15</v>
      </c>
      <c r="E539" s="584">
        <v>20</v>
      </c>
      <c r="F539" s="584">
        <v>20</v>
      </c>
      <c r="G539" s="602">
        <f t="shared" si="18"/>
        <v>1</v>
      </c>
      <c r="H539" s="621"/>
      <c r="J539" s="600"/>
      <c r="K539" s="600"/>
    </row>
    <row r="540" spans="1:11" ht="51" customHeight="1" x14ac:dyDescent="0.25">
      <c r="A540" s="885"/>
      <c r="B540" s="583" t="s">
        <v>673</v>
      </c>
      <c r="C540" s="338" t="s">
        <v>672</v>
      </c>
      <c r="D540" s="602">
        <v>0.15</v>
      </c>
      <c r="E540" s="626">
        <v>6</v>
      </c>
      <c r="F540" s="626">
        <v>1.6</v>
      </c>
      <c r="G540" s="602">
        <f t="shared" si="18"/>
        <v>0.26666666666666666</v>
      </c>
      <c r="H540" s="621"/>
      <c r="J540" s="629"/>
      <c r="K540" s="629"/>
    </row>
    <row r="541" spans="1:11" ht="51" customHeight="1" x14ac:dyDescent="0.25">
      <c r="A541" s="885"/>
      <c r="B541" s="583" t="s">
        <v>674</v>
      </c>
      <c r="C541" s="338" t="s">
        <v>672</v>
      </c>
      <c r="D541" s="602">
        <v>0.15</v>
      </c>
      <c r="E541" s="626">
        <v>1</v>
      </c>
      <c r="F541" s="626">
        <v>0.51</v>
      </c>
      <c r="G541" s="602">
        <f t="shared" si="18"/>
        <v>0.51</v>
      </c>
      <c r="H541" s="621"/>
      <c r="J541" s="629"/>
      <c r="K541" s="629"/>
    </row>
    <row r="542" spans="1:11" ht="51" customHeight="1" x14ac:dyDescent="0.25">
      <c r="A542" s="885"/>
      <c r="B542" s="583" t="s">
        <v>675</v>
      </c>
      <c r="C542" s="338" t="s">
        <v>672</v>
      </c>
      <c r="D542" s="602">
        <v>0.15</v>
      </c>
      <c r="E542" s="584">
        <v>362</v>
      </c>
      <c r="F542" s="584">
        <v>16</v>
      </c>
      <c r="G542" s="602">
        <f t="shared" si="18"/>
        <v>4.4198895027624308E-2</v>
      </c>
      <c r="H542" s="621"/>
      <c r="J542" s="600"/>
      <c r="K542" s="600"/>
    </row>
    <row r="543" spans="1:11" ht="51" customHeight="1" x14ac:dyDescent="0.25">
      <c r="A543" s="885"/>
      <c r="B543" s="583" t="s">
        <v>676</v>
      </c>
      <c r="C543" s="338" t="s">
        <v>672</v>
      </c>
      <c r="D543" s="602">
        <v>0.15</v>
      </c>
      <c r="E543" s="626">
        <v>1</v>
      </c>
      <c r="F543" s="626">
        <v>1</v>
      </c>
      <c r="G543" s="602">
        <f t="shared" si="18"/>
        <v>1</v>
      </c>
      <c r="H543" s="621"/>
      <c r="J543" s="629"/>
      <c r="K543" s="629"/>
    </row>
    <row r="544" spans="1:11" ht="51" customHeight="1" x14ac:dyDescent="0.25">
      <c r="A544" s="885"/>
      <c r="B544" s="583" t="s">
        <v>677</v>
      </c>
      <c r="C544" s="338" t="s">
        <v>672</v>
      </c>
      <c r="D544" s="602">
        <v>0.15</v>
      </c>
      <c r="E544" s="626">
        <v>4707</v>
      </c>
      <c r="F544" s="626">
        <v>1501</v>
      </c>
      <c r="G544" s="602">
        <f t="shared" si="18"/>
        <v>0.31888676439345653</v>
      </c>
      <c r="H544" s="621"/>
      <c r="J544" s="629"/>
      <c r="K544" s="629"/>
    </row>
    <row r="545" spans="1:11" ht="51" customHeight="1" x14ac:dyDescent="0.25">
      <c r="A545" s="886"/>
      <c r="B545" s="583" t="s">
        <v>678</v>
      </c>
      <c r="C545" s="338" t="s">
        <v>672</v>
      </c>
      <c r="D545" s="602">
        <v>0.1</v>
      </c>
      <c r="E545" s="626">
        <v>528678000</v>
      </c>
      <c r="F545" s="626">
        <v>516118000</v>
      </c>
      <c r="G545" s="602">
        <f t="shared" si="18"/>
        <v>0.97624262783773863</v>
      </c>
      <c r="H545" s="57"/>
      <c r="J545" s="629"/>
      <c r="K545" s="629"/>
    </row>
    <row r="546" spans="1:11" ht="51" customHeight="1" x14ac:dyDescent="0.25">
      <c r="A546" s="884" t="s">
        <v>147</v>
      </c>
      <c r="B546" s="583" t="s">
        <v>671</v>
      </c>
      <c r="C546" s="338" t="s">
        <v>672</v>
      </c>
      <c r="D546" s="602">
        <v>0.15</v>
      </c>
      <c r="E546" s="584">
        <v>20</v>
      </c>
      <c r="F546" s="584">
        <v>20</v>
      </c>
      <c r="G546" s="602">
        <f t="shared" si="18"/>
        <v>1</v>
      </c>
      <c r="H546" s="622" t="s">
        <v>680</v>
      </c>
      <c r="J546" s="600"/>
      <c r="K546" s="600"/>
    </row>
    <row r="547" spans="1:11" ht="51" customHeight="1" x14ac:dyDescent="0.25">
      <c r="A547" s="885"/>
      <c r="B547" s="583" t="s">
        <v>673</v>
      </c>
      <c r="C547" s="338" t="s">
        <v>672</v>
      </c>
      <c r="D547" s="602">
        <v>0.15</v>
      </c>
      <c r="E547" s="626">
        <v>8</v>
      </c>
      <c r="F547" s="626">
        <v>2.4</v>
      </c>
      <c r="G547" s="602">
        <f t="shared" si="18"/>
        <v>0.3</v>
      </c>
      <c r="H547" s="622" t="s">
        <v>645</v>
      </c>
      <c r="J547" s="629"/>
      <c r="K547" s="629"/>
    </row>
    <row r="548" spans="1:11" ht="51" customHeight="1" x14ac:dyDescent="0.25">
      <c r="A548" s="885"/>
      <c r="B548" s="583" t="s">
        <v>674</v>
      </c>
      <c r="C548" s="338" t="s">
        <v>672</v>
      </c>
      <c r="D548" s="602">
        <v>0.15</v>
      </c>
      <c r="E548" s="626">
        <v>2</v>
      </c>
      <c r="F548" s="626">
        <v>0.65</v>
      </c>
      <c r="G548" s="602">
        <f t="shared" si="18"/>
        <v>0.32500000000000001</v>
      </c>
      <c r="H548" s="622" t="s">
        <v>681</v>
      </c>
      <c r="J548" s="629"/>
      <c r="K548" s="629"/>
    </row>
    <row r="549" spans="1:11" ht="51" customHeight="1" x14ac:dyDescent="0.25">
      <c r="A549" s="885"/>
      <c r="B549" s="583" t="s">
        <v>675</v>
      </c>
      <c r="C549" s="338" t="s">
        <v>672</v>
      </c>
      <c r="D549" s="602">
        <v>0.15</v>
      </c>
      <c r="E549" s="584">
        <v>766</v>
      </c>
      <c r="F549" s="584">
        <v>357</v>
      </c>
      <c r="G549" s="602">
        <f t="shared" si="18"/>
        <v>0.4660574412532637</v>
      </c>
      <c r="H549" s="622" t="s">
        <v>682</v>
      </c>
      <c r="J549" s="600"/>
      <c r="K549" s="600"/>
    </row>
    <row r="550" spans="1:11" ht="51" customHeight="1" x14ac:dyDescent="0.25">
      <c r="A550" s="885"/>
      <c r="B550" s="583" t="s">
        <v>676</v>
      </c>
      <c r="C550" s="338" t="s">
        <v>672</v>
      </c>
      <c r="D550" s="602">
        <v>0.15</v>
      </c>
      <c r="E550" s="626">
        <v>1</v>
      </c>
      <c r="F550" s="626">
        <v>1</v>
      </c>
      <c r="G550" s="602">
        <f t="shared" si="18"/>
        <v>1</v>
      </c>
      <c r="H550" s="622" t="s">
        <v>683</v>
      </c>
      <c r="J550" s="629"/>
      <c r="K550" s="629"/>
    </row>
    <row r="551" spans="1:11" ht="51" customHeight="1" x14ac:dyDescent="0.25">
      <c r="A551" s="885"/>
      <c r="B551" s="583" t="s">
        <v>677</v>
      </c>
      <c r="C551" s="338" t="s">
        <v>672</v>
      </c>
      <c r="D551" s="602">
        <v>0.15</v>
      </c>
      <c r="E551" s="626">
        <v>4707</v>
      </c>
      <c r="F551" s="626">
        <v>2706</v>
      </c>
      <c r="G551" s="602">
        <f t="shared" si="18"/>
        <v>0.57488846398980242</v>
      </c>
      <c r="H551" s="622" t="s">
        <v>684</v>
      </c>
      <c r="J551" s="629"/>
      <c r="K551" s="629"/>
    </row>
    <row r="552" spans="1:11" ht="51" customHeight="1" x14ac:dyDescent="0.25">
      <c r="A552" s="886"/>
      <c r="B552" s="583" t="s">
        <v>678</v>
      </c>
      <c r="C552" s="338" t="s">
        <v>672</v>
      </c>
      <c r="D552" s="602">
        <v>0.1</v>
      </c>
      <c r="E552" s="630">
        <v>1</v>
      </c>
      <c r="F552" s="602">
        <v>1</v>
      </c>
      <c r="G552" s="602">
        <f t="shared" si="18"/>
        <v>1</v>
      </c>
      <c r="H552" s="622" t="s">
        <v>650</v>
      </c>
      <c r="J552" s="629"/>
      <c r="K552" s="629"/>
    </row>
    <row r="553" spans="1:11" ht="51" customHeight="1" x14ac:dyDescent="0.25">
      <c r="A553" s="884" t="s">
        <v>148</v>
      </c>
      <c r="B553" s="583" t="s">
        <v>671</v>
      </c>
      <c r="C553" s="338" t="s">
        <v>672</v>
      </c>
      <c r="D553" s="602">
        <v>0.15</v>
      </c>
      <c r="E553" s="584">
        <v>20</v>
      </c>
      <c r="F553" s="584">
        <v>20</v>
      </c>
      <c r="G553" s="602">
        <f t="shared" si="18"/>
        <v>1</v>
      </c>
      <c r="H553" s="622" t="s">
        <v>685</v>
      </c>
    </row>
    <row r="554" spans="1:11" ht="51" customHeight="1" x14ac:dyDescent="0.25">
      <c r="A554" s="885"/>
      <c r="B554" s="583" t="s">
        <v>673</v>
      </c>
      <c r="C554" s="338" t="s">
        <v>672</v>
      </c>
      <c r="D554" s="602">
        <v>0.15</v>
      </c>
      <c r="E554" s="626">
        <v>8</v>
      </c>
      <c r="F554" s="626">
        <v>3</v>
      </c>
      <c r="G554" s="602">
        <f t="shared" si="18"/>
        <v>0.375</v>
      </c>
      <c r="H554" s="622" t="s">
        <v>497</v>
      </c>
    </row>
    <row r="555" spans="1:11" ht="51" customHeight="1" x14ac:dyDescent="0.25">
      <c r="A555" s="885"/>
      <c r="B555" s="583" t="s">
        <v>674</v>
      </c>
      <c r="C555" s="338" t="s">
        <v>672</v>
      </c>
      <c r="D555" s="602">
        <v>0.15</v>
      </c>
      <c r="E555" s="626">
        <v>2</v>
      </c>
      <c r="F555" s="626">
        <v>1</v>
      </c>
      <c r="G555" s="602">
        <f t="shared" si="18"/>
        <v>0.5</v>
      </c>
      <c r="H555" s="622" t="s">
        <v>686</v>
      </c>
    </row>
    <row r="556" spans="1:11" ht="51" customHeight="1" x14ac:dyDescent="0.25">
      <c r="A556" s="885"/>
      <c r="B556" s="583" t="s">
        <v>675</v>
      </c>
      <c r="C556" s="338" t="s">
        <v>672</v>
      </c>
      <c r="D556" s="602">
        <v>0.15</v>
      </c>
      <c r="E556" s="584">
        <v>766</v>
      </c>
      <c r="F556" s="584">
        <v>463</v>
      </c>
      <c r="G556" s="602">
        <f t="shared" si="18"/>
        <v>0.6044386422976501</v>
      </c>
      <c r="H556" s="622" t="s">
        <v>687</v>
      </c>
    </row>
    <row r="557" spans="1:11" ht="51" customHeight="1" x14ac:dyDescent="0.25">
      <c r="A557" s="885"/>
      <c r="B557" s="583" t="s">
        <v>676</v>
      </c>
      <c r="C557" s="338" t="s">
        <v>672</v>
      </c>
      <c r="D557" s="602">
        <v>0.15</v>
      </c>
      <c r="E557" s="626">
        <v>1</v>
      </c>
      <c r="F557" s="626">
        <v>1</v>
      </c>
      <c r="G557" s="602">
        <f t="shared" si="18"/>
        <v>1</v>
      </c>
      <c r="H557" s="622" t="s">
        <v>654</v>
      </c>
    </row>
    <row r="558" spans="1:11" ht="51" customHeight="1" x14ac:dyDescent="0.25">
      <c r="A558" s="885"/>
      <c r="B558" s="583" t="s">
        <v>677</v>
      </c>
      <c r="C558" s="338" t="s">
        <v>672</v>
      </c>
      <c r="D558" s="602">
        <v>0.15</v>
      </c>
      <c r="E558" s="626">
        <v>4707</v>
      </c>
      <c r="F558" s="626">
        <v>3504</v>
      </c>
      <c r="G558" s="602">
        <f t="shared" si="18"/>
        <v>0.74442319949012115</v>
      </c>
      <c r="H558" s="622" t="s">
        <v>655</v>
      </c>
    </row>
    <row r="559" spans="1:11" ht="51" customHeight="1" x14ac:dyDescent="0.25">
      <c r="A559" s="886"/>
      <c r="B559" s="583" t="s">
        <v>678</v>
      </c>
      <c r="C559" s="338" t="s">
        <v>672</v>
      </c>
      <c r="D559" s="602">
        <v>0.1</v>
      </c>
      <c r="E559" s="630">
        <v>1</v>
      </c>
      <c r="F559" s="602">
        <v>0.92</v>
      </c>
      <c r="G559" s="602">
        <f t="shared" si="18"/>
        <v>0.92</v>
      </c>
      <c r="H559" s="622" t="s">
        <v>656</v>
      </c>
    </row>
    <row r="560" spans="1:11" x14ac:dyDescent="0.25">
      <c r="A560" s="57" t="s">
        <v>136</v>
      </c>
      <c r="B560" s="57"/>
      <c r="C560" s="57"/>
      <c r="D560" s="57"/>
      <c r="E560" s="57"/>
      <c r="F560" s="57"/>
      <c r="G560" s="57" t="e">
        <f t="shared" si="18"/>
        <v>#DIV/0!</v>
      </c>
      <c r="H560" s="57"/>
    </row>
    <row r="561" spans="1:8" x14ac:dyDescent="0.25">
      <c r="A561" s="57" t="s">
        <v>137</v>
      </c>
      <c r="B561" s="57"/>
      <c r="C561" s="57"/>
      <c r="D561" s="57"/>
      <c r="E561" s="57"/>
      <c r="F561" s="57"/>
      <c r="G561" s="57" t="e">
        <f t="shared" si="18"/>
        <v>#DIV/0!</v>
      </c>
      <c r="H561" s="57"/>
    </row>
    <row r="562" spans="1:8" x14ac:dyDescent="0.25">
      <c r="A562" s="57" t="s">
        <v>138</v>
      </c>
      <c r="B562" s="57"/>
      <c r="C562" s="57"/>
      <c r="D562" s="57"/>
      <c r="E562" s="57"/>
      <c r="F562" s="57"/>
      <c r="G562" s="57" t="e">
        <f t="shared" si="18"/>
        <v>#DIV/0!</v>
      </c>
      <c r="H562" s="57"/>
    </row>
    <row r="563" spans="1:8" x14ac:dyDescent="0.25">
      <c r="A563" s="57" t="s">
        <v>139</v>
      </c>
      <c r="B563" s="57"/>
      <c r="C563" s="57"/>
      <c r="D563" s="57"/>
      <c r="E563" s="57"/>
      <c r="F563" s="57"/>
      <c r="G563" s="57" t="e">
        <f t="shared" si="18"/>
        <v>#DIV/0!</v>
      </c>
      <c r="H563" s="57"/>
    </row>
    <row r="564" spans="1:8" x14ac:dyDescent="0.25">
      <c r="A564" s="57" t="s">
        <v>140</v>
      </c>
      <c r="B564" s="57"/>
      <c r="C564" s="57"/>
      <c r="D564" s="57"/>
      <c r="E564" s="57"/>
      <c r="F564" s="57"/>
      <c r="G564" s="57" t="e">
        <f t="shared" si="18"/>
        <v>#DIV/0!</v>
      </c>
      <c r="H564" s="57"/>
    </row>
    <row r="565" spans="1:8" x14ac:dyDescent="0.25">
      <c r="A565" s="57" t="s">
        <v>141</v>
      </c>
      <c r="B565" s="57"/>
      <c r="C565" s="57"/>
      <c r="D565" s="57"/>
      <c r="E565" s="57"/>
      <c r="F565" s="57"/>
      <c r="G565" s="57" t="e">
        <f t="shared" si="18"/>
        <v>#DIV/0!</v>
      </c>
      <c r="H565" s="57"/>
    </row>
    <row r="567" spans="1:8" ht="20.25" hidden="1" x14ac:dyDescent="0.3">
      <c r="A567" s="881" t="s">
        <v>204</v>
      </c>
      <c r="B567" s="882"/>
      <c r="C567" s="882"/>
      <c r="D567" s="882"/>
      <c r="E567" s="882"/>
      <c r="F567" s="882"/>
      <c r="G567" s="882"/>
      <c r="H567" s="883"/>
    </row>
    <row r="568" spans="1:8" ht="54.75" hidden="1" customHeight="1" x14ac:dyDescent="0.25">
      <c r="A568" s="595" t="s">
        <v>62</v>
      </c>
      <c r="B568" s="54" t="s">
        <v>200</v>
      </c>
      <c r="C568" s="74" t="s">
        <v>156</v>
      </c>
      <c r="D568" s="74" t="s">
        <v>171</v>
      </c>
      <c r="E568" s="74" t="s">
        <v>205</v>
      </c>
      <c r="F568" s="74" t="s">
        <v>206</v>
      </c>
      <c r="G568" s="74" t="s">
        <v>207</v>
      </c>
      <c r="H568" s="54" t="s">
        <v>189</v>
      </c>
    </row>
    <row r="569" spans="1:8" ht="16.5" hidden="1" customHeight="1" x14ac:dyDescent="0.25">
      <c r="A569" s="57" t="s">
        <v>143</v>
      </c>
      <c r="B569" s="57"/>
      <c r="C569" s="57"/>
      <c r="D569" s="57"/>
      <c r="E569" s="57"/>
      <c r="F569" s="57"/>
      <c r="G569" s="57" t="e">
        <f t="shared" ref="G569:G580" si="19">F569/E569</f>
        <v>#DIV/0!</v>
      </c>
      <c r="H569" s="57"/>
    </row>
    <row r="570" spans="1:8" ht="16.5" hidden="1" customHeight="1" x14ac:dyDescent="0.25">
      <c r="A570" s="57" t="s">
        <v>144</v>
      </c>
      <c r="B570" s="57"/>
      <c r="C570" s="57"/>
      <c r="D570" s="57"/>
      <c r="E570" s="57"/>
      <c r="F570" s="57"/>
      <c r="G570" s="57" t="e">
        <f t="shared" si="19"/>
        <v>#DIV/0!</v>
      </c>
      <c r="H570" s="57"/>
    </row>
    <row r="571" spans="1:8" ht="16.5" hidden="1" customHeight="1" x14ac:dyDescent="0.25">
      <c r="A571" s="57" t="s">
        <v>145</v>
      </c>
      <c r="B571" s="57"/>
      <c r="C571" s="57"/>
      <c r="D571" s="57"/>
      <c r="E571" s="57"/>
      <c r="F571" s="57"/>
      <c r="G571" s="57" t="e">
        <f t="shared" si="19"/>
        <v>#DIV/0!</v>
      </c>
      <c r="H571" s="57"/>
    </row>
    <row r="572" spans="1:8" ht="16.5" hidden="1" customHeight="1" x14ac:dyDescent="0.25">
      <c r="A572" s="57" t="s">
        <v>146</v>
      </c>
      <c r="B572" s="57"/>
      <c r="C572" s="57"/>
      <c r="D572" s="57"/>
      <c r="E572" s="57"/>
      <c r="F572" s="57"/>
      <c r="G572" s="57" t="e">
        <f t="shared" si="19"/>
        <v>#DIV/0!</v>
      </c>
      <c r="H572" s="57"/>
    </row>
    <row r="573" spans="1:8" ht="16.5" hidden="1" customHeight="1" x14ac:dyDescent="0.25">
      <c r="A573" s="57" t="s">
        <v>147</v>
      </c>
      <c r="B573" s="57"/>
      <c r="C573" s="57"/>
      <c r="D573" s="57"/>
      <c r="E573" s="57"/>
      <c r="F573" s="57"/>
      <c r="G573" s="57" t="e">
        <f t="shared" si="19"/>
        <v>#DIV/0!</v>
      </c>
      <c r="H573" s="57"/>
    </row>
    <row r="574" spans="1:8" ht="16.5" hidden="1" customHeight="1" x14ac:dyDescent="0.25">
      <c r="A574" s="57" t="s">
        <v>148</v>
      </c>
      <c r="B574" s="57"/>
      <c r="C574" s="57"/>
      <c r="D574" s="57"/>
      <c r="E574" s="57"/>
      <c r="F574" s="57"/>
      <c r="G574" s="57" t="e">
        <f t="shared" si="19"/>
        <v>#DIV/0!</v>
      </c>
      <c r="H574" s="57"/>
    </row>
    <row r="575" spans="1:8" hidden="1" x14ac:dyDescent="0.25">
      <c r="A575" s="57" t="s">
        <v>136</v>
      </c>
      <c r="B575" s="57"/>
      <c r="C575" s="57"/>
      <c r="D575" s="57"/>
      <c r="E575" s="57"/>
      <c r="F575" s="57"/>
      <c r="G575" s="57" t="e">
        <f t="shared" si="19"/>
        <v>#DIV/0!</v>
      </c>
      <c r="H575" s="57"/>
    </row>
    <row r="576" spans="1:8" hidden="1" x14ac:dyDescent="0.25">
      <c r="A576" s="57" t="s">
        <v>137</v>
      </c>
      <c r="B576" s="57"/>
      <c r="C576" s="57"/>
      <c r="D576" s="57"/>
      <c r="E576" s="57"/>
      <c r="F576" s="57"/>
      <c r="G576" s="57" t="e">
        <f t="shared" si="19"/>
        <v>#DIV/0!</v>
      </c>
      <c r="H576" s="57"/>
    </row>
    <row r="577" spans="1:8" hidden="1" x14ac:dyDescent="0.25">
      <c r="A577" s="57" t="s">
        <v>138</v>
      </c>
      <c r="B577" s="57"/>
      <c r="C577" s="57"/>
      <c r="D577" s="57"/>
      <c r="E577" s="57"/>
      <c r="F577" s="57"/>
      <c r="G577" s="57" t="e">
        <f t="shared" si="19"/>
        <v>#DIV/0!</v>
      </c>
      <c r="H577" s="57"/>
    </row>
    <row r="578" spans="1:8" hidden="1" x14ac:dyDescent="0.25">
      <c r="A578" s="57" t="s">
        <v>139</v>
      </c>
      <c r="B578" s="57"/>
      <c r="C578" s="57"/>
      <c r="D578" s="57"/>
      <c r="E578" s="57"/>
      <c r="F578" s="57"/>
      <c r="G578" s="57" t="e">
        <f t="shared" si="19"/>
        <v>#DIV/0!</v>
      </c>
      <c r="H578" s="57"/>
    </row>
    <row r="579" spans="1:8" hidden="1" x14ac:dyDescent="0.25">
      <c r="A579" s="57" t="s">
        <v>140</v>
      </c>
      <c r="B579" s="57"/>
      <c r="C579" s="57"/>
      <c r="D579" s="57"/>
      <c r="E579" s="57"/>
      <c r="F579" s="57"/>
      <c r="G579" s="57" t="e">
        <f t="shared" si="19"/>
        <v>#DIV/0!</v>
      </c>
      <c r="H579" s="57"/>
    </row>
    <row r="580" spans="1:8" hidden="1" x14ac:dyDescent="0.25">
      <c r="A580" s="57" t="s">
        <v>141</v>
      </c>
      <c r="B580" s="57"/>
      <c r="C580" s="57"/>
      <c r="D580" s="57"/>
      <c r="E580" s="57"/>
      <c r="F580" s="57"/>
      <c r="G580" s="57" t="e">
        <f t="shared" si="19"/>
        <v>#DIV/0!</v>
      </c>
      <c r="H580" s="57"/>
    </row>
    <row r="581" spans="1:8" hidden="1" x14ac:dyDescent="0.25"/>
    <row r="582" spans="1:8" ht="20.25" hidden="1" x14ac:dyDescent="0.3">
      <c r="A582" s="881" t="s">
        <v>208</v>
      </c>
      <c r="B582" s="882"/>
      <c r="C582" s="882"/>
      <c r="D582" s="882"/>
      <c r="E582" s="882"/>
      <c r="F582" s="882"/>
      <c r="G582" s="882"/>
      <c r="H582" s="883"/>
    </row>
    <row r="583" spans="1:8" ht="52.5" hidden="1" customHeight="1" x14ac:dyDescent="0.25">
      <c r="A583" s="595" t="s">
        <v>63</v>
      </c>
      <c r="B583" s="54" t="s">
        <v>200</v>
      </c>
      <c r="C583" s="74" t="s">
        <v>156</v>
      </c>
      <c r="D583" s="74" t="s">
        <v>176</v>
      </c>
      <c r="E583" s="74" t="s">
        <v>209</v>
      </c>
      <c r="F583" s="74" t="s">
        <v>210</v>
      </c>
      <c r="G583" s="74" t="s">
        <v>211</v>
      </c>
      <c r="H583" s="54" t="s">
        <v>189</v>
      </c>
    </row>
    <row r="584" spans="1:8" ht="16.5" hidden="1" customHeight="1" x14ac:dyDescent="0.25">
      <c r="A584" s="57" t="s">
        <v>143</v>
      </c>
      <c r="B584" s="57"/>
      <c r="C584" s="57"/>
      <c r="D584" s="57"/>
      <c r="E584" s="57"/>
      <c r="F584" s="57"/>
      <c r="G584" s="57" t="e">
        <f t="shared" ref="G584:G595" si="20">F584/E584</f>
        <v>#DIV/0!</v>
      </c>
      <c r="H584" s="57"/>
    </row>
    <row r="585" spans="1:8" ht="16.5" hidden="1" customHeight="1" x14ac:dyDescent="0.25">
      <c r="A585" s="57" t="s">
        <v>144</v>
      </c>
      <c r="B585" s="57"/>
      <c r="C585" s="57"/>
      <c r="D585" s="57"/>
      <c r="E585" s="57"/>
      <c r="F585" s="57"/>
      <c r="G585" s="57" t="e">
        <f t="shared" si="20"/>
        <v>#DIV/0!</v>
      </c>
      <c r="H585" s="57"/>
    </row>
    <row r="586" spans="1:8" ht="16.5" hidden="1" customHeight="1" x14ac:dyDescent="0.25">
      <c r="A586" s="57" t="s">
        <v>145</v>
      </c>
      <c r="B586" s="57"/>
      <c r="C586" s="57"/>
      <c r="D586" s="57"/>
      <c r="E586" s="57"/>
      <c r="F586" s="57"/>
      <c r="G586" s="57" t="e">
        <f t="shared" si="20"/>
        <v>#DIV/0!</v>
      </c>
      <c r="H586" s="57"/>
    </row>
    <row r="587" spans="1:8" ht="16.5" hidden="1" customHeight="1" x14ac:dyDescent="0.25">
      <c r="A587" s="57" t="s">
        <v>146</v>
      </c>
      <c r="B587" s="57"/>
      <c r="C587" s="57"/>
      <c r="D587" s="57"/>
      <c r="E587" s="57"/>
      <c r="F587" s="57"/>
      <c r="G587" s="57" t="e">
        <f t="shared" si="20"/>
        <v>#DIV/0!</v>
      </c>
      <c r="H587" s="57"/>
    </row>
    <row r="588" spans="1:8" ht="16.5" hidden="1" customHeight="1" x14ac:dyDescent="0.25">
      <c r="A588" s="57" t="s">
        <v>147</v>
      </c>
      <c r="B588" s="57"/>
      <c r="C588" s="57"/>
      <c r="D588" s="57"/>
      <c r="E588" s="57"/>
      <c r="F588" s="57"/>
      <c r="G588" s="57" t="e">
        <f t="shared" si="20"/>
        <v>#DIV/0!</v>
      </c>
      <c r="H588" s="57"/>
    </row>
    <row r="589" spans="1:8" ht="16.5" hidden="1" customHeight="1" x14ac:dyDescent="0.25">
      <c r="A589" s="57" t="s">
        <v>148</v>
      </c>
      <c r="B589" s="57"/>
      <c r="C589" s="57"/>
      <c r="D589" s="57"/>
      <c r="E589" s="57"/>
      <c r="F589" s="57"/>
      <c r="G589" s="57" t="e">
        <f t="shared" si="20"/>
        <v>#DIV/0!</v>
      </c>
      <c r="H589" s="57"/>
    </row>
    <row r="590" spans="1:8" hidden="1" x14ac:dyDescent="0.25">
      <c r="A590" s="57" t="s">
        <v>136</v>
      </c>
      <c r="B590" s="57"/>
      <c r="C590" s="57"/>
      <c r="D590" s="57"/>
      <c r="E590" s="57"/>
      <c r="F590" s="57"/>
      <c r="G590" s="57" t="e">
        <f t="shared" si="20"/>
        <v>#DIV/0!</v>
      </c>
      <c r="H590" s="57"/>
    </row>
    <row r="591" spans="1:8" hidden="1" x14ac:dyDescent="0.25">
      <c r="A591" s="57" t="s">
        <v>137</v>
      </c>
      <c r="B591" s="57"/>
      <c r="C591" s="57"/>
      <c r="D591" s="57"/>
      <c r="E591" s="57"/>
      <c r="F591" s="57"/>
      <c r="G591" s="57" t="e">
        <f t="shared" si="20"/>
        <v>#DIV/0!</v>
      </c>
      <c r="H591" s="57"/>
    </row>
    <row r="592" spans="1:8" hidden="1" x14ac:dyDescent="0.25">
      <c r="A592" s="57" t="s">
        <v>138</v>
      </c>
      <c r="B592" s="57"/>
      <c r="C592" s="57"/>
      <c r="D592" s="57"/>
      <c r="E592" s="57"/>
      <c r="F592" s="57"/>
      <c r="G592" s="57" t="e">
        <f t="shared" si="20"/>
        <v>#DIV/0!</v>
      </c>
      <c r="H592" s="57"/>
    </row>
    <row r="593" spans="1:8" hidden="1" x14ac:dyDescent="0.25">
      <c r="A593" s="57" t="s">
        <v>139</v>
      </c>
      <c r="B593" s="57"/>
      <c r="C593" s="57"/>
      <c r="D593" s="57"/>
      <c r="E593" s="57"/>
      <c r="F593" s="57"/>
      <c r="G593" s="57" t="e">
        <f t="shared" si="20"/>
        <v>#DIV/0!</v>
      </c>
      <c r="H593" s="57"/>
    </row>
    <row r="594" spans="1:8" hidden="1" x14ac:dyDescent="0.25">
      <c r="A594" s="57" t="s">
        <v>140</v>
      </c>
      <c r="B594" s="57"/>
      <c r="C594" s="57"/>
      <c r="D594" s="57"/>
      <c r="E594" s="57"/>
      <c r="F594" s="57"/>
      <c r="G594" s="57" t="e">
        <f t="shared" si="20"/>
        <v>#DIV/0!</v>
      </c>
      <c r="H594" s="57"/>
    </row>
    <row r="595" spans="1:8" hidden="1" x14ac:dyDescent="0.25">
      <c r="A595" s="57" t="s">
        <v>141</v>
      </c>
      <c r="B595" s="57"/>
      <c r="C595" s="57"/>
      <c r="D595" s="57"/>
      <c r="E595" s="57"/>
      <c r="F595" s="57"/>
      <c r="G595" s="57" t="e">
        <f t="shared" si="20"/>
        <v>#DIV/0!</v>
      </c>
      <c r="H595" s="57"/>
    </row>
    <row r="596" spans="1:8" hidden="1" x14ac:dyDescent="0.25"/>
    <row r="597" spans="1:8" ht="20.25" hidden="1" x14ac:dyDescent="0.3">
      <c r="A597" s="881" t="s">
        <v>212</v>
      </c>
      <c r="B597" s="882"/>
      <c r="C597" s="882"/>
      <c r="D597" s="882"/>
      <c r="E597" s="882"/>
      <c r="F597" s="882"/>
      <c r="G597" s="882"/>
      <c r="H597" s="883"/>
    </row>
    <row r="598" spans="1:8" ht="63.75" hidden="1" customHeight="1" x14ac:dyDescent="0.25">
      <c r="A598" s="595" t="s">
        <v>64</v>
      </c>
      <c r="B598" s="54" t="s">
        <v>200</v>
      </c>
      <c r="C598" s="74" t="s">
        <v>156</v>
      </c>
      <c r="D598" s="74" t="s">
        <v>181</v>
      </c>
      <c r="E598" s="74" t="s">
        <v>213</v>
      </c>
      <c r="F598" s="74" t="s">
        <v>214</v>
      </c>
      <c r="G598" s="74" t="s">
        <v>215</v>
      </c>
      <c r="H598" s="54" t="s">
        <v>189</v>
      </c>
    </row>
    <row r="599" spans="1:8" hidden="1" x14ac:dyDescent="0.25">
      <c r="A599" s="57" t="s">
        <v>143</v>
      </c>
      <c r="B599" s="57"/>
      <c r="C599" s="57"/>
      <c r="D599" s="57"/>
      <c r="E599" s="57"/>
      <c r="F599" s="57"/>
      <c r="G599" s="57" t="e">
        <f t="shared" ref="G599:G610" si="21">F599/E599</f>
        <v>#DIV/0!</v>
      </c>
      <c r="H599" s="57"/>
    </row>
    <row r="600" spans="1:8" hidden="1" x14ac:dyDescent="0.25">
      <c r="A600" s="57" t="s">
        <v>144</v>
      </c>
      <c r="B600" s="57"/>
      <c r="C600" s="57"/>
      <c r="D600" s="57"/>
      <c r="E600" s="57"/>
      <c r="F600" s="57"/>
      <c r="G600" s="57" t="e">
        <f t="shared" si="21"/>
        <v>#DIV/0!</v>
      </c>
      <c r="H600" s="57"/>
    </row>
    <row r="601" spans="1:8" hidden="1" x14ac:dyDescent="0.25">
      <c r="A601" s="57" t="s">
        <v>145</v>
      </c>
      <c r="B601" s="57"/>
      <c r="C601" s="57"/>
      <c r="D601" s="57"/>
      <c r="E601" s="57"/>
      <c r="F601" s="57"/>
      <c r="G601" s="57" t="e">
        <f t="shared" si="21"/>
        <v>#DIV/0!</v>
      </c>
      <c r="H601" s="57"/>
    </row>
    <row r="602" spans="1:8" hidden="1" x14ac:dyDescent="0.25">
      <c r="A602" s="57" t="s">
        <v>146</v>
      </c>
      <c r="B602" s="57"/>
      <c r="C602" s="57"/>
      <c r="D602" s="57"/>
      <c r="E602" s="57"/>
      <c r="F602" s="57"/>
      <c r="G602" s="57" t="e">
        <f t="shared" si="21"/>
        <v>#DIV/0!</v>
      </c>
      <c r="H602" s="57"/>
    </row>
    <row r="603" spans="1:8" hidden="1" x14ac:dyDescent="0.25">
      <c r="A603" s="57" t="s">
        <v>147</v>
      </c>
      <c r="B603" s="57"/>
      <c r="C603" s="57"/>
      <c r="D603" s="57"/>
      <c r="E603" s="57"/>
      <c r="F603" s="57"/>
      <c r="G603" s="57" t="e">
        <f t="shared" si="21"/>
        <v>#DIV/0!</v>
      </c>
      <c r="H603" s="57"/>
    </row>
    <row r="604" spans="1:8" hidden="1" x14ac:dyDescent="0.25">
      <c r="A604" s="57" t="s">
        <v>148</v>
      </c>
      <c r="B604" s="57"/>
      <c r="C604" s="57"/>
      <c r="D604" s="57"/>
      <c r="E604" s="57"/>
      <c r="F604" s="57"/>
      <c r="G604" s="57" t="e">
        <f t="shared" si="21"/>
        <v>#DIV/0!</v>
      </c>
      <c r="H604" s="57"/>
    </row>
    <row r="605" spans="1:8" hidden="1" x14ac:dyDescent="0.25">
      <c r="A605" s="57" t="s">
        <v>136</v>
      </c>
      <c r="B605" s="57"/>
      <c r="C605" s="57"/>
      <c r="D605" s="57"/>
      <c r="E605" s="57"/>
      <c r="F605" s="57"/>
      <c r="G605" s="57" t="e">
        <f t="shared" si="21"/>
        <v>#DIV/0!</v>
      </c>
      <c r="H605" s="57"/>
    </row>
    <row r="606" spans="1:8" hidden="1" x14ac:dyDescent="0.25">
      <c r="A606" s="57" t="s">
        <v>137</v>
      </c>
      <c r="B606" s="57"/>
      <c r="C606" s="57"/>
      <c r="D606" s="57"/>
      <c r="E606" s="57"/>
      <c r="F606" s="57"/>
      <c r="G606" s="57" t="e">
        <f t="shared" si="21"/>
        <v>#DIV/0!</v>
      </c>
      <c r="H606" s="57"/>
    </row>
    <row r="607" spans="1:8" hidden="1" x14ac:dyDescent="0.25">
      <c r="A607" s="57" t="s">
        <v>138</v>
      </c>
      <c r="B607" s="57"/>
      <c r="C607" s="57"/>
      <c r="D607" s="57"/>
      <c r="E607" s="57"/>
      <c r="F607" s="57"/>
      <c r="G607" s="57" t="e">
        <f t="shared" si="21"/>
        <v>#DIV/0!</v>
      </c>
      <c r="H607" s="57"/>
    </row>
    <row r="608" spans="1:8" hidden="1" x14ac:dyDescent="0.25">
      <c r="A608" s="57" t="s">
        <v>139</v>
      </c>
      <c r="B608" s="57"/>
      <c r="C608" s="57"/>
      <c r="D608" s="57"/>
      <c r="E608" s="57"/>
      <c r="F608" s="57"/>
      <c r="G608" s="57" t="e">
        <f t="shared" si="21"/>
        <v>#DIV/0!</v>
      </c>
      <c r="H608" s="57"/>
    </row>
    <row r="609" spans="1:50" hidden="1" x14ac:dyDescent="0.25">
      <c r="A609" s="57" t="s">
        <v>140</v>
      </c>
      <c r="B609" s="57"/>
      <c r="C609" s="57"/>
      <c r="D609" s="57"/>
      <c r="E609" s="57"/>
      <c r="F609" s="57"/>
      <c r="G609" s="57" t="e">
        <f t="shared" si="21"/>
        <v>#DIV/0!</v>
      </c>
      <c r="H609" s="57"/>
    </row>
    <row r="610" spans="1:50" ht="22.15" hidden="1" customHeight="1" x14ac:dyDescent="0.25">
      <c r="A610" s="57" t="s">
        <v>141</v>
      </c>
      <c r="B610" s="57"/>
      <c r="C610" s="57"/>
      <c r="D610" s="57"/>
      <c r="E610" s="57"/>
      <c r="F610" s="57"/>
      <c r="G610" s="57" t="e">
        <f t="shared" si="21"/>
        <v>#DIV/0!</v>
      </c>
      <c r="H610" s="57"/>
    </row>
    <row r="611" spans="1:50" ht="18" x14ac:dyDescent="0.25">
      <c r="A611" s="29" t="s">
        <v>35</v>
      </c>
      <c r="B611" s="27"/>
      <c r="C611" s="27"/>
      <c r="D611" s="27"/>
      <c r="E611" s="28"/>
      <c r="F611" s="159"/>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116"/>
      <c r="AE611" s="27"/>
      <c r="AF611" s="27"/>
      <c r="AG611" s="27"/>
      <c r="AH611" s="27"/>
      <c r="AI611" s="27"/>
      <c r="AJ611" s="30"/>
      <c r="AK611" s="30"/>
      <c r="AL611" s="30"/>
      <c r="AM611" s="30"/>
      <c r="AN611" s="30"/>
      <c r="AO611" s="30"/>
      <c r="AP611" s="52"/>
      <c r="AQ611" s="52"/>
      <c r="AR611" s="31"/>
      <c r="AS611" s="31"/>
      <c r="AT611" s="31"/>
      <c r="AU611" s="31"/>
      <c r="AV611" s="31"/>
      <c r="AW611" s="31"/>
      <c r="AX611" s="31"/>
    </row>
    <row r="612" spans="1:50" ht="18" x14ac:dyDescent="0.25">
      <c r="A612" s="32" t="s">
        <v>36</v>
      </c>
      <c r="B612" s="857" t="s">
        <v>37</v>
      </c>
      <c r="C612" s="858"/>
      <c r="D612" s="859"/>
      <c r="E612" s="860" t="s">
        <v>38</v>
      </c>
      <c r="F612" s="860"/>
      <c r="G612" s="860"/>
      <c r="H612" s="860"/>
      <c r="I612" s="860"/>
      <c r="J612" s="860"/>
      <c r="K612" s="860"/>
      <c r="L612" s="860"/>
      <c r="M612" s="860"/>
      <c r="N612" s="860"/>
      <c r="O612" s="860"/>
      <c r="P612" s="860"/>
      <c r="Q612" s="860"/>
      <c r="R612" s="860"/>
      <c r="S612" s="27"/>
      <c r="T612" s="27"/>
      <c r="U612" s="27"/>
      <c r="V612" s="27"/>
      <c r="W612" s="27"/>
      <c r="X612" s="27"/>
      <c r="Y612" s="27"/>
      <c r="Z612" s="27"/>
      <c r="AA612" s="27"/>
      <c r="AB612" s="27"/>
      <c r="AC612" s="27"/>
      <c r="AD612" s="116"/>
      <c r="AE612" s="27"/>
      <c r="AF612" s="27"/>
      <c r="AG612" s="27"/>
      <c r="AH612" s="27"/>
      <c r="AI612" s="27"/>
      <c r="AJ612" s="30"/>
      <c r="AK612" s="30"/>
      <c r="AL612" s="30"/>
      <c r="AM612" s="30"/>
      <c r="AN612" s="30"/>
      <c r="AO612" s="30"/>
      <c r="AP612" s="52"/>
      <c r="AQ612" s="52"/>
      <c r="AR612" s="30"/>
      <c r="AS612" s="30"/>
      <c r="AT612" s="30"/>
      <c r="AU612" s="30"/>
      <c r="AV612" s="30"/>
      <c r="AW612" s="30"/>
      <c r="AX612" s="52"/>
    </row>
    <row r="613" spans="1:50" ht="18" x14ac:dyDescent="0.25">
      <c r="A613" s="592">
        <v>13</v>
      </c>
      <c r="B613" s="861" t="s">
        <v>97</v>
      </c>
      <c r="C613" s="862"/>
      <c r="D613" s="863"/>
      <c r="E613" s="864" t="s">
        <v>88</v>
      </c>
      <c r="F613" s="864"/>
      <c r="G613" s="864"/>
      <c r="H613" s="864"/>
      <c r="I613" s="864"/>
      <c r="J613" s="864"/>
      <c r="K613" s="864"/>
      <c r="L613" s="864"/>
      <c r="M613" s="864"/>
      <c r="N613" s="864"/>
      <c r="O613" s="864"/>
      <c r="P613" s="864"/>
      <c r="Q613" s="864"/>
      <c r="R613" s="864"/>
      <c r="S613" s="27"/>
      <c r="T613" s="27"/>
      <c r="U613" s="27"/>
      <c r="V613" s="27"/>
      <c r="W613" s="27"/>
      <c r="X613" s="27"/>
      <c r="Y613" s="27"/>
      <c r="Z613" s="27"/>
      <c r="AA613" s="27"/>
      <c r="AB613" s="27"/>
      <c r="AC613" s="27"/>
      <c r="AD613" s="116"/>
      <c r="AE613" s="27"/>
      <c r="AF613" s="27"/>
      <c r="AG613" s="27"/>
      <c r="AH613" s="27"/>
      <c r="AI613" s="27"/>
      <c r="AJ613" s="30"/>
      <c r="AK613" s="30"/>
      <c r="AL613" s="30"/>
      <c r="AM613" s="30"/>
      <c r="AN613" s="30"/>
      <c r="AO613" s="30"/>
      <c r="AP613" s="52"/>
      <c r="AQ613" s="52"/>
      <c r="AR613" s="30"/>
      <c r="AS613" s="30"/>
      <c r="AT613" s="30"/>
      <c r="AU613" s="30"/>
      <c r="AV613" s="30"/>
      <c r="AW613" s="30"/>
      <c r="AX613" s="52"/>
    </row>
    <row r="614" spans="1:50" x14ac:dyDescent="0.25">
      <c r="A614" s="592">
        <v>14</v>
      </c>
      <c r="B614" s="861" t="s">
        <v>351</v>
      </c>
      <c r="C614" s="862"/>
      <c r="D614" s="863"/>
      <c r="E614" s="864"/>
      <c r="F614" s="864"/>
      <c r="G614" s="864"/>
      <c r="H614" s="864"/>
      <c r="I614" s="864"/>
      <c r="J614" s="864"/>
      <c r="K614" s="864"/>
      <c r="L614" s="864"/>
      <c r="M614" s="864"/>
      <c r="N614" s="864"/>
      <c r="O614" s="864"/>
      <c r="P614" s="864"/>
      <c r="Q614" s="864"/>
      <c r="R614" s="864"/>
      <c r="S614" s="27"/>
      <c r="T614" s="27"/>
      <c r="U614" s="27"/>
      <c r="V614" s="27"/>
      <c r="W614" s="27"/>
      <c r="X614" s="27"/>
      <c r="Y614" s="27"/>
      <c r="Z614" s="27"/>
      <c r="AA614" s="27"/>
      <c r="AB614" s="27"/>
      <c r="AC614" s="27"/>
      <c r="AD614" s="116"/>
      <c r="AE614" s="27"/>
      <c r="AF614" s="27"/>
      <c r="AG614" s="27"/>
      <c r="AH614" s="27"/>
      <c r="AI614" s="27"/>
      <c r="AJ614" s="27"/>
      <c r="AK614" s="27"/>
      <c r="AL614" s="27"/>
      <c r="AM614" s="27"/>
      <c r="AN614" s="27"/>
      <c r="AO614" s="27"/>
      <c r="AP614" s="51"/>
      <c r="AQ614" s="51"/>
      <c r="AR614" s="27"/>
      <c r="AS614" s="27"/>
      <c r="AT614" s="27"/>
      <c r="AU614" s="27"/>
      <c r="AV614" s="27"/>
      <c r="AW614" s="27"/>
      <c r="AX614" s="51"/>
    </row>
  </sheetData>
  <mergeCells count="287">
    <mergeCell ref="A5:B5"/>
    <mergeCell ref="C5:N5"/>
    <mergeCell ref="A7:I7"/>
    <mergeCell ref="A9:A18"/>
    <mergeCell ref="B10:B11"/>
    <mergeCell ref="B13:B14"/>
    <mergeCell ref="B15:B16"/>
    <mergeCell ref="A1:B3"/>
    <mergeCell ref="C1:N1"/>
    <mergeCell ref="C2:N2"/>
    <mergeCell ref="C3:G3"/>
    <mergeCell ref="H3:N3"/>
    <mergeCell ref="A4:B4"/>
    <mergeCell ref="C4:N4"/>
    <mergeCell ref="A39:A48"/>
    <mergeCell ref="B40:B41"/>
    <mergeCell ref="B43:B44"/>
    <mergeCell ref="B45:B46"/>
    <mergeCell ref="A49:A58"/>
    <mergeCell ref="B50:B51"/>
    <mergeCell ref="B53:B54"/>
    <mergeCell ref="B55:B56"/>
    <mergeCell ref="A19:A28"/>
    <mergeCell ref="B20:B21"/>
    <mergeCell ref="B23:B24"/>
    <mergeCell ref="B25:B26"/>
    <mergeCell ref="A29:A38"/>
    <mergeCell ref="B30:B31"/>
    <mergeCell ref="B33:B34"/>
    <mergeCell ref="B35:B36"/>
    <mergeCell ref="A82:A92"/>
    <mergeCell ref="B84:B86"/>
    <mergeCell ref="B87:B88"/>
    <mergeCell ref="B90:B91"/>
    <mergeCell ref="A93:A103"/>
    <mergeCell ref="B95:B97"/>
    <mergeCell ref="B98:B99"/>
    <mergeCell ref="B101:B102"/>
    <mergeCell ref="A59:A68"/>
    <mergeCell ref="B60:B61"/>
    <mergeCell ref="B63:B64"/>
    <mergeCell ref="B65:B66"/>
    <mergeCell ref="A70:I70"/>
    <mergeCell ref="A72:A81"/>
    <mergeCell ref="B73:B74"/>
    <mergeCell ref="B75:B76"/>
    <mergeCell ref="B77:B78"/>
    <mergeCell ref="A126:A136"/>
    <mergeCell ref="B128:B130"/>
    <mergeCell ref="B131:B132"/>
    <mergeCell ref="B134:B135"/>
    <mergeCell ref="A144:H144"/>
    <mergeCell ref="A159:H159"/>
    <mergeCell ref="A104:A114"/>
    <mergeCell ref="B106:B108"/>
    <mergeCell ref="B109:B110"/>
    <mergeCell ref="B112:B113"/>
    <mergeCell ref="A115:A125"/>
    <mergeCell ref="B117:B119"/>
    <mergeCell ref="B120:B121"/>
    <mergeCell ref="B123:B124"/>
    <mergeCell ref="A174:H174"/>
    <mergeCell ref="A189:N189"/>
    <mergeCell ref="A191:A197"/>
    <mergeCell ref="B191:B193"/>
    <mergeCell ref="C191:C193"/>
    <mergeCell ref="D191:D193"/>
    <mergeCell ref="E191:E193"/>
    <mergeCell ref="F191:F193"/>
    <mergeCell ref="B196:B197"/>
    <mergeCell ref="C196:C197"/>
    <mergeCell ref="D196:D197"/>
    <mergeCell ref="E196:E197"/>
    <mergeCell ref="F196:F197"/>
    <mergeCell ref="A198:A204"/>
    <mergeCell ref="B198:B200"/>
    <mergeCell ref="C198:C200"/>
    <mergeCell ref="D198:D200"/>
    <mergeCell ref="E198:E200"/>
    <mergeCell ref="F198:F200"/>
    <mergeCell ref="B203:B204"/>
    <mergeCell ref="A212:A218"/>
    <mergeCell ref="B212:B214"/>
    <mergeCell ref="C212:C214"/>
    <mergeCell ref="D212:D214"/>
    <mergeCell ref="E212:E214"/>
    <mergeCell ref="C203:C204"/>
    <mergeCell ref="D203:D204"/>
    <mergeCell ref="E203:E204"/>
    <mergeCell ref="F203:F204"/>
    <mergeCell ref="A205:A211"/>
    <mergeCell ref="B205:B207"/>
    <mergeCell ref="C205:C207"/>
    <mergeCell ref="D205:D207"/>
    <mergeCell ref="E205:E207"/>
    <mergeCell ref="F205:F207"/>
    <mergeCell ref="F212:F214"/>
    <mergeCell ref="B217:B218"/>
    <mergeCell ref="C217:C218"/>
    <mergeCell ref="D217:D218"/>
    <mergeCell ref="E217:E218"/>
    <mergeCell ref="F217:F218"/>
    <mergeCell ref="B210:B211"/>
    <mergeCell ref="C210:C211"/>
    <mergeCell ref="D210:D211"/>
    <mergeCell ref="E210:E211"/>
    <mergeCell ref="F210:F211"/>
    <mergeCell ref="F224:F225"/>
    <mergeCell ref="A226:A232"/>
    <mergeCell ref="B226:B228"/>
    <mergeCell ref="C226:C228"/>
    <mergeCell ref="D226:D228"/>
    <mergeCell ref="E226:E228"/>
    <mergeCell ref="F226:F228"/>
    <mergeCell ref="B231:B232"/>
    <mergeCell ref="C231:C232"/>
    <mergeCell ref="D231:D232"/>
    <mergeCell ref="A219:A225"/>
    <mergeCell ref="B219:B221"/>
    <mergeCell ref="C219:C221"/>
    <mergeCell ref="D219:D221"/>
    <mergeCell ref="E219:E221"/>
    <mergeCell ref="F219:F221"/>
    <mergeCell ref="B224:B225"/>
    <mergeCell ref="C224:C225"/>
    <mergeCell ref="D224:D225"/>
    <mergeCell ref="E224:E225"/>
    <mergeCell ref="E231:E232"/>
    <mergeCell ref="F231:F232"/>
    <mergeCell ref="A234:N234"/>
    <mergeCell ref="A236:A242"/>
    <mergeCell ref="B236:B238"/>
    <mergeCell ref="C236:C238"/>
    <mergeCell ref="D236:D238"/>
    <mergeCell ref="E236:E238"/>
    <mergeCell ref="F236:F238"/>
    <mergeCell ref="B241:B242"/>
    <mergeCell ref="A250:A256"/>
    <mergeCell ref="B250:B252"/>
    <mergeCell ref="C250:C252"/>
    <mergeCell ref="D250:D252"/>
    <mergeCell ref="E250:E252"/>
    <mergeCell ref="C241:C242"/>
    <mergeCell ref="D241:D242"/>
    <mergeCell ref="E241:E242"/>
    <mergeCell ref="F241:F242"/>
    <mergeCell ref="A243:A249"/>
    <mergeCell ref="B243:B245"/>
    <mergeCell ref="C243:C245"/>
    <mergeCell ref="D243:D245"/>
    <mergeCell ref="E243:E245"/>
    <mergeCell ref="F243:F245"/>
    <mergeCell ref="F250:F252"/>
    <mergeCell ref="B255:B256"/>
    <mergeCell ref="C255:C256"/>
    <mergeCell ref="D255:D256"/>
    <mergeCell ref="E255:E256"/>
    <mergeCell ref="F255:F256"/>
    <mergeCell ref="B248:B249"/>
    <mergeCell ref="C248:C249"/>
    <mergeCell ref="D248:D249"/>
    <mergeCell ref="E248:E249"/>
    <mergeCell ref="F248:F249"/>
    <mergeCell ref="F262:F263"/>
    <mergeCell ref="A264:A270"/>
    <mergeCell ref="B264:B266"/>
    <mergeCell ref="C264:C266"/>
    <mergeCell ref="D264:D266"/>
    <mergeCell ref="E264:E266"/>
    <mergeCell ref="F264:F266"/>
    <mergeCell ref="B269:B270"/>
    <mergeCell ref="C269:C270"/>
    <mergeCell ref="D269:D270"/>
    <mergeCell ref="A257:A263"/>
    <mergeCell ref="B257:B259"/>
    <mergeCell ref="C257:C259"/>
    <mergeCell ref="D257:D259"/>
    <mergeCell ref="E257:E259"/>
    <mergeCell ref="F257:F259"/>
    <mergeCell ref="B262:B263"/>
    <mergeCell ref="C262:C263"/>
    <mergeCell ref="D262:D263"/>
    <mergeCell ref="E262:E263"/>
    <mergeCell ref="E269:E270"/>
    <mergeCell ref="F269:F270"/>
    <mergeCell ref="A332:A338"/>
    <mergeCell ref="B332:B334"/>
    <mergeCell ref="C332:C334"/>
    <mergeCell ref="B337:B338"/>
    <mergeCell ref="C337:C338"/>
    <mergeCell ref="D276:D277"/>
    <mergeCell ref="E276:E277"/>
    <mergeCell ref="F276:F277"/>
    <mergeCell ref="A285:N285"/>
    <mergeCell ref="A300:N300"/>
    <mergeCell ref="A315:N315"/>
    <mergeCell ref="A271:A277"/>
    <mergeCell ref="B271:B273"/>
    <mergeCell ref="C271:C273"/>
    <mergeCell ref="D271:D273"/>
    <mergeCell ref="E271:E273"/>
    <mergeCell ref="F271:F273"/>
    <mergeCell ref="B276:B277"/>
    <mergeCell ref="C276:C277"/>
    <mergeCell ref="A330:G330"/>
    <mergeCell ref="A339:A345"/>
    <mergeCell ref="B339:B341"/>
    <mergeCell ref="C339:C341"/>
    <mergeCell ref="B344:B345"/>
    <mergeCell ref="C344:C345"/>
    <mergeCell ref="A346:A352"/>
    <mergeCell ref="B346:B348"/>
    <mergeCell ref="C346:C348"/>
    <mergeCell ref="B351:B352"/>
    <mergeCell ref="C351:C352"/>
    <mergeCell ref="A367:A373"/>
    <mergeCell ref="B367:B369"/>
    <mergeCell ref="C367:C369"/>
    <mergeCell ref="B372:B373"/>
    <mergeCell ref="C372:C373"/>
    <mergeCell ref="A375:G375"/>
    <mergeCell ref="A353:A359"/>
    <mergeCell ref="B353:B355"/>
    <mergeCell ref="C353:C355"/>
    <mergeCell ref="B358:B359"/>
    <mergeCell ref="C358:C359"/>
    <mergeCell ref="A360:A366"/>
    <mergeCell ref="B360:B362"/>
    <mergeCell ref="C360:C362"/>
    <mergeCell ref="B365:B366"/>
    <mergeCell ref="C365:C366"/>
    <mergeCell ref="A377:A383"/>
    <mergeCell ref="B377:B379"/>
    <mergeCell ref="C377:C379"/>
    <mergeCell ref="B382:B383"/>
    <mergeCell ref="C382:C383"/>
    <mergeCell ref="A384:A390"/>
    <mergeCell ref="B384:B386"/>
    <mergeCell ref="C384:C386"/>
    <mergeCell ref="B389:B390"/>
    <mergeCell ref="C389:C390"/>
    <mergeCell ref="A391:A397"/>
    <mergeCell ref="B391:B393"/>
    <mergeCell ref="C391:C393"/>
    <mergeCell ref="B396:B397"/>
    <mergeCell ref="C396:C397"/>
    <mergeCell ref="A398:A404"/>
    <mergeCell ref="B398:B400"/>
    <mergeCell ref="C398:C400"/>
    <mergeCell ref="B403:B404"/>
    <mergeCell ref="C403:C404"/>
    <mergeCell ref="A405:A411"/>
    <mergeCell ref="B405:B407"/>
    <mergeCell ref="C405:C407"/>
    <mergeCell ref="B410:B411"/>
    <mergeCell ref="C410:C411"/>
    <mergeCell ref="A412:A418"/>
    <mergeCell ref="B412:B414"/>
    <mergeCell ref="C412:C414"/>
    <mergeCell ref="B417:B418"/>
    <mergeCell ref="C417:C418"/>
    <mergeCell ref="A487:A493"/>
    <mergeCell ref="A494:A500"/>
    <mergeCell ref="A501:A507"/>
    <mergeCell ref="A508:A514"/>
    <mergeCell ref="A516:H516"/>
    <mergeCell ref="A518:A524"/>
    <mergeCell ref="A426:G426"/>
    <mergeCell ref="A441:G441"/>
    <mergeCell ref="A456:G456"/>
    <mergeCell ref="A471:H471"/>
    <mergeCell ref="A473:A479"/>
    <mergeCell ref="A480:A486"/>
    <mergeCell ref="B614:D614"/>
    <mergeCell ref="E612:R612"/>
    <mergeCell ref="E613:R613"/>
    <mergeCell ref="E614:R614"/>
    <mergeCell ref="A582:H582"/>
    <mergeCell ref="A597:H597"/>
    <mergeCell ref="B612:D612"/>
    <mergeCell ref="B613:D613"/>
    <mergeCell ref="A525:A531"/>
    <mergeCell ref="A532:A538"/>
    <mergeCell ref="A539:A545"/>
    <mergeCell ref="A546:A552"/>
    <mergeCell ref="A553:A559"/>
    <mergeCell ref="A567:H567"/>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567"/>
  <sheetViews>
    <sheetView zoomScale="90" zoomScaleNormal="90" workbookViewId="0">
      <selection activeCell="J25" sqref="J25"/>
    </sheetView>
  </sheetViews>
  <sheetFormatPr baseColWidth="10" defaultRowHeight="15" x14ac:dyDescent="0.25"/>
  <cols>
    <col min="1" max="1" width="16.42578125" customWidth="1"/>
    <col min="2" max="2" width="37.7109375" bestFit="1" customWidth="1"/>
    <col min="3" max="3" width="19.140625" customWidth="1"/>
    <col min="4" max="4" width="22.7109375" customWidth="1"/>
    <col min="5" max="5" width="24.71093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1.42578125" style="96"/>
  </cols>
  <sheetData>
    <row r="1" spans="1:14" ht="30" x14ac:dyDescent="0.25">
      <c r="A1" s="808"/>
      <c r="B1" s="1017"/>
      <c r="C1" s="1021" t="s">
        <v>39</v>
      </c>
      <c r="D1" s="1022"/>
      <c r="E1" s="1022"/>
      <c r="F1" s="1022"/>
      <c r="G1" s="1022"/>
      <c r="H1" s="1022"/>
      <c r="I1" s="1022"/>
      <c r="J1" s="1022"/>
      <c r="K1" s="1022"/>
      <c r="L1" s="1022"/>
      <c r="M1" s="1022"/>
      <c r="N1" s="1023"/>
    </row>
    <row r="2" spans="1:14" ht="18.75" thickBot="1" x14ac:dyDescent="0.3">
      <c r="A2" s="810"/>
      <c r="B2" s="1018"/>
      <c r="C2" s="1024" t="s">
        <v>127</v>
      </c>
      <c r="D2" s="911"/>
      <c r="E2" s="911"/>
      <c r="F2" s="911"/>
      <c r="G2" s="911"/>
      <c r="H2" s="1025"/>
      <c r="I2" s="1025"/>
      <c r="J2" s="1025"/>
      <c r="K2" s="1025"/>
      <c r="L2" s="1025"/>
      <c r="M2" s="1025"/>
      <c r="N2" s="1026"/>
    </row>
    <row r="3" spans="1:14" ht="27" thickBot="1" x14ac:dyDescent="0.45">
      <c r="A3" s="1019"/>
      <c r="B3" s="1020"/>
      <c r="C3" s="1027" t="s">
        <v>40</v>
      </c>
      <c r="D3" s="1028"/>
      <c r="E3" s="1028"/>
      <c r="F3" s="1028"/>
      <c r="G3" s="1028"/>
      <c r="H3" s="1029" t="s">
        <v>73</v>
      </c>
      <c r="I3" s="1030"/>
      <c r="J3" s="1030"/>
      <c r="K3" s="1030"/>
      <c r="L3" s="1030"/>
      <c r="M3" s="1030"/>
      <c r="N3" s="1031"/>
    </row>
    <row r="4" spans="1:14" ht="15.75" thickBot="1" x14ac:dyDescent="0.3">
      <c r="A4" s="1032" t="s">
        <v>0</v>
      </c>
      <c r="B4" s="1033"/>
      <c r="C4" s="1034" t="s">
        <v>70</v>
      </c>
      <c r="D4" s="1034"/>
      <c r="E4" s="1034"/>
      <c r="F4" s="1034"/>
      <c r="G4" s="1034"/>
      <c r="H4" s="1034"/>
      <c r="I4" s="1034"/>
      <c r="J4" s="1034"/>
      <c r="K4" s="1034"/>
      <c r="L4" s="1034"/>
      <c r="M4" s="1034"/>
      <c r="N4" s="1035"/>
    </row>
    <row r="5" spans="1:14" ht="15.75" thickBot="1" x14ac:dyDescent="0.3">
      <c r="A5" s="1007" t="s">
        <v>2</v>
      </c>
      <c r="B5" s="1008"/>
      <c r="C5" s="1009" t="s">
        <v>71</v>
      </c>
      <c r="D5" s="1009"/>
      <c r="E5" s="1009"/>
      <c r="F5" s="1009"/>
      <c r="G5" s="1009"/>
      <c r="H5" s="1009"/>
      <c r="I5" s="1009"/>
      <c r="J5" s="1009"/>
      <c r="K5" s="1009"/>
      <c r="L5" s="1009"/>
      <c r="M5" s="1009"/>
      <c r="N5" s="1010"/>
    </row>
    <row r="6" spans="1:14" ht="15.75" thickBot="1" x14ac:dyDescent="0.3"/>
    <row r="7" spans="1:14" ht="20.25" x14ac:dyDescent="0.25">
      <c r="A7" s="966" t="s">
        <v>128</v>
      </c>
      <c r="B7" s="967"/>
      <c r="C7" s="967"/>
      <c r="D7" s="967"/>
      <c r="E7" s="967"/>
      <c r="F7" s="967"/>
      <c r="G7" s="967"/>
      <c r="H7" s="968"/>
    </row>
    <row r="8" spans="1:14" ht="26.25" thickBot="1" x14ac:dyDescent="0.3">
      <c r="A8" s="86" t="s">
        <v>49</v>
      </c>
      <c r="B8" s="87" t="s">
        <v>129</v>
      </c>
      <c r="C8" s="87" t="s">
        <v>130</v>
      </c>
      <c r="D8" s="87" t="s">
        <v>131</v>
      </c>
      <c r="E8" s="87" t="s">
        <v>132</v>
      </c>
      <c r="F8" s="87" t="s">
        <v>133</v>
      </c>
      <c r="G8" s="87" t="s">
        <v>134</v>
      </c>
      <c r="H8" s="88" t="s">
        <v>135</v>
      </c>
    </row>
    <row r="9" spans="1:14" x14ac:dyDescent="0.25">
      <c r="A9" s="987" t="s">
        <v>136</v>
      </c>
      <c r="B9" s="89" t="s">
        <v>216</v>
      </c>
      <c r="C9" s="90">
        <v>1709485448</v>
      </c>
      <c r="D9" s="90">
        <v>1709485448</v>
      </c>
      <c r="E9" s="1002">
        <v>15250000</v>
      </c>
      <c r="F9" s="1011">
        <f>+E9</f>
        <v>15250000</v>
      </c>
      <c r="G9" s="1014"/>
      <c r="H9" s="1014"/>
    </row>
    <row r="10" spans="1:14" x14ac:dyDescent="0.25">
      <c r="A10" s="988"/>
      <c r="B10" s="76" t="s">
        <v>217</v>
      </c>
      <c r="C10" s="77">
        <v>295362955</v>
      </c>
      <c r="D10" s="77">
        <v>295362955</v>
      </c>
      <c r="E10" s="1003"/>
      <c r="F10" s="1012"/>
      <c r="G10" s="1015"/>
      <c r="H10" s="1015"/>
    </row>
    <row r="11" spans="1:14" x14ac:dyDescent="0.25">
      <c r="A11" s="988"/>
      <c r="B11" s="76" t="s">
        <v>218</v>
      </c>
      <c r="C11" s="77">
        <v>1241705000</v>
      </c>
      <c r="D11" s="77">
        <v>1241705000</v>
      </c>
      <c r="E11" s="1003"/>
      <c r="F11" s="1012"/>
      <c r="G11" s="1015"/>
      <c r="H11" s="1015"/>
    </row>
    <row r="12" spans="1:14" x14ac:dyDescent="0.25">
      <c r="A12" s="988"/>
      <c r="B12" s="76" t="s">
        <v>219</v>
      </c>
      <c r="C12" s="77">
        <v>106931000</v>
      </c>
      <c r="D12" s="77">
        <v>106931000</v>
      </c>
      <c r="E12" s="1003"/>
      <c r="F12" s="1012"/>
      <c r="G12" s="1015"/>
      <c r="H12" s="1015"/>
    </row>
    <row r="13" spans="1:14" ht="15.75" thickBot="1" x14ac:dyDescent="0.3">
      <c r="A13" s="1001"/>
      <c r="B13" s="91" t="s">
        <v>220</v>
      </c>
      <c r="C13" s="92">
        <v>565789625</v>
      </c>
      <c r="D13" s="92">
        <v>565789625</v>
      </c>
      <c r="E13" s="1004"/>
      <c r="F13" s="1013"/>
      <c r="G13" s="1016"/>
      <c r="H13" s="1016"/>
    </row>
    <row r="14" spans="1:14" x14ac:dyDescent="0.25">
      <c r="A14" s="987" t="s">
        <v>137</v>
      </c>
      <c r="B14" s="89" t="s">
        <v>216</v>
      </c>
      <c r="C14" s="90">
        <v>1709485448</v>
      </c>
      <c r="D14" s="90">
        <v>1709485448</v>
      </c>
      <c r="E14" s="1002">
        <v>741070000</v>
      </c>
      <c r="F14" s="1002">
        <f>+E14</f>
        <v>741070000</v>
      </c>
      <c r="G14" s="991"/>
      <c r="H14" s="993"/>
    </row>
    <row r="15" spans="1:14" x14ac:dyDescent="0.25">
      <c r="A15" s="988"/>
      <c r="B15" s="76" t="s">
        <v>217</v>
      </c>
      <c r="C15" s="77">
        <v>295362955</v>
      </c>
      <c r="D15" s="77">
        <v>295362955</v>
      </c>
      <c r="E15" s="1003"/>
      <c r="F15" s="1003"/>
      <c r="G15" s="992"/>
      <c r="H15" s="994"/>
    </row>
    <row r="16" spans="1:14" x14ac:dyDescent="0.25">
      <c r="A16" s="988"/>
      <c r="B16" s="76" t="s">
        <v>218</v>
      </c>
      <c r="C16" s="77">
        <v>1241705000</v>
      </c>
      <c r="D16" s="77">
        <v>1241705000</v>
      </c>
      <c r="E16" s="1003"/>
      <c r="F16" s="1003"/>
      <c r="G16" s="992"/>
      <c r="H16" s="994"/>
    </row>
    <row r="17" spans="1:15" x14ac:dyDescent="0.25">
      <c r="A17" s="988"/>
      <c r="B17" s="76" t="s">
        <v>219</v>
      </c>
      <c r="C17" s="77">
        <v>106931000</v>
      </c>
      <c r="D17" s="77">
        <v>106931000</v>
      </c>
      <c r="E17" s="1003"/>
      <c r="F17" s="1003"/>
      <c r="G17" s="992"/>
      <c r="H17" s="994"/>
    </row>
    <row r="18" spans="1:15" ht="15.75" thickBot="1" x14ac:dyDescent="0.3">
      <c r="A18" s="1001"/>
      <c r="B18" s="91" t="s">
        <v>220</v>
      </c>
      <c r="C18" s="92">
        <v>565789625</v>
      </c>
      <c r="D18" s="92">
        <v>565789625</v>
      </c>
      <c r="E18" s="1004"/>
      <c r="F18" s="1004"/>
      <c r="G18" s="1005"/>
      <c r="H18" s="1006"/>
    </row>
    <row r="19" spans="1:15" x14ac:dyDescent="0.25">
      <c r="A19" s="987" t="s">
        <v>138</v>
      </c>
      <c r="B19" s="89" t="s">
        <v>216</v>
      </c>
      <c r="C19" s="90">
        <v>1709485448</v>
      </c>
      <c r="D19" s="90">
        <v>1709485448</v>
      </c>
      <c r="E19" s="1002">
        <v>786690347</v>
      </c>
      <c r="F19" s="1002">
        <f>+E19</f>
        <v>786690347</v>
      </c>
      <c r="G19" s="991"/>
      <c r="H19" s="993"/>
    </row>
    <row r="20" spans="1:15" x14ac:dyDescent="0.25">
      <c r="A20" s="988"/>
      <c r="B20" s="76" t="s">
        <v>217</v>
      </c>
      <c r="C20" s="77">
        <v>295362955</v>
      </c>
      <c r="D20" s="77">
        <v>295362955</v>
      </c>
      <c r="E20" s="1003"/>
      <c r="F20" s="1003"/>
      <c r="G20" s="992"/>
      <c r="H20" s="994"/>
    </row>
    <row r="21" spans="1:15" x14ac:dyDescent="0.25">
      <c r="A21" s="988"/>
      <c r="B21" s="76" t="s">
        <v>218</v>
      </c>
      <c r="C21" s="77">
        <v>1241705000</v>
      </c>
      <c r="D21" s="77">
        <v>1241705000</v>
      </c>
      <c r="E21" s="1003"/>
      <c r="F21" s="1003"/>
      <c r="G21" s="992"/>
      <c r="H21" s="994"/>
    </row>
    <row r="22" spans="1:15" x14ac:dyDescent="0.25">
      <c r="A22" s="988"/>
      <c r="B22" s="76" t="s">
        <v>219</v>
      </c>
      <c r="C22" s="77">
        <v>106931000</v>
      </c>
      <c r="D22" s="77">
        <v>106931000</v>
      </c>
      <c r="E22" s="1003"/>
      <c r="F22" s="1003"/>
      <c r="G22" s="992"/>
      <c r="H22" s="994"/>
    </row>
    <row r="23" spans="1:15" ht="15.75" thickBot="1" x14ac:dyDescent="0.3">
      <c r="A23" s="1001"/>
      <c r="B23" s="91" t="s">
        <v>220</v>
      </c>
      <c r="C23" s="92">
        <v>565789625</v>
      </c>
      <c r="D23" s="92">
        <v>565789625</v>
      </c>
      <c r="E23" s="1004"/>
      <c r="F23" s="1004"/>
      <c r="G23" s="1005"/>
      <c r="H23" s="1006"/>
    </row>
    <row r="24" spans="1:15" x14ac:dyDescent="0.25">
      <c r="A24" s="987" t="s">
        <v>139</v>
      </c>
      <c r="B24" s="89" t="s">
        <v>216</v>
      </c>
      <c r="C24" s="90">
        <v>1709485448</v>
      </c>
      <c r="D24" s="90">
        <v>1709485448</v>
      </c>
      <c r="E24" s="989">
        <v>793469102</v>
      </c>
      <c r="F24" s="989">
        <v>793469102</v>
      </c>
      <c r="G24" s="991"/>
      <c r="H24" s="993"/>
    </row>
    <row r="25" spans="1:15" x14ac:dyDescent="0.25">
      <c r="A25" s="988"/>
      <c r="B25" s="76" t="s">
        <v>217</v>
      </c>
      <c r="C25" s="77">
        <v>295362955</v>
      </c>
      <c r="D25" s="77">
        <v>295362955</v>
      </c>
      <c r="E25" s="990"/>
      <c r="F25" s="990"/>
      <c r="G25" s="992"/>
      <c r="H25" s="994"/>
    </row>
    <row r="26" spans="1:15" x14ac:dyDescent="0.25">
      <c r="A26" s="988"/>
      <c r="B26" s="76" t="s">
        <v>218</v>
      </c>
      <c r="C26" s="77">
        <v>1241705000</v>
      </c>
      <c r="D26" s="77">
        <v>1241705000</v>
      </c>
      <c r="E26" s="990"/>
      <c r="F26" s="990"/>
      <c r="G26" s="992"/>
      <c r="H26" s="994"/>
    </row>
    <row r="27" spans="1:15" x14ac:dyDescent="0.25">
      <c r="A27" s="988"/>
      <c r="B27" s="76" t="s">
        <v>219</v>
      </c>
      <c r="C27" s="77">
        <v>106931000</v>
      </c>
      <c r="D27" s="77">
        <v>106931000</v>
      </c>
      <c r="E27" s="990"/>
      <c r="F27" s="990"/>
      <c r="G27" s="992"/>
      <c r="H27" s="994"/>
    </row>
    <row r="28" spans="1:15" ht="15.75" thickBot="1" x14ac:dyDescent="0.3">
      <c r="A28" s="988"/>
      <c r="B28" s="121" t="s">
        <v>220</v>
      </c>
      <c r="C28" s="120">
        <v>565789625</v>
      </c>
      <c r="D28" s="120">
        <v>565789625</v>
      </c>
      <c r="E28" s="990"/>
      <c r="F28" s="990"/>
      <c r="G28" s="992"/>
      <c r="H28" s="994"/>
    </row>
    <row r="29" spans="1:15" s="1" customFormat="1" x14ac:dyDescent="0.25">
      <c r="A29" s="972" t="s">
        <v>140</v>
      </c>
      <c r="B29" s="163" t="s">
        <v>216</v>
      </c>
      <c r="C29" s="164">
        <v>1709485448</v>
      </c>
      <c r="D29" s="164">
        <v>1709485448</v>
      </c>
      <c r="E29" s="978">
        <v>874824904</v>
      </c>
      <c r="F29" s="978">
        <v>874824904</v>
      </c>
      <c r="G29" s="995"/>
      <c r="H29" s="998"/>
      <c r="O29" s="4"/>
    </row>
    <row r="30" spans="1:15" s="1" customFormat="1" x14ac:dyDescent="0.25">
      <c r="A30" s="973"/>
      <c r="B30" s="165" t="s">
        <v>217</v>
      </c>
      <c r="C30" s="166">
        <v>295362955</v>
      </c>
      <c r="D30" s="166">
        <v>295362955</v>
      </c>
      <c r="E30" s="979"/>
      <c r="F30" s="979"/>
      <c r="G30" s="996"/>
      <c r="H30" s="999"/>
      <c r="O30" s="4"/>
    </row>
    <row r="31" spans="1:15" s="1" customFormat="1" x14ac:dyDescent="0.25">
      <c r="A31" s="973"/>
      <c r="B31" s="165" t="s">
        <v>218</v>
      </c>
      <c r="C31" s="166">
        <v>1241705000</v>
      </c>
      <c r="D31" s="166">
        <v>1241705000</v>
      </c>
      <c r="E31" s="979"/>
      <c r="F31" s="979"/>
      <c r="G31" s="996"/>
      <c r="H31" s="999"/>
      <c r="O31" s="4"/>
    </row>
    <row r="32" spans="1:15" s="1" customFormat="1" x14ac:dyDescent="0.25">
      <c r="A32" s="973"/>
      <c r="B32" s="165" t="s">
        <v>219</v>
      </c>
      <c r="C32" s="166">
        <v>106931000</v>
      </c>
      <c r="D32" s="166">
        <v>106931000</v>
      </c>
      <c r="E32" s="979"/>
      <c r="F32" s="979"/>
      <c r="G32" s="996"/>
      <c r="H32" s="999"/>
      <c r="O32" s="4"/>
    </row>
    <row r="33" spans="1:15" s="1" customFormat="1" ht="15.75" thickBot="1" x14ac:dyDescent="0.3">
      <c r="A33" s="974"/>
      <c r="B33" s="167" t="s">
        <v>220</v>
      </c>
      <c r="C33" s="168">
        <v>565789625</v>
      </c>
      <c r="D33" s="169">
        <v>565789625</v>
      </c>
      <c r="E33" s="980"/>
      <c r="F33" s="980"/>
      <c r="G33" s="997"/>
      <c r="H33" s="1000"/>
      <c r="O33" s="4"/>
    </row>
    <row r="34" spans="1:15" s="1" customFormat="1" x14ac:dyDescent="0.25">
      <c r="A34" s="972" t="s">
        <v>141</v>
      </c>
      <c r="B34" s="163" t="s">
        <v>216</v>
      </c>
      <c r="C34" s="220">
        <v>1709485448</v>
      </c>
      <c r="D34" s="221">
        <v>1369505401</v>
      </c>
      <c r="E34" s="975">
        <f>E276+E285+E294+E303</f>
        <v>3537554981</v>
      </c>
      <c r="F34" s="978">
        <v>675702343</v>
      </c>
      <c r="G34" s="981">
        <f>+F34</f>
        <v>675702343</v>
      </c>
      <c r="H34" s="984"/>
      <c r="O34" s="4"/>
    </row>
    <row r="35" spans="1:15" s="1" customFormat="1" x14ac:dyDescent="0.25">
      <c r="A35" s="973"/>
      <c r="B35" s="165" t="s">
        <v>217</v>
      </c>
      <c r="C35" s="222">
        <v>295362955</v>
      </c>
      <c r="D35" s="223">
        <v>295362955</v>
      </c>
      <c r="E35" s="976"/>
      <c r="F35" s="979"/>
      <c r="G35" s="982"/>
      <c r="H35" s="985"/>
      <c r="O35" s="4"/>
    </row>
    <row r="36" spans="1:15" s="1" customFormat="1" x14ac:dyDescent="0.25">
      <c r="A36" s="973"/>
      <c r="B36" s="165" t="s">
        <v>218</v>
      </c>
      <c r="C36" s="222">
        <v>1241705000</v>
      </c>
      <c r="D36" s="223">
        <v>1199966000</v>
      </c>
      <c r="E36" s="976"/>
      <c r="F36" s="979"/>
      <c r="G36" s="982"/>
      <c r="H36" s="985"/>
      <c r="O36" s="4"/>
    </row>
    <row r="37" spans="1:15" s="1" customFormat="1" x14ac:dyDescent="0.25">
      <c r="A37" s="973"/>
      <c r="B37" s="165" t="s">
        <v>219</v>
      </c>
      <c r="C37" s="222">
        <v>106931000</v>
      </c>
      <c r="D37" s="223">
        <v>106931000</v>
      </c>
      <c r="E37" s="976"/>
      <c r="F37" s="979"/>
      <c r="G37" s="982"/>
      <c r="H37" s="985"/>
      <c r="O37" s="4"/>
    </row>
    <row r="38" spans="1:15" s="1" customFormat="1" ht="15.75" thickBot="1" x14ac:dyDescent="0.3">
      <c r="A38" s="974"/>
      <c r="B38" s="167" t="s">
        <v>220</v>
      </c>
      <c r="C38" s="224">
        <v>565789625</v>
      </c>
      <c r="D38" s="225">
        <v>565789625</v>
      </c>
      <c r="E38" s="977"/>
      <c r="F38" s="980"/>
      <c r="G38" s="983"/>
      <c r="H38" s="986"/>
      <c r="O38" s="4"/>
    </row>
    <row r="39" spans="1:15" s="1" customFormat="1" ht="15.75" thickBot="1" x14ac:dyDescent="0.3">
      <c r="O39" s="4"/>
    </row>
    <row r="40" spans="1:15" ht="20.25" x14ac:dyDescent="0.25">
      <c r="A40" s="966" t="s">
        <v>142</v>
      </c>
      <c r="B40" s="967"/>
      <c r="C40" s="967"/>
      <c r="D40" s="967"/>
      <c r="E40" s="967"/>
      <c r="F40" s="967"/>
      <c r="G40" s="967"/>
      <c r="H40" s="968"/>
    </row>
    <row r="41" spans="1:15" ht="26.25" thickBot="1" x14ac:dyDescent="0.3">
      <c r="A41" s="86" t="s">
        <v>50</v>
      </c>
      <c r="B41" s="87" t="s">
        <v>129</v>
      </c>
      <c r="C41" s="87" t="s">
        <v>130</v>
      </c>
      <c r="D41" s="87" t="s">
        <v>131</v>
      </c>
      <c r="E41" s="87" t="s">
        <v>132</v>
      </c>
      <c r="F41" s="87" t="s">
        <v>133</v>
      </c>
      <c r="G41" s="87" t="s">
        <v>134</v>
      </c>
      <c r="H41" s="88" t="s">
        <v>135</v>
      </c>
    </row>
    <row r="42" spans="1:15" x14ac:dyDescent="0.25">
      <c r="A42" s="928" t="s">
        <v>143</v>
      </c>
      <c r="B42" s="226" t="s">
        <v>276</v>
      </c>
      <c r="C42" s="218">
        <v>2373758000</v>
      </c>
      <c r="D42" s="218">
        <v>2373758000</v>
      </c>
      <c r="E42" s="925">
        <v>0</v>
      </c>
      <c r="F42" s="925">
        <v>0</v>
      </c>
      <c r="G42" s="931"/>
      <c r="H42" s="933"/>
    </row>
    <row r="43" spans="1:15" x14ac:dyDescent="0.25">
      <c r="A43" s="929"/>
      <c r="B43" s="227" t="s">
        <v>277</v>
      </c>
      <c r="C43" s="217">
        <v>5500000000</v>
      </c>
      <c r="D43" s="217">
        <v>5500000000</v>
      </c>
      <c r="E43" s="926"/>
      <c r="F43" s="926"/>
      <c r="G43" s="885"/>
      <c r="H43" s="934"/>
    </row>
    <row r="44" spans="1:15" x14ac:dyDescent="0.25">
      <c r="A44" s="929"/>
      <c r="B44" s="227" t="s">
        <v>278</v>
      </c>
      <c r="C44" s="217">
        <v>13435346000</v>
      </c>
      <c r="D44" s="217">
        <v>13435346000</v>
      </c>
      <c r="E44" s="926"/>
      <c r="F44" s="926"/>
      <c r="G44" s="885"/>
      <c r="H44" s="934"/>
    </row>
    <row r="45" spans="1:15" x14ac:dyDescent="0.25">
      <c r="A45" s="929"/>
      <c r="B45" s="227" t="s">
        <v>279</v>
      </c>
      <c r="C45" s="217">
        <v>3186932000</v>
      </c>
      <c r="D45" s="217">
        <v>3186932000</v>
      </c>
      <c r="E45" s="926"/>
      <c r="F45" s="926"/>
      <c r="G45" s="885"/>
      <c r="H45" s="934"/>
    </row>
    <row r="46" spans="1:15" x14ac:dyDescent="0.25">
      <c r="A46" s="929"/>
      <c r="B46" s="227" t="s">
        <v>280</v>
      </c>
      <c r="C46" s="217">
        <v>103930000</v>
      </c>
      <c r="D46" s="217">
        <v>103930000</v>
      </c>
      <c r="E46" s="926"/>
      <c r="F46" s="926"/>
      <c r="G46" s="885"/>
      <c r="H46" s="934"/>
    </row>
    <row r="47" spans="1:15" x14ac:dyDescent="0.25">
      <c r="A47" s="929"/>
      <c r="B47" s="227" t="s">
        <v>281</v>
      </c>
      <c r="C47" s="217">
        <f>304104000+35002000</f>
        <v>339106000</v>
      </c>
      <c r="D47" s="217">
        <f>304104000+35002000</f>
        <v>339106000</v>
      </c>
      <c r="E47" s="926"/>
      <c r="F47" s="926"/>
      <c r="G47" s="885"/>
      <c r="H47" s="934"/>
    </row>
    <row r="48" spans="1:15" x14ac:dyDescent="0.25">
      <c r="A48" s="929"/>
      <c r="B48" s="227" t="s">
        <v>282</v>
      </c>
      <c r="C48" s="217">
        <v>119254000</v>
      </c>
      <c r="D48" s="217">
        <v>119254000</v>
      </c>
      <c r="E48" s="926"/>
      <c r="F48" s="926"/>
      <c r="G48" s="885"/>
      <c r="H48" s="934"/>
    </row>
    <row r="49" spans="1:8" ht="15.75" thickBot="1" x14ac:dyDescent="0.3">
      <c r="A49" s="930"/>
      <c r="B49" s="228" t="s">
        <v>283</v>
      </c>
      <c r="C49" s="219">
        <v>298778000</v>
      </c>
      <c r="D49" s="219">
        <v>298778000</v>
      </c>
      <c r="E49" s="927"/>
      <c r="F49" s="927"/>
      <c r="G49" s="932"/>
      <c r="H49" s="935"/>
    </row>
    <row r="50" spans="1:8" x14ac:dyDescent="0.25">
      <c r="A50" s="60" t="s">
        <v>144</v>
      </c>
      <c r="B50" s="57"/>
      <c r="C50" s="57"/>
      <c r="D50" s="57"/>
      <c r="E50" s="57"/>
      <c r="F50" s="57"/>
      <c r="G50" s="57"/>
      <c r="H50" s="58" t="e">
        <f t="shared" ref="H50:H60" si="0">G50/E50</f>
        <v>#DIV/0!</v>
      </c>
    </row>
    <row r="51" spans="1:8" x14ac:dyDescent="0.25">
      <c r="A51" s="60" t="s">
        <v>145</v>
      </c>
      <c r="B51" s="57"/>
      <c r="C51" s="57"/>
      <c r="D51" s="57"/>
      <c r="E51" s="57"/>
      <c r="F51" s="57"/>
      <c r="G51" s="57"/>
      <c r="H51" s="58" t="e">
        <f t="shared" si="0"/>
        <v>#DIV/0!</v>
      </c>
    </row>
    <row r="52" spans="1:8" x14ac:dyDescent="0.25">
      <c r="A52" s="60" t="s">
        <v>146</v>
      </c>
      <c r="B52" s="57"/>
      <c r="C52" s="57"/>
      <c r="D52" s="57"/>
      <c r="E52" s="57"/>
      <c r="F52" s="57"/>
      <c r="G52" s="57"/>
      <c r="H52" s="58" t="e">
        <f t="shared" si="0"/>
        <v>#DIV/0!</v>
      </c>
    </row>
    <row r="53" spans="1:8" x14ac:dyDescent="0.25">
      <c r="A53" s="60" t="s">
        <v>147</v>
      </c>
      <c r="B53" s="57"/>
      <c r="C53" s="57"/>
      <c r="D53" s="57"/>
      <c r="E53" s="57"/>
      <c r="F53" s="57"/>
      <c r="G53" s="57"/>
      <c r="H53" s="58" t="e">
        <f t="shared" si="0"/>
        <v>#DIV/0!</v>
      </c>
    </row>
    <row r="54" spans="1:8" x14ac:dyDescent="0.25">
      <c r="A54" s="60" t="s">
        <v>148</v>
      </c>
      <c r="B54" s="57"/>
      <c r="C54" s="57"/>
      <c r="D54" s="57"/>
      <c r="E54" s="57"/>
      <c r="F54" s="57"/>
      <c r="G54" s="57"/>
      <c r="H54" s="58" t="e">
        <f t="shared" si="0"/>
        <v>#DIV/0!</v>
      </c>
    </row>
    <row r="55" spans="1:8" x14ac:dyDescent="0.25">
      <c r="A55" s="60" t="s">
        <v>136</v>
      </c>
      <c r="B55" s="57"/>
      <c r="C55" s="57"/>
      <c r="D55" s="57"/>
      <c r="E55" s="57"/>
      <c r="F55" s="57"/>
      <c r="G55" s="57"/>
      <c r="H55" s="58" t="e">
        <f t="shared" si="0"/>
        <v>#DIV/0!</v>
      </c>
    </row>
    <row r="56" spans="1:8" x14ac:dyDescent="0.25">
      <c r="A56" s="60" t="s">
        <v>137</v>
      </c>
      <c r="B56" s="57"/>
      <c r="C56" s="57"/>
      <c r="D56" s="57"/>
      <c r="E56" s="57"/>
      <c r="F56" s="57"/>
      <c r="G56" s="57"/>
      <c r="H56" s="58" t="e">
        <f t="shared" si="0"/>
        <v>#DIV/0!</v>
      </c>
    </row>
    <row r="57" spans="1:8" x14ac:dyDescent="0.25">
      <c r="A57" s="60" t="s">
        <v>138</v>
      </c>
      <c r="B57" s="57"/>
      <c r="C57" s="57"/>
      <c r="D57" s="57"/>
      <c r="E57" s="57"/>
      <c r="F57" s="57"/>
      <c r="G57" s="57"/>
      <c r="H57" s="58" t="e">
        <f t="shared" si="0"/>
        <v>#DIV/0!</v>
      </c>
    </row>
    <row r="58" spans="1:8" x14ac:dyDescent="0.25">
      <c r="A58" s="60" t="s">
        <v>139</v>
      </c>
      <c r="B58" s="57"/>
      <c r="C58" s="57"/>
      <c r="D58" s="57"/>
      <c r="E58" s="57"/>
      <c r="F58" s="57"/>
      <c r="G58" s="57"/>
      <c r="H58" s="58" t="e">
        <f t="shared" si="0"/>
        <v>#DIV/0!</v>
      </c>
    </row>
    <row r="59" spans="1:8" x14ac:dyDescent="0.25">
      <c r="A59" s="60" t="s">
        <v>140</v>
      </c>
      <c r="B59" s="57"/>
      <c r="C59" s="57"/>
      <c r="D59" s="57"/>
      <c r="E59" s="57"/>
      <c r="F59" s="57"/>
      <c r="G59" s="57"/>
      <c r="H59" s="58" t="e">
        <f t="shared" si="0"/>
        <v>#DIV/0!</v>
      </c>
    </row>
    <row r="60" spans="1:8" ht="15.75" thickBot="1" x14ac:dyDescent="0.3">
      <c r="A60" s="61" t="s">
        <v>141</v>
      </c>
      <c r="B60" s="59"/>
      <c r="C60" s="59"/>
      <c r="D60" s="59"/>
      <c r="E60" s="59"/>
      <c r="F60" s="59"/>
      <c r="G60" s="59"/>
      <c r="H60" s="58" t="e">
        <f t="shared" si="0"/>
        <v>#DIV/0!</v>
      </c>
    </row>
    <row r="62" spans="1:8" ht="20.25" hidden="1" x14ac:dyDescent="0.25">
      <c r="A62" s="966" t="s">
        <v>149</v>
      </c>
      <c r="B62" s="967"/>
      <c r="C62" s="967"/>
      <c r="D62" s="967"/>
      <c r="E62" s="967"/>
      <c r="F62" s="967"/>
      <c r="G62" s="967"/>
      <c r="H62" s="968"/>
    </row>
    <row r="63" spans="1:8" ht="25.5" hidden="1" x14ac:dyDescent="0.25">
      <c r="A63" s="53" t="s">
        <v>62</v>
      </c>
      <c r="B63" s="54" t="s">
        <v>129</v>
      </c>
      <c r="C63" s="54" t="s">
        <v>130</v>
      </c>
      <c r="D63" s="54" t="s">
        <v>131</v>
      </c>
      <c r="E63" s="54" t="s">
        <v>132</v>
      </c>
      <c r="F63" s="54" t="s">
        <v>133</v>
      </c>
      <c r="G63" s="54" t="s">
        <v>134</v>
      </c>
      <c r="H63" s="55" t="s">
        <v>135</v>
      </c>
    </row>
    <row r="64" spans="1:8" hidden="1" x14ac:dyDescent="0.25">
      <c r="A64" s="60" t="s">
        <v>143</v>
      </c>
      <c r="B64" s="57"/>
      <c r="C64" s="57"/>
      <c r="D64" s="57"/>
      <c r="E64" s="57"/>
      <c r="F64" s="57"/>
      <c r="G64" s="57"/>
      <c r="H64" s="58" t="e">
        <f>G64/E64</f>
        <v>#DIV/0!</v>
      </c>
    </row>
    <row r="65" spans="1:8" hidden="1" x14ac:dyDescent="0.25">
      <c r="A65" s="60" t="s">
        <v>144</v>
      </c>
      <c r="B65" s="57"/>
      <c r="C65" s="57"/>
      <c r="D65" s="57"/>
      <c r="E65" s="57"/>
      <c r="F65" s="57"/>
      <c r="G65" s="57"/>
      <c r="H65" s="58" t="e">
        <f t="shared" ref="H65:H75" si="1">G65/E65</f>
        <v>#DIV/0!</v>
      </c>
    </row>
    <row r="66" spans="1:8" hidden="1" x14ac:dyDescent="0.25">
      <c r="A66" s="60" t="s">
        <v>145</v>
      </c>
      <c r="B66" s="57"/>
      <c r="C66" s="57"/>
      <c r="D66" s="57"/>
      <c r="E66" s="57"/>
      <c r="F66" s="57"/>
      <c r="G66" s="57"/>
      <c r="H66" s="58" t="e">
        <f t="shared" si="1"/>
        <v>#DIV/0!</v>
      </c>
    </row>
    <row r="67" spans="1:8" hidden="1" x14ac:dyDescent="0.25">
      <c r="A67" s="60" t="s">
        <v>146</v>
      </c>
      <c r="B67" s="57"/>
      <c r="C67" s="57"/>
      <c r="D67" s="57"/>
      <c r="E67" s="57"/>
      <c r="F67" s="57"/>
      <c r="G67" s="57"/>
      <c r="H67" s="58" t="e">
        <f t="shared" si="1"/>
        <v>#DIV/0!</v>
      </c>
    </row>
    <row r="68" spans="1:8" hidden="1" x14ac:dyDescent="0.25">
      <c r="A68" s="60" t="s">
        <v>147</v>
      </c>
      <c r="B68" s="57"/>
      <c r="C68" s="57"/>
      <c r="D68" s="57"/>
      <c r="E68" s="57"/>
      <c r="F68" s="57"/>
      <c r="G68" s="57"/>
      <c r="H68" s="58" t="e">
        <f t="shared" si="1"/>
        <v>#DIV/0!</v>
      </c>
    </row>
    <row r="69" spans="1:8" hidden="1" x14ac:dyDescent="0.25">
      <c r="A69" s="60" t="s">
        <v>148</v>
      </c>
      <c r="B69" s="57"/>
      <c r="C69" s="57"/>
      <c r="D69" s="57"/>
      <c r="E69" s="57"/>
      <c r="F69" s="57"/>
      <c r="G69" s="57"/>
      <c r="H69" s="58" t="e">
        <f t="shared" si="1"/>
        <v>#DIV/0!</v>
      </c>
    </row>
    <row r="70" spans="1:8" hidden="1" x14ac:dyDescent="0.25">
      <c r="A70" s="60" t="s">
        <v>136</v>
      </c>
      <c r="B70" s="57"/>
      <c r="C70" s="57"/>
      <c r="D70" s="57"/>
      <c r="E70" s="57"/>
      <c r="F70" s="57"/>
      <c r="G70" s="57"/>
      <c r="H70" s="58" t="e">
        <f t="shared" si="1"/>
        <v>#DIV/0!</v>
      </c>
    </row>
    <row r="71" spans="1:8" hidden="1" x14ac:dyDescent="0.25">
      <c r="A71" s="60" t="s">
        <v>137</v>
      </c>
      <c r="B71" s="57"/>
      <c r="C71" s="57"/>
      <c r="D71" s="57"/>
      <c r="E71" s="57"/>
      <c r="F71" s="57"/>
      <c r="G71" s="57"/>
      <c r="H71" s="58" t="e">
        <f t="shared" si="1"/>
        <v>#DIV/0!</v>
      </c>
    </row>
    <row r="72" spans="1:8" hidden="1" x14ac:dyDescent="0.25">
      <c r="A72" s="60" t="s">
        <v>138</v>
      </c>
      <c r="B72" s="57"/>
      <c r="C72" s="57"/>
      <c r="D72" s="57"/>
      <c r="E72" s="57"/>
      <c r="F72" s="57"/>
      <c r="G72" s="57"/>
      <c r="H72" s="58" t="e">
        <f t="shared" si="1"/>
        <v>#DIV/0!</v>
      </c>
    </row>
    <row r="73" spans="1:8" hidden="1" x14ac:dyDescent="0.25">
      <c r="A73" s="60" t="s">
        <v>139</v>
      </c>
      <c r="B73" s="57"/>
      <c r="C73" s="57"/>
      <c r="D73" s="57"/>
      <c r="E73" s="57"/>
      <c r="F73" s="57"/>
      <c r="G73" s="57"/>
      <c r="H73" s="58" t="e">
        <f t="shared" si="1"/>
        <v>#DIV/0!</v>
      </c>
    </row>
    <row r="74" spans="1:8" hidden="1" x14ac:dyDescent="0.25">
      <c r="A74" s="60" t="s">
        <v>140</v>
      </c>
      <c r="B74" s="57"/>
      <c r="C74" s="57"/>
      <c r="D74" s="57"/>
      <c r="E74" s="57"/>
      <c r="F74" s="57"/>
      <c r="G74" s="57"/>
      <c r="H74" s="58" t="e">
        <f t="shared" si="1"/>
        <v>#DIV/0!</v>
      </c>
    </row>
    <row r="75" spans="1:8" ht="15.75" hidden="1" thickBot="1" x14ac:dyDescent="0.3">
      <c r="A75" s="61" t="s">
        <v>141</v>
      </c>
      <c r="B75" s="59"/>
      <c r="C75" s="59"/>
      <c r="D75" s="59"/>
      <c r="E75" s="59"/>
      <c r="F75" s="59"/>
      <c r="G75" s="59"/>
      <c r="H75" s="58" t="e">
        <f t="shared" si="1"/>
        <v>#DIV/0!</v>
      </c>
    </row>
    <row r="77" spans="1:8" ht="20.25" hidden="1" x14ac:dyDescent="0.25">
      <c r="A77" s="966" t="s">
        <v>150</v>
      </c>
      <c r="B77" s="967"/>
      <c r="C77" s="967"/>
      <c r="D77" s="967"/>
      <c r="E77" s="967"/>
      <c r="F77" s="967"/>
      <c r="G77" s="967"/>
      <c r="H77" s="968"/>
    </row>
    <row r="78" spans="1:8" ht="25.5" hidden="1" x14ac:dyDescent="0.25">
      <c r="A78" s="53" t="s">
        <v>63</v>
      </c>
      <c r="B78" s="54" t="s">
        <v>129</v>
      </c>
      <c r="C78" s="54" t="s">
        <v>130</v>
      </c>
      <c r="D78" s="54" t="s">
        <v>131</v>
      </c>
      <c r="E78" s="54" t="s">
        <v>132</v>
      </c>
      <c r="F78" s="54" t="s">
        <v>133</v>
      </c>
      <c r="G78" s="54" t="s">
        <v>134</v>
      </c>
      <c r="H78" s="55" t="s">
        <v>135</v>
      </c>
    </row>
    <row r="79" spans="1:8" hidden="1" x14ac:dyDescent="0.25">
      <c r="A79" s="60" t="s">
        <v>143</v>
      </c>
      <c r="B79" s="57"/>
      <c r="C79" s="57"/>
      <c r="D79" s="57"/>
      <c r="E79" s="57"/>
      <c r="F79" s="57"/>
      <c r="G79" s="57"/>
      <c r="H79" s="58" t="e">
        <f>G79/E79</f>
        <v>#DIV/0!</v>
      </c>
    </row>
    <row r="80" spans="1:8" hidden="1" x14ac:dyDescent="0.25">
      <c r="A80" s="60" t="s">
        <v>144</v>
      </c>
      <c r="B80" s="57"/>
      <c r="C80" s="57"/>
      <c r="D80" s="57"/>
      <c r="E80" s="57"/>
      <c r="F80" s="57"/>
      <c r="G80" s="57"/>
      <c r="H80" s="58" t="e">
        <f t="shared" ref="H80:H90" si="2">G80/E80</f>
        <v>#DIV/0!</v>
      </c>
    </row>
    <row r="81" spans="1:8" hidden="1" x14ac:dyDescent="0.25">
      <c r="A81" s="60" t="s">
        <v>145</v>
      </c>
      <c r="B81" s="57"/>
      <c r="C81" s="57"/>
      <c r="D81" s="57"/>
      <c r="E81" s="57"/>
      <c r="F81" s="57"/>
      <c r="G81" s="57"/>
      <c r="H81" s="58" t="e">
        <f t="shared" si="2"/>
        <v>#DIV/0!</v>
      </c>
    </row>
    <row r="82" spans="1:8" hidden="1" x14ac:dyDescent="0.25">
      <c r="A82" s="60" t="s">
        <v>146</v>
      </c>
      <c r="B82" s="57"/>
      <c r="C82" s="57"/>
      <c r="D82" s="57"/>
      <c r="E82" s="57"/>
      <c r="F82" s="57"/>
      <c r="G82" s="57"/>
      <c r="H82" s="58" t="e">
        <f t="shared" si="2"/>
        <v>#DIV/0!</v>
      </c>
    </row>
    <row r="83" spans="1:8" hidden="1" x14ac:dyDescent="0.25">
      <c r="A83" s="60" t="s">
        <v>147</v>
      </c>
      <c r="B83" s="57"/>
      <c r="C83" s="57"/>
      <c r="D83" s="57"/>
      <c r="E83" s="57"/>
      <c r="F83" s="57"/>
      <c r="G83" s="57"/>
      <c r="H83" s="58" t="e">
        <f t="shared" si="2"/>
        <v>#DIV/0!</v>
      </c>
    </row>
    <row r="84" spans="1:8" hidden="1" x14ac:dyDescent="0.25">
      <c r="A84" s="60" t="s">
        <v>148</v>
      </c>
      <c r="B84" s="57"/>
      <c r="C84" s="57"/>
      <c r="D84" s="57"/>
      <c r="E84" s="57"/>
      <c r="F84" s="57"/>
      <c r="G84" s="57"/>
      <c r="H84" s="58" t="e">
        <f t="shared" si="2"/>
        <v>#DIV/0!</v>
      </c>
    </row>
    <row r="85" spans="1:8" hidden="1" x14ac:dyDescent="0.25">
      <c r="A85" s="60" t="s">
        <v>136</v>
      </c>
      <c r="B85" s="57"/>
      <c r="C85" s="57"/>
      <c r="D85" s="57"/>
      <c r="E85" s="57"/>
      <c r="F85" s="57"/>
      <c r="G85" s="57"/>
      <c r="H85" s="58" t="e">
        <f t="shared" si="2"/>
        <v>#DIV/0!</v>
      </c>
    </row>
    <row r="86" spans="1:8" hidden="1" x14ac:dyDescent="0.25">
      <c r="A86" s="60" t="s">
        <v>137</v>
      </c>
      <c r="B86" s="57"/>
      <c r="C86" s="57"/>
      <c r="D86" s="57"/>
      <c r="E86" s="57"/>
      <c r="F86" s="57"/>
      <c r="G86" s="57"/>
      <c r="H86" s="58" t="e">
        <f t="shared" si="2"/>
        <v>#DIV/0!</v>
      </c>
    </row>
    <row r="87" spans="1:8" hidden="1" x14ac:dyDescent="0.25">
      <c r="A87" s="60" t="s">
        <v>138</v>
      </c>
      <c r="B87" s="57"/>
      <c r="C87" s="57"/>
      <c r="D87" s="57"/>
      <c r="E87" s="57"/>
      <c r="F87" s="57"/>
      <c r="G87" s="57"/>
      <c r="H87" s="58" t="e">
        <f t="shared" si="2"/>
        <v>#DIV/0!</v>
      </c>
    </row>
    <row r="88" spans="1:8" hidden="1" x14ac:dyDescent="0.25">
      <c r="A88" s="60" t="s">
        <v>139</v>
      </c>
      <c r="B88" s="57"/>
      <c r="C88" s="57"/>
      <c r="D88" s="57"/>
      <c r="E88" s="57"/>
      <c r="F88" s="57"/>
      <c r="G88" s="57"/>
      <c r="H88" s="58" t="e">
        <f t="shared" si="2"/>
        <v>#DIV/0!</v>
      </c>
    </row>
    <row r="89" spans="1:8" hidden="1" x14ac:dyDescent="0.25">
      <c r="A89" s="60" t="s">
        <v>140</v>
      </c>
      <c r="B89" s="57"/>
      <c r="C89" s="57"/>
      <c r="D89" s="57"/>
      <c r="E89" s="57"/>
      <c r="F89" s="57"/>
      <c r="G89" s="57"/>
      <c r="H89" s="58" t="e">
        <f t="shared" si="2"/>
        <v>#DIV/0!</v>
      </c>
    </row>
    <row r="90" spans="1:8" ht="15.75" hidden="1" thickBot="1" x14ac:dyDescent="0.3">
      <c r="A90" s="61" t="s">
        <v>141</v>
      </c>
      <c r="B90" s="59"/>
      <c r="C90" s="59"/>
      <c r="D90" s="59"/>
      <c r="E90" s="59"/>
      <c r="F90" s="59"/>
      <c r="G90" s="59"/>
      <c r="H90" s="58" t="e">
        <f t="shared" si="2"/>
        <v>#DIV/0!</v>
      </c>
    </row>
    <row r="91" spans="1:8" ht="15.75" hidden="1" thickBot="1" x14ac:dyDescent="0.3"/>
    <row r="92" spans="1:8" ht="20.25" hidden="1" x14ac:dyDescent="0.25">
      <c r="A92" s="966" t="s">
        <v>151</v>
      </c>
      <c r="B92" s="967"/>
      <c r="C92" s="967"/>
      <c r="D92" s="967"/>
      <c r="E92" s="967"/>
      <c r="F92" s="967"/>
      <c r="G92" s="967"/>
      <c r="H92" s="968"/>
    </row>
    <row r="93" spans="1:8" ht="25.5" hidden="1" x14ac:dyDescent="0.25">
      <c r="A93" s="53" t="s">
        <v>64</v>
      </c>
      <c r="B93" s="54" t="s">
        <v>129</v>
      </c>
      <c r="C93" s="54" t="s">
        <v>130</v>
      </c>
      <c r="D93" s="54" t="s">
        <v>131</v>
      </c>
      <c r="E93" s="54" t="s">
        <v>132</v>
      </c>
      <c r="F93" s="54" t="s">
        <v>133</v>
      </c>
      <c r="G93" s="54" t="s">
        <v>134</v>
      </c>
      <c r="H93" s="55" t="s">
        <v>135</v>
      </c>
    </row>
    <row r="94" spans="1:8" hidden="1" x14ac:dyDescent="0.25">
      <c r="A94" s="60" t="s">
        <v>143</v>
      </c>
      <c r="B94" s="57"/>
      <c r="C94" s="57"/>
      <c r="D94" s="57"/>
      <c r="E94" s="57"/>
      <c r="F94" s="57"/>
      <c r="G94" s="57"/>
      <c r="H94" s="58" t="e">
        <f>G94/E94</f>
        <v>#DIV/0!</v>
      </c>
    </row>
    <row r="95" spans="1:8" hidden="1" x14ac:dyDescent="0.25">
      <c r="A95" s="60" t="s">
        <v>144</v>
      </c>
      <c r="B95" s="57"/>
      <c r="C95" s="57"/>
      <c r="D95" s="57"/>
      <c r="E95" s="57"/>
      <c r="F95" s="57"/>
      <c r="G95" s="57"/>
      <c r="H95" s="58" t="e">
        <f t="shared" ref="H95:H105" si="3">G95/E95</f>
        <v>#DIV/0!</v>
      </c>
    </row>
    <row r="96" spans="1:8" hidden="1" x14ac:dyDescent="0.25">
      <c r="A96" s="60" t="s">
        <v>145</v>
      </c>
      <c r="B96" s="57"/>
      <c r="C96" s="57"/>
      <c r="D96" s="57"/>
      <c r="E96" s="57"/>
      <c r="F96" s="57"/>
      <c r="G96" s="57"/>
      <c r="H96" s="58" t="e">
        <f t="shared" si="3"/>
        <v>#DIV/0!</v>
      </c>
    </row>
    <row r="97" spans="1:17" hidden="1" x14ac:dyDescent="0.25">
      <c r="A97" s="60" t="s">
        <v>146</v>
      </c>
      <c r="B97" s="57"/>
      <c r="C97" s="57"/>
      <c r="D97" s="57"/>
      <c r="E97" s="57"/>
      <c r="F97" s="57"/>
      <c r="G97" s="57"/>
      <c r="H97" s="58" t="e">
        <f t="shared" si="3"/>
        <v>#DIV/0!</v>
      </c>
    </row>
    <row r="98" spans="1:17" hidden="1" x14ac:dyDescent="0.25">
      <c r="A98" s="60" t="s">
        <v>147</v>
      </c>
      <c r="B98" s="57"/>
      <c r="C98" s="57"/>
      <c r="D98" s="57"/>
      <c r="E98" s="57"/>
      <c r="F98" s="57"/>
      <c r="G98" s="57"/>
      <c r="H98" s="58" t="e">
        <f t="shared" si="3"/>
        <v>#DIV/0!</v>
      </c>
    </row>
    <row r="99" spans="1:17" hidden="1" x14ac:dyDescent="0.25">
      <c r="A99" s="60" t="s">
        <v>148</v>
      </c>
      <c r="B99" s="57"/>
      <c r="C99" s="57"/>
      <c r="D99" s="57"/>
      <c r="E99" s="57"/>
      <c r="F99" s="57"/>
      <c r="G99" s="57"/>
      <c r="H99" s="58" t="e">
        <f t="shared" si="3"/>
        <v>#DIV/0!</v>
      </c>
    </row>
    <row r="100" spans="1:17" hidden="1" x14ac:dyDescent="0.25">
      <c r="A100" s="60" t="s">
        <v>136</v>
      </c>
      <c r="B100" s="57"/>
      <c r="C100" s="57"/>
      <c r="D100" s="57"/>
      <c r="E100" s="57"/>
      <c r="F100" s="57"/>
      <c r="G100" s="57"/>
      <c r="H100" s="58" t="e">
        <f t="shared" si="3"/>
        <v>#DIV/0!</v>
      </c>
    </row>
    <row r="101" spans="1:17" hidden="1" x14ac:dyDescent="0.25">
      <c r="A101" s="60" t="s">
        <v>137</v>
      </c>
      <c r="B101" s="57"/>
      <c r="C101" s="57"/>
      <c r="D101" s="57"/>
      <c r="E101" s="57"/>
      <c r="F101" s="57"/>
      <c r="G101" s="57"/>
      <c r="H101" s="58" t="e">
        <f t="shared" si="3"/>
        <v>#DIV/0!</v>
      </c>
    </row>
    <row r="102" spans="1:17" hidden="1" x14ac:dyDescent="0.25">
      <c r="A102" s="60" t="s">
        <v>138</v>
      </c>
      <c r="B102" s="57"/>
      <c r="C102" s="57"/>
      <c r="D102" s="57"/>
      <c r="E102" s="57"/>
      <c r="F102" s="57"/>
      <c r="G102" s="57"/>
      <c r="H102" s="58" t="e">
        <f t="shared" si="3"/>
        <v>#DIV/0!</v>
      </c>
    </row>
    <row r="103" spans="1:17" hidden="1" x14ac:dyDescent="0.25">
      <c r="A103" s="60" t="s">
        <v>139</v>
      </c>
      <c r="B103" s="57"/>
      <c r="C103" s="57"/>
      <c r="D103" s="57"/>
      <c r="E103" s="57"/>
      <c r="F103" s="57"/>
      <c r="G103" s="57"/>
      <c r="H103" s="58" t="e">
        <f t="shared" si="3"/>
        <v>#DIV/0!</v>
      </c>
    </row>
    <row r="104" spans="1:17" hidden="1" x14ac:dyDescent="0.25">
      <c r="A104" s="60" t="s">
        <v>140</v>
      </c>
      <c r="B104" s="57"/>
      <c r="C104" s="57"/>
      <c r="D104" s="57"/>
      <c r="E104" s="57"/>
      <c r="F104" s="57"/>
      <c r="G104" s="57"/>
      <c r="H104" s="58" t="e">
        <f t="shared" si="3"/>
        <v>#DIV/0!</v>
      </c>
    </row>
    <row r="105" spans="1:17" ht="15.75" hidden="1" thickBot="1" x14ac:dyDescent="0.3">
      <c r="A105" s="61" t="s">
        <v>141</v>
      </c>
      <c r="B105" s="59"/>
      <c r="C105" s="59"/>
      <c r="D105" s="59"/>
      <c r="E105" s="59"/>
      <c r="F105" s="59"/>
      <c r="G105" s="59"/>
      <c r="H105" s="58" t="e">
        <f t="shared" si="3"/>
        <v>#DIV/0!</v>
      </c>
    </row>
    <row r="107" spans="1:17" ht="21" hidden="1" thickBot="1" x14ac:dyDescent="0.3">
      <c r="A107" s="922" t="s">
        <v>152</v>
      </c>
      <c r="B107" s="923"/>
      <c r="C107" s="969"/>
      <c r="D107" s="969"/>
      <c r="E107" s="969"/>
      <c r="F107" s="969"/>
      <c r="G107" s="969"/>
      <c r="H107" s="969"/>
      <c r="I107" s="969"/>
      <c r="J107" s="969"/>
      <c r="K107" s="969"/>
      <c r="L107" s="969"/>
      <c r="M107" s="969"/>
      <c r="N107" s="970"/>
    </row>
    <row r="108" spans="1:17" ht="38.25" hidden="1" x14ac:dyDescent="0.25">
      <c r="A108" s="53" t="s">
        <v>49</v>
      </c>
      <c r="B108" s="114" t="s">
        <v>153</v>
      </c>
      <c r="C108" s="113" t="s">
        <v>154</v>
      </c>
      <c r="D108" s="83" t="s">
        <v>155</v>
      </c>
      <c r="E108" s="83" t="s">
        <v>156</v>
      </c>
      <c r="F108" s="83" t="s">
        <v>157</v>
      </c>
      <c r="G108" s="83" t="s">
        <v>158</v>
      </c>
      <c r="H108" s="83" t="s">
        <v>159</v>
      </c>
      <c r="I108" s="83" t="s">
        <v>160</v>
      </c>
      <c r="J108" s="84" t="s">
        <v>161</v>
      </c>
      <c r="K108" s="83" t="s">
        <v>162</v>
      </c>
      <c r="L108" s="83" t="s">
        <v>163</v>
      </c>
      <c r="M108" s="83" t="s">
        <v>164</v>
      </c>
      <c r="N108" s="85" t="s">
        <v>165</v>
      </c>
      <c r="Q108" s="170">
        <f>J114-J113</f>
        <v>9.9999999999999978E-2</v>
      </c>
    </row>
    <row r="109" spans="1:17" hidden="1" x14ac:dyDescent="0.25">
      <c r="A109" s="56" t="s">
        <v>136</v>
      </c>
      <c r="B109" s="960" t="s">
        <v>221</v>
      </c>
      <c r="C109" s="963" t="s">
        <v>222</v>
      </c>
      <c r="D109" s="971" t="s">
        <v>227</v>
      </c>
      <c r="E109" s="953" t="s">
        <v>223</v>
      </c>
      <c r="F109" s="884">
        <v>100</v>
      </c>
      <c r="G109" s="884">
        <v>8</v>
      </c>
      <c r="H109" s="81">
        <v>1</v>
      </c>
      <c r="I109" s="57"/>
      <c r="J109" s="57">
        <f>I109/H109</f>
        <v>0</v>
      </c>
      <c r="K109" s="57"/>
      <c r="L109" s="57"/>
      <c r="M109" s="111" t="s">
        <v>72</v>
      </c>
      <c r="N109" s="58"/>
      <c r="O109" s="139">
        <f t="shared" ref="O109:O114" si="4">LEN(N109)</f>
        <v>0</v>
      </c>
    </row>
    <row r="110" spans="1:17" hidden="1" x14ac:dyDescent="0.25">
      <c r="A110" s="56" t="s">
        <v>137</v>
      </c>
      <c r="B110" s="961"/>
      <c r="C110" s="964"/>
      <c r="D110" s="942"/>
      <c r="E110" s="942"/>
      <c r="F110" s="885"/>
      <c r="G110" s="885"/>
      <c r="H110" s="81">
        <v>1</v>
      </c>
      <c r="I110" s="57"/>
      <c r="J110" s="57">
        <f>I110/H110</f>
        <v>0</v>
      </c>
      <c r="K110" s="57"/>
      <c r="L110" s="57"/>
      <c r="M110" s="111" t="s">
        <v>72</v>
      </c>
      <c r="N110" s="58"/>
      <c r="O110" s="139">
        <f t="shared" si="4"/>
        <v>0</v>
      </c>
    </row>
    <row r="111" spans="1:17" hidden="1" x14ac:dyDescent="0.25">
      <c r="A111" s="56" t="s">
        <v>138</v>
      </c>
      <c r="B111" s="961"/>
      <c r="C111" s="964"/>
      <c r="D111" s="942"/>
      <c r="E111" s="942"/>
      <c r="F111" s="885"/>
      <c r="G111" s="885"/>
      <c r="H111" s="81">
        <v>1</v>
      </c>
      <c r="I111" s="57"/>
      <c r="J111" s="57">
        <f>I111/H111</f>
        <v>0</v>
      </c>
      <c r="K111" s="57"/>
      <c r="L111" s="57"/>
      <c r="M111" s="111" t="s">
        <v>72</v>
      </c>
      <c r="N111" s="58"/>
      <c r="O111" s="139">
        <f t="shared" si="4"/>
        <v>0</v>
      </c>
    </row>
    <row r="112" spans="1:17" s="95" customFormat="1" hidden="1" x14ac:dyDescent="0.25">
      <c r="A112" s="97" t="s">
        <v>139</v>
      </c>
      <c r="B112" s="961"/>
      <c r="C112" s="964"/>
      <c r="D112" s="942"/>
      <c r="E112" s="942"/>
      <c r="F112" s="885"/>
      <c r="G112" s="885"/>
      <c r="H112" s="21">
        <v>1</v>
      </c>
      <c r="I112" s="122">
        <v>0.4</v>
      </c>
      <c r="J112" s="171">
        <f>I112/H112</f>
        <v>0.4</v>
      </c>
      <c r="K112" s="122"/>
      <c r="L112" s="122"/>
      <c r="M112" s="21" t="s">
        <v>72</v>
      </c>
      <c r="N112" s="199" t="s">
        <v>253</v>
      </c>
      <c r="O112" s="139">
        <f t="shared" si="4"/>
        <v>190</v>
      </c>
    </row>
    <row r="113" spans="1:15" s="1" customFormat="1" hidden="1" x14ac:dyDescent="0.25">
      <c r="A113" s="128" t="s">
        <v>140</v>
      </c>
      <c r="B113" s="961"/>
      <c r="C113" s="964"/>
      <c r="D113" s="942"/>
      <c r="E113" s="942"/>
      <c r="F113" s="885"/>
      <c r="G113" s="885"/>
      <c r="H113" s="21">
        <v>1</v>
      </c>
      <c r="I113" s="165">
        <v>0.9</v>
      </c>
      <c r="J113" s="172">
        <f>+I113</f>
        <v>0.9</v>
      </c>
      <c r="K113" s="165"/>
      <c r="L113" s="165"/>
      <c r="M113" s="141" t="s">
        <v>72</v>
      </c>
      <c r="N113" s="173" t="s">
        <v>262</v>
      </c>
      <c r="O113" s="174">
        <f t="shared" si="4"/>
        <v>199</v>
      </c>
    </row>
    <row r="114" spans="1:15" ht="15.75" hidden="1" thickBot="1" x14ac:dyDescent="0.3">
      <c r="A114" s="175" t="s">
        <v>141</v>
      </c>
      <c r="B114" s="962"/>
      <c r="C114" s="965"/>
      <c r="D114" s="943"/>
      <c r="E114" s="943"/>
      <c r="F114" s="932"/>
      <c r="G114" s="932"/>
      <c r="H114" s="176">
        <v>1</v>
      </c>
      <c r="I114" s="177">
        <v>1</v>
      </c>
      <c r="J114" s="178">
        <v>1</v>
      </c>
      <c r="K114" s="177"/>
      <c r="L114" s="177"/>
      <c r="M114" s="179" t="s">
        <v>72</v>
      </c>
      <c r="N114" s="180" t="s">
        <v>265</v>
      </c>
      <c r="O114" s="139">
        <f t="shared" si="4"/>
        <v>193</v>
      </c>
    </row>
    <row r="115" spans="1:15" hidden="1" x14ac:dyDescent="0.25">
      <c r="A115" s="78"/>
      <c r="B115" s="140"/>
      <c r="C115" s="140"/>
      <c r="D115" s="140"/>
      <c r="E115" s="140"/>
      <c r="F115" s="79"/>
      <c r="G115" s="79"/>
      <c r="H115" s="79"/>
      <c r="I115" s="80"/>
      <c r="J115" s="80"/>
      <c r="K115" s="80"/>
      <c r="L115" s="80"/>
      <c r="M115" s="80"/>
      <c r="N115" s="80"/>
      <c r="O115" s="140"/>
    </row>
    <row r="116" spans="1:15" ht="15.75" hidden="1" thickBot="1" x14ac:dyDescent="0.3">
      <c r="A116" s="78"/>
      <c r="B116" s="140"/>
      <c r="C116" s="140"/>
      <c r="D116" s="140"/>
      <c r="E116" s="140"/>
      <c r="F116" s="79"/>
      <c r="G116" s="79"/>
      <c r="H116" s="79"/>
      <c r="I116" s="80"/>
      <c r="J116" s="80"/>
      <c r="K116" s="80"/>
      <c r="L116" s="80"/>
      <c r="M116" s="80"/>
      <c r="N116" s="80"/>
      <c r="O116" s="140"/>
    </row>
    <row r="117" spans="1:15" ht="38.25" hidden="1" x14ac:dyDescent="0.25">
      <c r="A117" s="82" t="s">
        <v>49</v>
      </c>
      <c r="B117" s="112" t="s">
        <v>153</v>
      </c>
      <c r="C117" s="113" t="s">
        <v>154</v>
      </c>
      <c r="D117" s="83" t="s">
        <v>155</v>
      </c>
      <c r="E117" s="83" t="s">
        <v>156</v>
      </c>
      <c r="F117" s="83" t="s">
        <v>157</v>
      </c>
      <c r="G117" s="83" t="s">
        <v>158</v>
      </c>
      <c r="H117" s="83" t="s">
        <v>159</v>
      </c>
      <c r="I117" s="83" t="s">
        <v>160</v>
      </c>
      <c r="J117" s="84" t="s">
        <v>161</v>
      </c>
      <c r="K117" s="83" t="s">
        <v>162</v>
      </c>
      <c r="L117" s="83" t="s">
        <v>163</v>
      </c>
      <c r="M117" s="83" t="s">
        <v>164</v>
      </c>
      <c r="N117" s="85" t="s">
        <v>165</v>
      </c>
      <c r="O117" s="140"/>
    </row>
    <row r="118" spans="1:15" hidden="1" x14ac:dyDescent="0.25">
      <c r="A118" s="56" t="s">
        <v>136</v>
      </c>
      <c r="B118" s="960" t="s">
        <v>224</v>
      </c>
      <c r="C118" s="963" t="s">
        <v>225</v>
      </c>
      <c r="D118" s="953" t="s">
        <v>226</v>
      </c>
      <c r="E118" s="953" t="s">
        <v>228</v>
      </c>
      <c r="F118" s="884">
        <v>100</v>
      </c>
      <c r="G118" s="884">
        <v>370</v>
      </c>
      <c r="H118" s="81">
        <v>5</v>
      </c>
      <c r="I118" s="57"/>
      <c r="J118" s="57">
        <f t="shared" ref="J118:J123" si="5">I118/H118</f>
        <v>0</v>
      </c>
      <c r="K118" s="57"/>
      <c r="L118" s="57"/>
      <c r="M118" s="111" t="s">
        <v>72</v>
      </c>
      <c r="N118" s="58"/>
      <c r="O118" s="139">
        <f t="shared" ref="O118:O123" si="6">LEN(N118)</f>
        <v>0</v>
      </c>
    </row>
    <row r="119" spans="1:15" hidden="1" x14ac:dyDescent="0.25">
      <c r="A119" s="56" t="s">
        <v>137</v>
      </c>
      <c r="B119" s="961"/>
      <c r="C119" s="964"/>
      <c r="D119" s="942"/>
      <c r="E119" s="942"/>
      <c r="F119" s="885"/>
      <c r="G119" s="885"/>
      <c r="H119" s="81">
        <v>5</v>
      </c>
      <c r="I119" s="57"/>
      <c r="J119" s="57">
        <f t="shared" si="5"/>
        <v>0</v>
      </c>
      <c r="K119" s="57"/>
      <c r="L119" s="57"/>
      <c r="M119" s="111" t="s">
        <v>72</v>
      </c>
      <c r="N119" s="58"/>
      <c r="O119" s="139">
        <f t="shared" si="6"/>
        <v>0</v>
      </c>
    </row>
    <row r="120" spans="1:15" hidden="1" x14ac:dyDescent="0.25">
      <c r="A120" s="56" t="s">
        <v>138</v>
      </c>
      <c r="B120" s="961"/>
      <c r="C120" s="964"/>
      <c r="D120" s="942"/>
      <c r="E120" s="942"/>
      <c r="F120" s="885"/>
      <c r="G120" s="885"/>
      <c r="H120" s="81">
        <v>5</v>
      </c>
      <c r="I120" s="57"/>
      <c r="J120" s="57">
        <f t="shared" si="5"/>
        <v>0</v>
      </c>
      <c r="K120" s="57"/>
      <c r="L120" s="57"/>
      <c r="M120" s="111" t="s">
        <v>72</v>
      </c>
      <c r="N120" s="58"/>
      <c r="O120" s="139">
        <f t="shared" si="6"/>
        <v>0</v>
      </c>
    </row>
    <row r="121" spans="1:15" s="95" customFormat="1" hidden="1" x14ac:dyDescent="0.25">
      <c r="A121" s="97" t="s">
        <v>139</v>
      </c>
      <c r="B121" s="961"/>
      <c r="C121" s="964"/>
      <c r="D121" s="942"/>
      <c r="E121" s="942"/>
      <c r="F121" s="885"/>
      <c r="G121" s="885"/>
      <c r="H121" s="21">
        <v>5</v>
      </c>
      <c r="I121" s="122">
        <v>1.54</v>
      </c>
      <c r="J121" s="171">
        <f t="shared" si="5"/>
        <v>0.308</v>
      </c>
      <c r="K121" s="122"/>
      <c r="L121" s="122"/>
      <c r="M121" s="21" t="s">
        <v>72</v>
      </c>
      <c r="N121" s="199" t="s">
        <v>248</v>
      </c>
      <c r="O121" s="200">
        <f t="shared" si="6"/>
        <v>200</v>
      </c>
    </row>
    <row r="122" spans="1:15" hidden="1" x14ac:dyDescent="0.25">
      <c r="A122" s="128" t="s">
        <v>140</v>
      </c>
      <c r="B122" s="961"/>
      <c r="C122" s="964"/>
      <c r="D122" s="942"/>
      <c r="E122" s="942"/>
      <c r="F122" s="885"/>
      <c r="G122" s="885"/>
      <c r="H122" s="21">
        <v>5</v>
      </c>
      <c r="I122" s="165">
        <v>2.54</v>
      </c>
      <c r="J122" s="181">
        <f t="shared" si="5"/>
        <v>0.50800000000000001</v>
      </c>
      <c r="K122" s="165"/>
      <c r="L122" s="165"/>
      <c r="M122" s="141" t="s">
        <v>72</v>
      </c>
      <c r="N122" s="173" t="s">
        <v>255</v>
      </c>
      <c r="O122" s="139">
        <f t="shared" si="6"/>
        <v>121</v>
      </c>
    </row>
    <row r="123" spans="1:15" ht="15.75" hidden="1" thickBot="1" x14ac:dyDescent="0.3">
      <c r="A123" s="175" t="s">
        <v>141</v>
      </c>
      <c r="B123" s="962"/>
      <c r="C123" s="965"/>
      <c r="D123" s="943"/>
      <c r="E123" s="943"/>
      <c r="F123" s="932"/>
      <c r="G123" s="932"/>
      <c r="H123" s="176">
        <v>5</v>
      </c>
      <c r="I123" s="177">
        <v>5.29</v>
      </c>
      <c r="J123" s="182">
        <f t="shared" si="5"/>
        <v>1.0580000000000001</v>
      </c>
      <c r="K123" s="177"/>
      <c r="L123" s="177"/>
      <c r="M123" s="179" t="s">
        <v>72</v>
      </c>
      <c r="N123" s="180" t="s">
        <v>266</v>
      </c>
      <c r="O123" s="139">
        <f t="shared" si="6"/>
        <v>121</v>
      </c>
    </row>
    <row r="124" spans="1:15" hidden="1" x14ac:dyDescent="0.25">
      <c r="A124" s="78"/>
      <c r="B124" s="140"/>
      <c r="C124" s="140"/>
      <c r="D124" s="140"/>
      <c r="E124" s="140"/>
      <c r="F124" s="79"/>
      <c r="G124" s="79"/>
      <c r="H124" s="79"/>
      <c r="I124" s="80"/>
      <c r="J124" s="80"/>
      <c r="K124" s="80"/>
      <c r="L124" s="80"/>
      <c r="M124" s="80"/>
      <c r="N124" s="80"/>
      <c r="O124" s="140"/>
    </row>
    <row r="125" spans="1:15" ht="15.75" hidden="1" thickBot="1" x14ac:dyDescent="0.3">
      <c r="A125" s="78"/>
      <c r="B125" s="140"/>
      <c r="C125" s="140"/>
      <c r="D125" s="140"/>
      <c r="E125" s="140"/>
      <c r="F125" s="79"/>
      <c r="G125" s="79"/>
      <c r="H125" s="79"/>
      <c r="I125" s="80"/>
      <c r="J125" s="80"/>
      <c r="K125" s="80"/>
      <c r="L125" s="80"/>
      <c r="M125" s="80"/>
      <c r="N125" s="80"/>
      <c r="O125" s="140"/>
    </row>
    <row r="126" spans="1:15" ht="38.25" hidden="1" x14ac:dyDescent="0.25">
      <c r="A126" s="82" t="s">
        <v>49</v>
      </c>
      <c r="B126" s="112" t="s">
        <v>153</v>
      </c>
      <c r="C126" s="113" t="s">
        <v>154</v>
      </c>
      <c r="D126" s="83" t="s">
        <v>155</v>
      </c>
      <c r="E126" s="83" t="s">
        <v>156</v>
      </c>
      <c r="F126" s="83" t="s">
        <v>157</v>
      </c>
      <c r="G126" s="83" t="s">
        <v>158</v>
      </c>
      <c r="H126" s="83" t="s">
        <v>159</v>
      </c>
      <c r="I126" s="83" t="s">
        <v>160</v>
      </c>
      <c r="J126" s="84" t="s">
        <v>161</v>
      </c>
      <c r="K126" s="83" t="s">
        <v>162</v>
      </c>
      <c r="L126" s="83" t="s">
        <v>163</v>
      </c>
      <c r="M126" s="83" t="s">
        <v>164</v>
      </c>
      <c r="N126" s="85" t="s">
        <v>165</v>
      </c>
      <c r="O126" s="140"/>
    </row>
    <row r="127" spans="1:15" hidden="1" x14ac:dyDescent="0.25">
      <c r="A127" s="56" t="s">
        <v>136</v>
      </c>
      <c r="B127" s="960" t="s">
        <v>224</v>
      </c>
      <c r="C127" s="963" t="s">
        <v>225</v>
      </c>
      <c r="D127" s="953" t="s">
        <v>229</v>
      </c>
      <c r="E127" s="953" t="s">
        <v>228</v>
      </c>
      <c r="F127" s="884">
        <v>100</v>
      </c>
      <c r="G127" s="884">
        <v>590</v>
      </c>
      <c r="H127" s="81">
        <v>54</v>
      </c>
      <c r="I127" s="57"/>
      <c r="J127" s="57">
        <f t="shared" ref="J127:J132" si="7">I127/H127</f>
        <v>0</v>
      </c>
      <c r="K127" s="57"/>
      <c r="L127" s="57"/>
      <c r="M127" s="111" t="s">
        <v>72</v>
      </c>
      <c r="N127" s="58"/>
      <c r="O127" s="139">
        <f t="shared" ref="O127:O132" si="8">LEN(N127)</f>
        <v>0</v>
      </c>
    </row>
    <row r="128" spans="1:15" hidden="1" x14ac:dyDescent="0.25">
      <c r="A128" s="56" t="s">
        <v>137</v>
      </c>
      <c r="B128" s="961"/>
      <c r="C128" s="964"/>
      <c r="D128" s="942"/>
      <c r="E128" s="942"/>
      <c r="F128" s="885"/>
      <c r="G128" s="885"/>
      <c r="H128" s="81">
        <v>54</v>
      </c>
      <c r="I128" s="57"/>
      <c r="J128" s="57">
        <f t="shared" si="7"/>
        <v>0</v>
      </c>
      <c r="K128" s="57"/>
      <c r="L128" s="57"/>
      <c r="M128" s="111" t="s">
        <v>72</v>
      </c>
      <c r="N128" s="58"/>
      <c r="O128" s="139">
        <f t="shared" si="8"/>
        <v>0</v>
      </c>
    </row>
    <row r="129" spans="1:15" hidden="1" x14ac:dyDescent="0.25">
      <c r="A129" s="56" t="s">
        <v>138</v>
      </c>
      <c r="B129" s="961"/>
      <c r="C129" s="964"/>
      <c r="D129" s="942"/>
      <c r="E129" s="942"/>
      <c r="F129" s="885"/>
      <c r="G129" s="885"/>
      <c r="H129" s="81">
        <v>54</v>
      </c>
      <c r="I129" s="57"/>
      <c r="J129" s="57">
        <f t="shared" si="7"/>
        <v>0</v>
      </c>
      <c r="K129" s="57"/>
      <c r="L129" s="57"/>
      <c r="M129" s="111" t="s">
        <v>72</v>
      </c>
      <c r="N129" s="58"/>
      <c r="O129" s="139">
        <f t="shared" si="8"/>
        <v>0</v>
      </c>
    </row>
    <row r="130" spans="1:15" s="95" customFormat="1" hidden="1" x14ac:dyDescent="0.25">
      <c r="A130" s="97" t="s">
        <v>139</v>
      </c>
      <c r="B130" s="961"/>
      <c r="C130" s="964"/>
      <c r="D130" s="942"/>
      <c r="E130" s="942"/>
      <c r="F130" s="885"/>
      <c r="G130" s="885"/>
      <c r="H130" s="21">
        <v>54</v>
      </c>
      <c r="I130" s="122">
        <v>4.24</v>
      </c>
      <c r="J130" s="171">
        <f t="shared" si="7"/>
        <v>7.8518518518518529E-2</v>
      </c>
      <c r="K130" s="122"/>
      <c r="L130" s="122"/>
      <c r="M130" s="21" t="s">
        <v>72</v>
      </c>
      <c r="N130" s="199" t="s">
        <v>252</v>
      </c>
      <c r="O130" s="200">
        <f t="shared" si="8"/>
        <v>170</v>
      </c>
    </row>
    <row r="131" spans="1:15" hidden="1" x14ac:dyDescent="0.25">
      <c r="A131" s="128" t="s">
        <v>140</v>
      </c>
      <c r="B131" s="961"/>
      <c r="C131" s="964"/>
      <c r="D131" s="942"/>
      <c r="E131" s="942"/>
      <c r="F131" s="885"/>
      <c r="G131" s="885"/>
      <c r="H131" s="21">
        <v>54</v>
      </c>
      <c r="I131" s="165">
        <v>4.8099999999999996</v>
      </c>
      <c r="J131" s="183">
        <f t="shared" si="7"/>
        <v>8.9074074074074069E-2</v>
      </c>
      <c r="K131" s="165"/>
      <c r="L131" s="165"/>
      <c r="M131" s="141" t="s">
        <v>72</v>
      </c>
      <c r="N131" s="173" t="s">
        <v>256</v>
      </c>
      <c r="O131" s="139">
        <f t="shared" si="8"/>
        <v>200</v>
      </c>
    </row>
    <row r="132" spans="1:15" ht="15.75" hidden="1" thickBot="1" x14ac:dyDescent="0.3">
      <c r="A132" s="175" t="s">
        <v>141</v>
      </c>
      <c r="B132" s="962"/>
      <c r="C132" s="965"/>
      <c r="D132" s="943"/>
      <c r="E132" s="943"/>
      <c r="F132" s="932"/>
      <c r="G132" s="932"/>
      <c r="H132" s="176">
        <v>54</v>
      </c>
      <c r="I132" s="177">
        <v>5.24</v>
      </c>
      <c r="J132" s="182">
        <f t="shared" si="7"/>
        <v>9.7037037037037047E-2</v>
      </c>
      <c r="K132" s="177"/>
      <c r="L132" s="177"/>
      <c r="M132" s="179" t="s">
        <v>72</v>
      </c>
      <c r="N132" s="180" t="s">
        <v>267</v>
      </c>
      <c r="O132" s="139">
        <f t="shared" si="8"/>
        <v>198</v>
      </c>
    </row>
    <row r="133" spans="1:15" hidden="1" x14ac:dyDescent="0.25">
      <c r="A133" s="78"/>
      <c r="B133" s="140"/>
      <c r="C133" s="140"/>
      <c r="D133" s="140"/>
      <c r="E133" s="140"/>
      <c r="F133" s="79"/>
      <c r="G133" s="79"/>
      <c r="H133" s="79"/>
      <c r="I133" s="80"/>
      <c r="J133" s="80"/>
      <c r="K133" s="80"/>
      <c r="L133" s="80"/>
      <c r="M133" s="80"/>
      <c r="N133" s="80"/>
      <c r="O133" s="140"/>
    </row>
    <row r="134" spans="1:15" ht="15.75" hidden="1" thickBot="1" x14ac:dyDescent="0.3">
      <c r="A134" s="78"/>
      <c r="B134" s="140"/>
      <c r="C134" s="140"/>
      <c r="D134" s="140"/>
      <c r="E134" s="140"/>
      <c r="F134" s="79"/>
      <c r="G134" s="79"/>
      <c r="H134" s="79"/>
      <c r="I134" s="80"/>
      <c r="J134" s="80"/>
      <c r="K134" s="80"/>
      <c r="L134" s="80"/>
      <c r="M134" s="80"/>
      <c r="N134" s="80"/>
      <c r="O134" s="140"/>
    </row>
    <row r="135" spans="1:15" ht="38.25" hidden="1" x14ac:dyDescent="0.25">
      <c r="A135" s="82" t="s">
        <v>49</v>
      </c>
      <c r="B135" s="83" t="s">
        <v>153</v>
      </c>
      <c r="C135" s="83" t="s">
        <v>154</v>
      </c>
      <c r="D135" s="83" t="s">
        <v>155</v>
      </c>
      <c r="E135" s="83" t="s">
        <v>156</v>
      </c>
      <c r="F135" s="83" t="s">
        <v>157</v>
      </c>
      <c r="G135" s="83" t="s">
        <v>158</v>
      </c>
      <c r="H135" s="83" t="s">
        <v>159</v>
      </c>
      <c r="I135" s="83" t="s">
        <v>160</v>
      </c>
      <c r="J135" s="84" t="s">
        <v>161</v>
      </c>
      <c r="K135" s="83" t="s">
        <v>162</v>
      </c>
      <c r="L135" s="83" t="s">
        <v>163</v>
      </c>
      <c r="M135" s="83" t="s">
        <v>164</v>
      </c>
      <c r="N135" s="85" t="s">
        <v>165</v>
      </c>
      <c r="O135" s="140"/>
    </row>
    <row r="136" spans="1:15" hidden="1" x14ac:dyDescent="0.25">
      <c r="A136" s="56" t="s">
        <v>136</v>
      </c>
      <c r="B136" s="953" t="s">
        <v>230</v>
      </c>
      <c r="C136" s="953" t="s">
        <v>231</v>
      </c>
      <c r="D136" s="953" t="s">
        <v>232</v>
      </c>
      <c r="E136" s="884" t="s">
        <v>223</v>
      </c>
      <c r="F136" s="884">
        <v>100</v>
      </c>
      <c r="G136" s="884">
        <v>4</v>
      </c>
      <c r="H136" s="143">
        <v>0.27</v>
      </c>
      <c r="I136" s="57"/>
      <c r="J136" s="57">
        <f t="shared" ref="J136:J141" si="9">I136/H136</f>
        <v>0</v>
      </c>
      <c r="K136" s="57"/>
      <c r="L136" s="57"/>
      <c r="M136" s="111" t="s">
        <v>72</v>
      </c>
      <c r="N136" s="58"/>
      <c r="O136" s="139">
        <f t="shared" ref="O136:O141" si="10">LEN(N136)</f>
        <v>0</v>
      </c>
    </row>
    <row r="137" spans="1:15" hidden="1" x14ac:dyDescent="0.25">
      <c r="A137" s="56" t="s">
        <v>137</v>
      </c>
      <c r="B137" s="942"/>
      <c r="C137" s="942"/>
      <c r="D137" s="942"/>
      <c r="E137" s="885"/>
      <c r="F137" s="885"/>
      <c r="G137" s="885"/>
      <c r="H137" s="143">
        <v>0.27</v>
      </c>
      <c r="I137" s="57"/>
      <c r="J137" s="57">
        <f t="shared" si="9"/>
        <v>0</v>
      </c>
      <c r="K137" s="57"/>
      <c r="L137" s="57"/>
      <c r="M137" s="111" t="s">
        <v>72</v>
      </c>
      <c r="N137" s="58"/>
      <c r="O137" s="139">
        <f t="shared" si="10"/>
        <v>0</v>
      </c>
    </row>
    <row r="138" spans="1:15" hidden="1" x14ac:dyDescent="0.25">
      <c r="A138" s="56" t="s">
        <v>138</v>
      </c>
      <c r="B138" s="942"/>
      <c r="C138" s="942"/>
      <c r="D138" s="942"/>
      <c r="E138" s="885"/>
      <c r="F138" s="885"/>
      <c r="G138" s="885"/>
      <c r="H138" s="143">
        <v>0.27</v>
      </c>
      <c r="I138" s="57"/>
      <c r="J138" s="57">
        <f t="shared" si="9"/>
        <v>0</v>
      </c>
      <c r="K138" s="57"/>
      <c r="L138" s="57"/>
      <c r="M138" s="111" t="s">
        <v>72</v>
      </c>
      <c r="N138" s="58"/>
      <c r="O138" s="139">
        <f t="shared" si="10"/>
        <v>0</v>
      </c>
    </row>
    <row r="139" spans="1:15" s="95" customFormat="1" hidden="1" x14ac:dyDescent="0.25">
      <c r="A139" s="97" t="s">
        <v>139</v>
      </c>
      <c r="B139" s="942"/>
      <c r="C139" s="942"/>
      <c r="D139" s="942"/>
      <c r="E139" s="885"/>
      <c r="F139" s="885"/>
      <c r="G139" s="885"/>
      <c r="H139" s="123">
        <v>0.27</v>
      </c>
      <c r="I139" s="122">
        <v>0.14000000000000001</v>
      </c>
      <c r="J139" s="171">
        <f t="shared" si="9"/>
        <v>0.51851851851851849</v>
      </c>
      <c r="K139" s="122"/>
      <c r="L139" s="122"/>
      <c r="M139" s="21" t="s">
        <v>72</v>
      </c>
      <c r="N139" s="199" t="s">
        <v>254</v>
      </c>
      <c r="O139" s="200">
        <f t="shared" si="10"/>
        <v>194</v>
      </c>
    </row>
    <row r="140" spans="1:15" s="1" customFormat="1" hidden="1" x14ac:dyDescent="0.25">
      <c r="A140" s="128" t="s">
        <v>140</v>
      </c>
      <c r="B140" s="942"/>
      <c r="C140" s="942"/>
      <c r="D140" s="942"/>
      <c r="E140" s="885"/>
      <c r="F140" s="885"/>
      <c r="G140" s="885"/>
      <c r="H140" s="123">
        <v>0.27</v>
      </c>
      <c r="I140" s="184">
        <v>0.2</v>
      </c>
      <c r="J140" s="181">
        <f t="shared" si="9"/>
        <v>0.7407407407407407</v>
      </c>
      <c r="K140" s="165"/>
      <c r="L140" s="165"/>
      <c r="M140" s="141" t="s">
        <v>72</v>
      </c>
      <c r="N140" s="173" t="s">
        <v>257</v>
      </c>
      <c r="O140" s="174">
        <f t="shared" si="10"/>
        <v>154</v>
      </c>
    </row>
    <row r="141" spans="1:15" ht="15.75" hidden="1" thickBot="1" x14ac:dyDescent="0.3">
      <c r="A141" s="175" t="s">
        <v>141</v>
      </c>
      <c r="B141" s="943"/>
      <c r="C141" s="943"/>
      <c r="D141" s="943"/>
      <c r="E141" s="932"/>
      <c r="F141" s="932"/>
      <c r="G141" s="932"/>
      <c r="H141" s="176">
        <v>0.27</v>
      </c>
      <c r="I141" s="177">
        <v>0.26</v>
      </c>
      <c r="J141" s="182">
        <f t="shared" si="9"/>
        <v>0.96296296296296291</v>
      </c>
      <c r="K141" s="177"/>
      <c r="L141" s="177"/>
      <c r="M141" s="179" t="s">
        <v>72</v>
      </c>
      <c r="N141" s="180" t="s">
        <v>268</v>
      </c>
      <c r="O141" s="139">
        <f t="shared" si="10"/>
        <v>149</v>
      </c>
    </row>
    <row r="142" spans="1:15" s="1" customFormat="1" x14ac:dyDescent="0.25">
      <c r="A142" s="201"/>
      <c r="B142" s="202"/>
      <c r="C142" s="202"/>
      <c r="D142" s="202"/>
      <c r="E142" s="137"/>
      <c r="F142" s="137"/>
      <c r="G142" s="137"/>
      <c r="H142" s="137"/>
      <c r="I142" s="203"/>
      <c r="J142" s="204"/>
      <c r="K142" s="203"/>
      <c r="L142" s="203"/>
      <c r="M142" s="138"/>
      <c r="N142" s="203"/>
      <c r="O142" s="202"/>
    </row>
    <row r="143" spans="1:15" s="1" customFormat="1" ht="15.75" thickBot="1" x14ac:dyDescent="0.3">
      <c r="A143" s="201"/>
      <c r="B143" s="202"/>
      <c r="C143" s="202"/>
      <c r="D143" s="202"/>
      <c r="E143" s="145"/>
      <c r="F143" s="145"/>
      <c r="G143" s="145"/>
      <c r="H143" s="145"/>
      <c r="I143" s="203"/>
      <c r="J143" s="204"/>
      <c r="K143" s="203"/>
      <c r="L143" s="203"/>
      <c r="M143" s="144"/>
      <c r="N143" s="203"/>
      <c r="O143" s="202"/>
    </row>
    <row r="144" spans="1:15" ht="21" thickBot="1" x14ac:dyDescent="0.3">
      <c r="A144" s="922" t="s">
        <v>275</v>
      </c>
      <c r="B144" s="923"/>
      <c r="C144" s="969"/>
      <c r="D144" s="969"/>
      <c r="E144" s="969"/>
      <c r="F144" s="969"/>
      <c r="G144" s="969"/>
      <c r="H144" s="969"/>
      <c r="I144" s="969"/>
      <c r="J144" s="969"/>
      <c r="K144" s="969"/>
      <c r="L144" s="969"/>
      <c r="M144" s="969"/>
      <c r="N144" s="970"/>
    </row>
    <row r="145" spans="1:17" ht="38.25" x14ac:dyDescent="0.25">
      <c r="A145" s="53" t="s">
        <v>50</v>
      </c>
      <c r="B145" s="114" t="s">
        <v>153</v>
      </c>
      <c r="C145" s="113" t="s">
        <v>154</v>
      </c>
      <c r="D145" s="83" t="s">
        <v>155</v>
      </c>
      <c r="E145" s="83" t="s">
        <v>156</v>
      </c>
      <c r="F145" s="83" t="s">
        <v>166</v>
      </c>
      <c r="G145" s="83" t="s">
        <v>158</v>
      </c>
      <c r="H145" s="83" t="s">
        <v>167</v>
      </c>
      <c r="I145" s="83" t="s">
        <v>168</v>
      </c>
      <c r="J145" s="84" t="s">
        <v>169</v>
      </c>
      <c r="K145" s="83" t="s">
        <v>162</v>
      </c>
      <c r="L145" s="83" t="s">
        <v>163</v>
      </c>
      <c r="M145" s="83" t="s">
        <v>164</v>
      </c>
      <c r="N145" s="85" t="s">
        <v>165</v>
      </c>
      <c r="Q145" s="170">
        <f>J157-J156</f>
        <v>0</v>
      </c>
    </row>
    <row r="146" spans="1:17" x14ac:dyDescent="0.25">
      <c r="A146" s="238" t="s">
        <v>143</v>
      </c>
      <c r="B146" s="960" t="s">
        <v>221</v>
      </c>
      <c r="C146" s="963" t="s">
        <v>222</v>
      </c>
      <c r="D146" s="971" t="s">
        <v>227</v>
      </c>
      <c r="E146" s="953" t="s">
        <v>223</v>
      </c>
      <c r="F146" s="884">
        <v>100</v>
      </c>
      <c r="G146" s="884">
        <v>8</v>
      </c>
      <c r="H146" s="264">
        <v>2</v>
      </c>
      <c r="I146" s="243">
        <v>0</v>
      </c>
      <c r="J146" s="265">
        <f>I146/H146</f>
        <v>0</v>
      </c>
      <c r="K146" s="243"/>
      <c r="L146" s="243"/>
      <c r="M146" s="266" t="s">
        <v>72</v>
      </c>
      <c r="N146" s="244"/>
      <c r="O146" s="146">
        <f t="shared" ref="O146:O157" si="11">LEN(N146)</f>
        <v>0</v>
      </c>
    </row>
    <row r="147" spans="1:17" x14ac:dyDescent="0.25">
      <c r="A147" s="56" t="s">
        <v>144</v>
      </c>
      <c r="B147" s="961"/>
      <c r="C147" s="964"/>
      <c r="D147" s="1036"/>
      <c r="E147" s="942"/>
      <c r="F147" s="885"/>
      <c r="G147" s="885"/>
      <c r="H147" s="81">
        <v>2</v>
      </c>
      <c r="I147" s="57"/>
      <c r="J147" s="236">
        <f t="shared" ref="J147:J157" si="12">I147/H147</f>
        <v>0</v>
      </c>
      <c r="K147" s="57"/>
      <c r="L147" s="57"/>
      <c r="M147" s="111" t="s">
        <v>72</v>
      </c>
      <c r="N147" s="58"/>
      <c r="O147" s="146">
        <f t="shared" si="11"/>
        <v>0</v>
      </c>
    </row>
    <row r="148" spans="1:17" x14ac:dyDescent="0.25">
      <c r="A148" s="56" t="s">
        <v>145</v>
      </c>
      <c r="B148" s="961"/>
      <c r="C148" s="964"/>
      <c r="D148" s="1036"/>
      <c r="E148" s="942"/>
      <c r="F148" s="885"/>
      <c r="G148" s="885"/>
      <c r="H148" s="81">
        <v>2</v>
      </c>
      <c r="I148" s="57"/>
      <c r="J148" s="236">
        <f t="shared" si="12"/>
        <v>0</v>
      </c>
      <c r="K148" s="57"/>
      <c r="L148" s="57"/>
      <c r="M148" s="111" t="s">
        <v>72</v>
      </c>
      <c r="N148" s="58"/>
      <c r="O148" s="146">
        <f t="shared" si="11"/>
        <v>0</v>
      </c>
    </row>
    <row r="149" spans="1:17" x14ac:dyDescent="0.25">
      <c r="A149" s="56" t="s">
        <v>146</v>
      </c>
      <c r="B149" s="961"/>
      <c r="C149" s="964"/>
      <c r="D149" s="1036"/>
      <c r="E149" s="942"/>
      <c r="F149" s="885"/>
      <c r="G149" s="885"/>
      <c r="H149" s="81">
        <v>2</v>
      </c>
      <c r="I149" s="57"/>
      <c r="J149" s="236">
        <f t="shared" si="12"/>
        <v>0</v>
      </c>
      <c r="K149" s="57"/>
      <c r="L149" s="57"/>
      <c r="M149" s="111" t="s">
        <v>72</v>
      </c>
      <c r="N149" s="58"/>
      <c r="O149" s="146">
        <f t="shared" si="11"/>
        <v>0</v>
      </c>
    </row>
    <row r="150" spans="1:17" x14ac:dyDescent="0.25">
      <c r="A150" s="56" t="s">
        <v>147</v>
      </c>
      <c r="B150" s="961"/>
      <c r="C150" s="964"/>
      <c r="D150" s="1036"/>
      <c r="E150" s="942"/>
      <c r="F150" s="885"/>
      <c r="G150" s="885"/>
      <c r="H150" s="81">
        <v>2</v>
      </c>
      <c r="I150" s="57"/>
      <c r="J150" s="236">
        <f t="shared" si="12"/>
        <v>0</v>
      </c>
      <c r="K150" s="57"/>
      <c r="L150" s="57"/>
      <c r="M150" s="111" t="s">
        <v>72</v>
      </c>
      <c r="N150" s="58"/>
      <c r="O150" s="146">
        <f t="shared" si="11"/>
        <v>0</v>
      </c>
    </row>
    <row r="151" spans="1:17" x14ac:dyDescent="0.25">
      <c r="A151" s="56" t="s">
        <v>148</v>
      </c>
      <c r="B151" s="961"/>
      <c r="C151" s="964"/>
      <c r="D151" s="1036"/>
      <c r="E151" s="942"/>
      <c r="F151" s="885"/>
      <c r="G151" s="885"/>
      <c r="H151" s="81">
        <v>2</v>
      </c>
      <c r="I151" s="57"/>
      <c r="J151" s="236">
        <f t="shared" si="12"/>
        <v>0</v>
      </c>
      <c r="K151" s="57"/>
      <c r="L151" s="57"/>
      <c r="M151" s="111" t="s">
        <v>72</v>
      </c>
      <c r="N151" s="58"/>
      <c r="O151" s="146">
        <f t="shared" si="11"/>
        <v>0</v>
      </c>
    </row>
    <row r="152" spans="1:17" x14ac:dyDescent="0.25">
      <c r="A152" s="56" t="s">
        <v>136</v>
      </c>
      <c r="B152" s="961"/>
      <c r="C152" s="964"/>
      <c r="D152" s="1036"/>
      <c r="E152" s="942"/>
      <c r="F152" s="885"/>
      <c r="G152" s="885"/>
      <c r="H152" s="81">
        <v>2</v>
      </c>
      <c r="I152" s="57"/>
      <c r="J152" s="236">
        <f t="shared" si="12"/>
        <v>0</v>
      </c>
      <c r="K152" s="57"/>
      <c r="L152" s="57"/>
      <c r="M152" s="111" t="s">
        <v>72</v>
      </c>
      <c r="N152" s="58"/>
      <c r="O152" s="146">
        <f t="shared" si="11"/>
        <v>0</v>
      </c>
    </row>
    <row r="153" spans="1:17" x14ac:dyDescent="0.25">
      <c r="A153" s="56" t="s">
        <v>137</v>
      </c>
      <c r="B153" s="961"/>
      <c r="C153" s="964"/>
      <c r="D153" s="942"/>
      <c r="E153" s="942"/>
      <c r="F153" s="885"/>
      <c r="G153" s="885"/>
      <c r="H153" s="81">
        <v>2</v>
      </c>
      <c r="I153" s="57"/>
      <c r="J153" s="236">
        <f t="shared" si="12"/>
        <v>0</v>
      </c>
      <c r="K153" s="57"/>
      <c r="L153" s="57"/>
      <c r="M153" s="111" t="s">
        <v>72</v>
      </c>
      <c r="N153" s="58"/>
      <c r="O153" s="146">
        <f t="shared" si="11"/>
        <v>0</v>
      </c>
    </row>
    <row r="154" spans="1:17" x14ac:dyDescent="0.25">
      <c r="A154" s="56" t="s">
        <v>138</v>
      </c>
      <c r="B154" s="961"/>
      <c r="C154" s="964"/>
      <c r="D154" s="942"/>
      <c r="E154" s="942"/>
      <c r="F154" s="885"/>
      <c r="G154" s="885"/>
      <c r="H154" s="81">
        <v>2</v>
      </c>
      <c r="I154" s="57"/>
      <c r="J154" s="236">
        <f t="shared" si="12"/>
        <v>0</v>
      </c>
      <c r="K154" s="57"/>
      <c r="L154" s="57"/>
      <c r="M154" s="111" t="s">
        <v>72</v>
      </c>
      <c r="N154" s="58"/>
      <c r="O154" s="146">
        <f t="shared" si="11"/>
        <v>0</v>
      </c>
    </row>
    <row r="155" spans="1:17" s="95" customFormat="1" x14ac:dyDescent="0.25">
      <c r="A155" s="97" t="s">
        <v>139</v>
      </c>
      <c r="B155" s="961"/>
      <c r="C155" s="964"/>
      <c r="D155" s="942"/>
      <c r="E155" s="942"/>
      <c r="F155" s="885"/>
      <c r="G155" s="885"/>
      <c r="H155" s="81">
        <v>2</v>
      </c>
      <c r="I155" s="122"/>
      <c r="J155" s="236">
        <f t="shared" si="12"/>
        <v>0</v>
      </c>
      <c r="K155" s="122"/>
      <c r="L155" s="122"/>
      <c r="M155" s="111" t="s">
        <v>72</v>
      </c>
      <c r="N155" s="199"/>
      <c r="O155" s="146">
        <f t="shared" si="11"/>
        <v>0</v>
      </c>
    </row>
    <row r="156" spans="1:17" s="1" customFormat="1" x14ac:dyDescent="0.25">
      <c r="A156" s="128" t="s">
        <v>140</v>
      </c>
      <c r="B156" s="961"/>
      <c r="C156" s="964"/>
      <c r="D156" s="942"/>
      <c r="E156" s="942"/>
      <c r="F156" s="885"/>
      <c r="G156" s="885"/>
      <c r="H156" s="81">
        <v>2</v>
      </c>
      <c r="I156" s="165"/>
      <c r="J156" s="236">
        <f t="shared" si="12"/>
        <v>0</v>
      </c>
      <c r="K156" s="165"/>
      <c r="L156" s="165"/>
      <c r="M156" s="111" t="s">
        <v>72</v>
      </c>
      <c r="N156" s="173"/>
      <c r="O156" s="146">
        <f t="shared" si="11"/>
        <v>0</v>
      </c>
    </row>
    <row r="157" spans="1:17" s="1" customFormat="1" ht="15.75" thickBot="1" x14ac:dyDescent="0.3">
      <c r="A157" s="231" t="s">
        <v>141</v>
      </c>
      <c r="B157" s="962"/>
      <c r="C157" s="965"/>
      <c r="D157" s="943"/>
      <c r="E157" s="943"/>
      <c r="F157" s="932"/>
      <c r="G157" s="932"/>
      <c r="H157" s="234">
        <v>2</v>
      </c>
      <c r="I157" s="167"/>
      <c r="J157" s="237">
        <f t="shared" si="12"/>
        <v>0</v>
      </c>
      <c r="K157" s="167"/>
      <c r="L157" s="167"/>
      <c r="M157" s="235" t="s">
        <v>72</v>
      </c>
      <c r="N157" s="233"/>
      <c r="O157" s="146">
        <f t="shared" si="11"/>
        <v>0</v>
      </c>
    </row>
    <row r="158" spans="1:17" x14ac:dyDescent="0.25">
      <c r="A158" s="78"/>
      <c r="B158" s="147"/>
      <c r="C158" s="147"/>
      <c r="D158" s="147"/>
      <c r="E158" s="147"/>
      <c r="F158" s="79"/>
      <c r="G158" s="79"/>
      <c r="H158" s="79"/>
      <c r="I158" s="80"/>
      <c r="J158" s="80"/>
      <c r="K158" s="80"/>
      <c r="L158" s="80"/>
      <c r="M158" s="80"/>
      <c r="N158" s="80"/>
      <c r="O158" s="147"/>
    </row>
    <row r="159" spans="1:17" ht="15.75" thickBot="1" x14ac:dyDescent="0.3">
      <c r="A159" s="78"/>
      <c r="B159" s="147"/>
      <c r="C159" s="147"/>
      <c r="D159" s="147"/>
      <c r="E159" s="147"/>
      <c r="F159" s="79"/>
      <c r="G159" s="79"/>
      <c r="H159" s="79"/>
      <c r="I159" s="80"/>
      <c r="J159" s="80"/>
      <c r="K159" s="80"/>
      <c r="L159" s="80"/>
      <c r="M159" s="80"/>
      <c r="N159" s="80"/>
      <c r="O159" s="147"/>
    </row>
    <row r="160" spans="1:17" ht="38.25" x14ac:dyDescent="0.25">
      <c r="A160" s="82" t="s">
        <v>50</v>
      </c>
      <c r="B160" s="112" t="s">
        <v>153</v>
      </c>
      <c r="C160" s="113" t="s">
        <v>154</v>
      </c>
      <c r="D160" s="83" t="s">
        <v>155</v>
      </c>
      <c r="E160" s="83" t="s">
        <v>156</v>
      </c>
      <c r="F160" s="83" t="s">
        <v>166</v>
      </c>
      <c r="G160" s="83" t="s">
        <v>158</v>
      </c>
      <c r="H160" s="83" t="s">
        <v>167</v>
      </c>
      <c r="I160" s="83" t="s">
        <v>168</v>
      </c>
      <c r="J160" s="84" t="s">
        <v>169</v>
      </c>
      <c r="K160" s="83" t="s">
        <v>162</v>
      </c>
      <c r="L160" s="83" t="s">
        <v>163</v>
      </c>
      <c r="M160" s="83" t="s">
        <v>164</v>
      </c>
      <c r="N160" s="85" t="s">
        <v>165</v>
      </c>
      <c r="O160" s="147"/>
    </row>
    <row r="161" spans="1:15" x14ac:dyDescent="0.25">
      <c r="A161" s="238" t="s">
        <v>143</v>
      </c>
      <c r="B161" s="960" t="s">
        <v>224</v>
      </c>
      <c r="C161" s="963" t="s">
        <v>225</v>
      </c>
      <c r="D161" s="953" t="s">
        <v>226</v>
      </c>
      <c r="E161" s="953" t="s">
        <v>228</v>
      </c>
      <c r="F161" s="884">
        <v>100</v>
      </c>
      <c r="G161" s="884">
        <v>370</v>
      </c>
      <c r="H161" s="264">
        <v>50</v>
      </c>
      <c r="I161" s="243">
        <f>+GESTIÓN!AA14</f>
        <v>1</v>
      </c>
      <c r="J161" s="267">
        <f>I161/H161</f>
        <v>0.02</v>
      </c>
      <c r="K161" s="266" t="s">
        <v>72</v>
      </c>
      <c r="L161" s="266" t="s">
        <v>72</v>
      </c>
      <c r="M161" s="266" t="s">
        <v>72</v>
      </c>
      <c r="N161" s="244"/>
      <c r="O161" s="146">
        <f t="shared" ref="O161:O172" si="13">LEN(N161)</f>
        <v>0</v>
      </c>
    </row>
    <row r="162" spans="1:15" x14ac:dyDescent="0.25">
      <c r="A162" s="56" t="s">
        <v>144</v>
      </c>
      <c r="B162" s="961"/>
      <c r="C162" s="964"/>
      <c r="D162" s="942"/>
      <c r="E162" s="942"/>
      <c r="F162" s="885"/>
      <c r="G162" s="885"/>
      <c r="H162" s="81">
        <v>50</v>
      </c>
      <c r="I162" s="57"/>
      <c r="J162" s="236">
        <f t="shared" ref="J162:J172" si="14">I162/H162</f>
        <v>0</v>
      </c>
      <c r="K162" s="57"/>
      <c r="L162" s="57"/>
      <c r="M162" s="111" t="s">
        <v>72</v>
      </c>
      <c r="N162" s="58"/>
      <c r="O162" s="146">
        <f t="shared" si="13"/>
        <v>0</v>
      </c>
    </row>
    <row r="163" spans="1:15" x14ac:dyDescent="0.25">
      <c r="A163" s="56" t="s">
        <v>145</v>
      </c>
      <c r="B163" s="961"/>
      <c r="C163" s="964"/>
      <c r="D163" s="942"/>
      <c r="E163" s="942"/>
      <c r="F163" s="885"/>
      <c r="G163" s="885"/>
      <c r="H163" s="81">
        <v>50</v>
      </c>
      <c r="I163" s="57"/>
      <c r="J163" s="236">
        <f t="shared" si="14"/>
        <v>0</v>
      </c>
      <c r="K163" s="57"/>
      <c r="L163" s="57"/>
      <c r="M163" s="111" t="s">
        <v>72</v>
      </c>
      <c r="N163" s="58"/>
      <c r="O163" s="146">
        <f t="shared" si="13"/>
        <v>0</v>
      </c>
    </row>
    <row r="164" spans="1:15" x14ac:dyDescent="0.25">
      <c r="A164" s="56" t="s">
        <v>146</v>
      </c>
      <c r="B164" s="961"/>
      <c r="C164" s="964"/>
      <c r="D164" s="942"/>
      <c r="E164" s="942"/>
      <c r="F164" s="885"/>
      <c r="G164" s="885"/>
      <c r="H164" s="81">
        <v>50</v>
      </c>
      <c r="I164" s="57"/>
      <c r="J164" s="236">
        <f t="shared" si="14"/>
        <v>0</v>
      </c>
      <c r="K164" s="57"/>
      <c r="L164" s="57"/>
      <c r="M164" s="111" t="s">
        <v>72</v>
      </c>
      <c r="N164" s="58"/>
      <c r="O164" s="146">
        <f t="shared" si="13"/>
        <v>0</v>
      </c>
    </row>
    <row r="165" spans="1:15" x14ac:dyDescent="0.25">
      <c r="A165" s="56" t="s">
        <v>147</v>
      </c>
      <c r="B165" s="961"/>
      <c r="C165" s="964"/>
      <c r="D165" s="942"/>
      <c r="E165" s="942"/>
      <c r="F165" s="885"/>
      <c r="G165" s="885"/>
      <c r="H165" s="81">
        <v>50</v>
      </c>
      <c r="I165" s="57"/>
      <c r="J165" s="236">
        <f t="shared" si="14"/>
        <v>0</v>
      </c>
      <c r="K165" s="57"/>
      <c r="L165" s="57"/>
      <c r="M165" s="111" t="s">
        <v>72</v>
      </c>
      <c r="N165" s="58"/>
      <c r="O165" s="146">
        <f t="shared" si="13"/>
        <v>0</v>
      </c>
    </row>
    <row r="166" spans="1:15" x14ac:dyDescent="0.25">
      <c r="A166" s="56" t="s">
        <v>148</v>
      </c>
      <c r="B166" s="961"/>
      <c r="C166" s="964"/>
      <c r="D166" s="942"/>
      <c r="E166" s="942"/>
      <c r="F166" s="885"/>
      <c r="G166" s="885"/>
      <c r="H166" s="81">
        <v>50</v>
      </c>
      <c r="I166" s="57"/>
      <c r="J166" s="236">
        <f t="shared" si="14"/>
        <v>0</v>
      </c>
      <c r="K166" s="57"/>
      <c r="L166" s="57"/>
      <c r="M166" s="111" t="s">
        <v>72</v>
      </c>
      <c r="N166" s="58"/>
      <c r="O166" s="146">
        <f t="shared" si="13"/>
        <v>0</v>
      </c>
    </row>
    <row r="167" spans="1:15" x14ac:dyDescent="0.25">
      <c r="A167" s="56" t="s">
        <v>136</v>
      </c>
      <c r="B167" s="961"/>
      <c r="C167" s="964"/>
      <c r="D167" s="942"/>
      <c r="E167" s="942"/>
      <c r="F167" s="885"/>
      <c r="G167" s="885"/>
      <c r="H167" s="81">
        <v>50</v>
      </c>
      <c r="I167" s="57"/>
      <c r="J167" s="236">
        <f t="shared" si="14"/>
        <v>0</v>
      </c>
      <c r="K167" s="57"/>
      <c r="L167" s="57"/>
      <c r="M167" s="111" t="s">
        <v>72</v>
      </c>
      <c r="N167" s="58"/>
      <c r="O167" s="146">
        <f t="shared" si="13"/>
        <v>0</v>
      </c>
    </row>
    <row r="168" spans="1:15" x14ac:dyDescent="0.25">
      <c r="A168" s="56" t="s">
        <v>137</v>
      </c>
      <c r="B168" s="961"/>
      <c r="C168" s="964"/>
      <c r="D168" s="942"/>
      <c r="E168" s="942"/>
      <c r="F168" s="885"/>
      <c r="G168" s="885"/>
      <c r="H168" s="81">
        <v>50</v>
      </c>
      <c r="I168" s="57"/>
      <c r="J168" s="236">
        <f t="shared" si="14"/>
        <v>0</v>
      </c>
      <c r="K168" s="57"/>
      <c r="L168" s="57"/>
      <c r="M168" s="111" t="s">
        <v>72</v>
      </c>
      <c r="N168" s="58"/>
      <c r="O168" s="146">
        <f t="shared" si="13"/>
        <v>0</v>
      </c>
    </row>
    <row r="169" spans="1:15" x14ac:dyDescent="0.25">
      <c r="A169" s="56" t="s">
        <v>138</v>
      </c>
      <c r="B169" s="961"/>
      <c r="C169" s="964"/>
      <c r="D169" s="942"/>
      <c r="E169" s="942"/>
      <c r="F169" s="885"/>
      <c r="G169" s="885"/>
      <c r="H169" s="81">
        <v>50</v>
      </c>
      <c r="I169" s="57"/>
      <c r="J169" s="236">
        <f t="shared" si="14"/>
        <v>0</v>
      </c>
      <c r="K169" s="57"/>
      <c r="L169" s="57"/>
      <c r="M169" s="111" t="s">
        <v>72</v>
      </c>
      <c r="N169" s="58"/>
      <c r="O169" s="146">
        <f t="shared" si="13"/>
        <v>0</v>
      </c>
    </row>
    <row r="170" spans="1:15" s="95" customFormat="1" x14ac:dyDescent="0.25">
      <c r="A170" s="97" t="s">
        <v>139</v>
      </c>
      <c r="B170" s="961"/>
      <c r="C170" s="964"/>
      <c r="D170" s="942"/>
      <c r="E170" s="942"/>
      <c r="F170" s="885"/>
      <c r="G170" s="885"/>
      <c r="H170" s="81">
        <v>50</v>
      </c>
      <c r="I170" s="122"/>
      <c r="J170" s="236">
        <f t="shared" si="14"/>
        <v>0</v>
      </c>
      <c r="K170" s="122"/>
      <c r="L170" s="122"/>
      <c r="M170" s="111" t="s">
        <v>72</v>
      </c>
      <c r="N170" s="199"/>
      <c r="O170" s="146">
        <f t="shared" si="13"/>
        <v>0</v>
      </c>
    </row>
    <row r="171" spans="1:15" x14ac:dyDescent="0.25">
      <c r="A171" s="128" t="s">
        <v>140</v>
      </c>
      <c r="B171" s="961"/>
      <c r="C171" s="964"/>
      <c r="D171" s="942"/>
      <c r="E171" s="942"/>
      <c r="F171" s="885"/>
      <c r="G171" s="885"/>
      <c r="H171" s="81">
        <v>50</v>
      </c>
      <c r="I171" s="165"/>
      <c r="J171" s="236">
        <f t="shared" si="14"/>
        <v>0</v>
      </c>
      <c r="K171" s="165"/>
      <c r="L171" s="165"/>
      <c r="M171" s="111" t="s">
        <v>72</v>
      </c>
      <c r="N171" s="173"/>
      <c r="O171" s="146">
        <f t="shared" si="13"/>
        <v>0</v>
      </c>
    </row>
    <row r="172" spans="1:15" s="1" customFormat="1" ht="15.75" thickBot="1" x14ac:dyDescent="0.3">
      <c r="A172" s="231" t="s">
        <v>141</v>
      </c>
      <c r="B172" s="962"/>
      <c r="C172" s="965"/>
      <c r="D172" s="943"/>
      <c r="E172" s="943"/>
      <c r="F172" s="932"/>
      <c r="G172" s="932"/>
      <c r="H172" s="234">
        <v>50</v>
      </c>
      <c r="I172" s="167"/>
      <c r="J172" s="237">
        <f t="shared" si="14"/>
        <v>0</v>
      </c>
      <c r="K172" s="167"/>
      <c r="L172" s="167"/>
      <c r="M172" s="235" t="s">
        <v>72</v>
      </c>
      <c r="N172" s="233"/>
      <c r="O172" s="146">
        <f t="shared" si="13"/>
        <v>0</v>
      </c>
    </row>
    <row r="173" spans="1:15" x14ac:dyDescent="0.25">
      <c r="A173" s="78"/>
      <c r="B173" s="147"/>
      <c r="C173" s="147"/>
      <c r="D173" s="147"/>
      <c r="E173" s="147"/>
      <c r="F173" s="79"/>
      <c r="G173" s="79"/>
      <c r="H173" s="79"/>
      <c r="I173" s="80"/>
      <c r="J173" s="80"/>
      <c r="K173" s="80"/>
      <c r="L173" s="80"/>
      <c r="M173" s="80"/>
      <c r="N173" s="80"/>
      <c r="O173" s="147"/>
    </row>
    <row r="174" spans="1:15" ht="15.75" thickBot="1" x14ac:dyDescent="0.3">
      <c r="A174" s="78"/>
      <c r="B174" s="147"/>
      <c r="C174" s="147"/>
      <c r="D174" s="147"/>
      <c r="E174" s="147"/>
      <c r="F174" s="79"/>
      <c r="G174" s="79"/>
      <c r="H174" s="79"/>
      <c r="I174" s="80"/>
      <c r="J174" s="80"/>
      <c r="K174" s="80"/>
      <c r="L174" s="80"/>
      <c r="M174" s="80"/>
      <c r="N174" s="80"/>
      <c r="O174" s="147"/>
    </row>
    <row r="175" spans="1:15" ht="38.25" x14ac:dyDescent="0.25">
      <c r="A175" s="82" t="s">
        <v>50</v>
      </c>
      <c r="B175" s="112" t="s">
        <v>153</v>
      </c>
      <c r="C175" s="113" t="s">
        <v>154</v>
      </c>
      <c r="D175" s="83" t="s">
        <v>155</v>
      </c>
      <c r="E175" s="83" t="s">
        <v>156</v>
      </c>
      <c r="F175" s="83" t="s">
        <v>166</v>
      </c>
      <c r="G175" s="83" t="s">
        <v>158</v>
      </c>
      <c r="H175" s="83" t="s">
        <v>167</v>
      </c>
      <c r="I175" s="83" t="s">
        <v>168</v>
      </c>
      <c r="J175" s="84" t="s">
        <v>169</v>
      </c>
      <c r="K175" s="83" t="s">
        <v>162</v>
      </c>
      <c r="L175" s="83" t="s">
        <v>163</v>
      </c>
      <c r="M175" s="83" t="s">
        <v>164</v>
      </c>
      <c r="N175" s="85" t="s">
        <v>165</v>
      </c>
      <c r="O175" s="147"/>
    </row>
    <row r="176" spans="1:15" x14ac:dyDescent="0.25">
      <c r="A176" s="238" t="s">
        <v>143</v>
      </c>
      <c r="B176" s="960" t="s">
        <v>224</v>
      </c>
      <c r="C176" s="963" t="s">
        <v>225</v>
      </c>
      <c r="D176" s="953" t="s">
        <v>229</v>
      </c>
      <c r="E176" s="953" t="s">
        <v>228</v>
      </c>
      <c r="F176" s="884">
        <v>100</v>
      </c>
      <c r="G176" s="884">
        <v>590</v>
      </c>
      <c r="H176" s="264">
        <v>590</v>
      </c>
      <c r="I176" s="243" t="str">
        <f>+GESTIÓN!AA18</f>
        <v>( - )</v>
      </c>
      <c r="J176" s="267" t="e">
        <f>I176/H176</f>
        <v>#VALUE!</v>
      </c>
      <c r="K176" s="266" t="s">
        <v>72</v>
      </c>
      <c r="L176" s="266" t="s">
        <v>72</v>
      </c>
      <c r="M176" s="266" t="s">
        <v>72</v>
      </c>
      <c r="N176" s="244"/>
      <c r="O176" s="146">
        <f t="shared" ref="O176:O187" si="15">LEN(N176)</f>
        <v>0</v>
      </c>
    </row>
    <row r="177" spans="1:15" x14ac:dyDescent="0.25">
      <c r="A177" s="56" t="s">
        <v>144</v>
      </c>
      <c r="B177" s="961"/>
      <c r="C177" s="964"/>
      <c r="D177" s="942"/>
      <c r="E177" s="942"/>
      <c r="F177" s="885"/>
      <c r="G177" s="885"/>
      <c r="H177" s="81">
        <v>590</v>
      </c>
      <c r="I177" s="57"/>
      <c r="J177" s="236">
        <f t="shared" ref="J177:J187" si="16">I177/H177</f>
        <v>0</v>
      </c>
      <c r="K177" s="57"/>
      <c r="L177" s="57"/>
      <c r="M177" s="111"/>
      <c r="N177" s="58"/>
      <c r="O177" s="146">
        <f t="shared" si="15"/>
        <v>0</v>
      </c>
    </row>
    <row r="178" spans="1:15" x14ac:dyDescent="0.25">
      <c r="A178" s="56" t="s">
        <v>145</v>
      </c>
      <c r="B178" s="961"/>
      <c r="C178" s="964"/>
      <c r="D178" s="942"/>
      <c r="E178" s="942"/>
      <c r="F178" s="885"/>
      <c r="G178" s="885"/>
      <c r="H178" s="81">
        <v>590</v>
      </c>
      <c r="I178" s="57"/>
      <c r="J178" s="236">
        <f t="shared" si="16"/>
        <v>0</v>
      </c>
      <c r="K178" s="57"/>
      <c r="L178" s="57"/>
      <c r="M178" s="111"/>
      <c r="N178" s="58"/>
      <c r="O178" s="146">
        <f t="shared" si="15"/>
        <v>0</v>
      </c>
    </row>
    <row r="179" spans="1:15" x14ac:dyDescent="0.25">
      <c r="A179" s="56" t="s">
        <v>146</v>
      </c>
      <c r="B179" s="961"/>
      <c r="C179" s="964"/>
      <c r="D179" s="942"/>
      <c r="E179" s="942"/>
      <c r="F179" s="885"/>
      <c r="G179" s="885"/>
      <c r="H179" s="81">
        <v>590</v>
      </c>
      <c r="I179" s="57"/>
      <c r="J179" s="236">
        <f t="shared" si="16"/>
        <v>0</v>
      </c>
      <c r="K179" s="57"/>
      <c r="L179" s="57"/>
      <c r="M179" s="111"/>
      <c r="N179" s="58"/>
      <c r="O179" s="146">
        <f t="shared" si="15"/>
        <v>0</v>
      </c>
    </row>
    <row r="180" spans="1:15" x14ac:dyDescent="0.25">
      <c r="A180" s="56" t="s">
        <v>147</v>
      </c>
      <c r="B180" s="961"/>
      <c r="C180" s="964"/>
      <c r="D180" s="942"/>
      <c r="E180" s="942"/>
      <c r="F180" s="885"/>
      <c r="G180" s="885"/>
      <c r="H180" s="81">
        <v>590</v>
      </c>
      <c r="I180" s="57"/>
      <c r="J180" s="236">
        <f t="shared" si="16"/>
        <v>0</v>
      </c>
      <c r="K180" s="57"/>
      <c r="L180" s="57"/>
      <c r="M180" s="111"/>
      <c r="N180" s="58"/>
      <c r="O180" s="146">
        <f t="shared" si="15"/>
        <v>0</v>
      </c>
    </row>
    <row r="181" spans="1:15" x14ac:dyDescent="0.25">
      <c r="A181" s="56" t="s">
        <v>148</v>
      </c>
      <c r="B181" s="961"/>
      <c r="C181" s="964"/>
      <c r="D181" s="942"/>
      <c r="E181" s="942"/>
      <c r="F181" s="885"/>
      <c r="G181" s="885"/>
      <c r="H181" s="81">
        <v>590</v>
      </c>
      <c r="I181" s="57"/>
      <c r="J181" s="236">
        <f t="shared" si="16"/>
        <v>0</v>
      </c>
      <c r="K181" s="57"/>
      <c r="L181" s="57"/>
      <c r="M181" s="111"/>
      <c r="N181" s="58"/>
      <c r="O181" s="146">
        <f t="shared" si="15"/>
        <v>0</v>
      </c>
    </row>
    <row r="182" spans="1:15" x14ac:dyDescent="0.25">
      <c r="A182" s="56" t="s">
        <v>136</v>
      </c>
      <c r="B182" s="961"/>
      <c r="C182" s="964"/>
      <c r="D182" s="942"/>
      <c r="E182" s="942"/>
      <c r="F182" s="885"/>
      <c r="G182" s="885"/>
      <c r="H182" s="81">
        <v>590</v>
      </c>
      <c r="I182" s="57"/>
      <c r="J182" s="236">
        <f t="shared" si="16"/>
        <v>0</v>
      </c>
      <c r="K182" s="57"/>
      <c r="L182" s="57"/>
      <c r="M182" s="111"/>
      <c r="N182" s="58"/>
      <c r="O182" s="146">
        <f t="shared" si="15"/>
        <v>0</v>
      </c>
    </row>
    <row r="183" spans="1:15" x14ac:dyDescent="0.25">
      <c r="A183" s="56" t="s">
        <v>137</v>
      </c>
      <c r="B183" s="961"/>
      <c r="C183" s="964"/>
      <c r="D183" s="942"/>
      <c r="E183" s="942"/>
      <c r="F183" s="885"/>
      <c r="G183" s="885"/>
      <c r="H183" s="81">
        <v>590</v>
      </c>
      <c r="I183" s="57"/>
      <c r="J183" s="236">
        <f t="shared" si="16"/>
        <v>0</v>
      </c>
      <c r="K183" s="57"/>
      <c r="L183" s="57"/>
      <c r="M183" s="111"/>
      <c r="N183" s="58"/>
      <c r="O183" s="146">
        <f t="shared" si="15"/>
        <v>0</v>
      </c>
    </row>
    <row r="184" spans="1:15" x14ac:dyDescent="0.25">
      <c r="A184" s="56" t="s">
        <v>138</v>
      </c>
      <c r="B184" s="961"/>
      <c r="C184" s="964"/>
      <c r="D184" s="942"/>
      <c r="E184" s="942"/>
      <c r="F184" s="885"/>
      <c r="G184" s="885"/>
      <c r="H184" s="81">
        <v>590</v>
      </c>
      <c r="I184" s="57"/>
      <c r="J184" s="236">
        <f t="shared" si="16"/>
        <v>0</v>
      </c>
      <c r="K184" s="57"/>
      <c r="L184" s="57"/>
      <c r="M184" s="111"/>
      <c r="N184" s="58"/>
      <c r="O184" s="146">
        <f t="shared" si="15"/>
        <v>0</v>
      </c>
    </row>
    <row r="185" spans="1:15" s="95" customFormat="1" x14ac:dyDescent="0.25">
      <c r="A185" s="97" t="s">
        <v>139</v>
      </c>
      <c r="B185" s="961"/>
      <c r="C185" s="964"/>
      <c r="D185" s="942"/>
      <c r="E185" s="942"/>
      <c r="F185" s="885"/>
      <c r="G185" s="885"/>
      <c r="H185" s="81">
        <v>590</v>
      </c>
      <c r="I185" s="122"/>
      <c r="J185" s="236">
        <f t="shared" si="16"/>
        <v>0</v>
      </c>
      <c r="K185" s="122"/>
      <c r="L185" s="122"/>
      <c r="M185" s="21"/>
      <c r="N185" s="199"/>
      <c r="O185" s="146">
        <f t="shared" si="15"/>
        <v>0</v>
      </c>
    </row>
    <row r="186" spans="1:15" x14ac:dyDescent="0.25">
      <c r="A186" s="128" t="s">
        <v>140</v>
      </c>
      <c r="B186" s="961"/>
      <c r="C186" s="964"/>
      <c r="D186" s="942"/>
      <c r="E186" s="942"/>
      <c r="F186" s="885"/>
      <c r="G186" s="885"/>
      <c r="H186" s="81">
        <v>590</v>
      </c>
      <c r="I186" s="165"/>
      <c r="J186" s="236">
        <f t="shared" si="16"/>
        <v>0</v>
      </c>
      <c r="K186" s="165"/>
      <c r="L186" s="165"/>
      <c r="M186" s="148"/>
      <c r="N186" s="173"/>
      <c r="O186" s="146">
        <f t="shared" si="15"/>
        <v>0</v>
      </c>
    </row>
    <row r="187" spans="1:15" s="1" customFormat="1" ht="15.75" thickBot="1" x14ac:dyDescent="0.3">
      <c r="A187" s="231" t="s">
        <v>141</v>
      </c>
      <c r="B187" s="962"/>
      <c r="C187" s="965"/>
      <c r="D187" s="943"/>
      <c r="E187" s="943"/>
      <c r="F187" s="932"/>
      <c r="G187" s="932"/>
      <c r="H187" s="234">
        <v>590</v>
      </c>
      <c r="I187" s="167"/>
      <c r="J187" s="237">
        <f t="shared" si="16"/>
        <v>0</v>
      </c>
      <c r="K187" s="167"/>
      <c r="L187" s="167"/>
      <c r="M187" s="232"/>
      <c r="N187" s="233"/>
      <c r="O187" s="146">
        <f t="shared" si="15"/>
        <v>0</v>
      </c>
    </row>
    <row r="188" spans="1:15" x14ac:dyDescent="0.25">
      <c r="A188" s="78"/>
      <c r="B188" s="147"/>
      <c r="C188" s="147"/>
      <c r="D188" s="147"/>
      <c r="E188" s="147"/>
      <c r="F188" s="79"/>
      <c r="G188" s="79"/>
      <c r="H188" s="79"/>
      <c r="I188" s="80"/>
      <c r="J188" s="80"/>
      <c r="K188" s="80"/>
      <c r="L188" s="80"/>
      <c r="M188" s="80"/>
      <c r="N188" s="80"/>
      <c r="O188" s="147"/>
    </row>
    <row r="189" spans="1:15" ht="15.75" thickBot="1" x14ac:dyDescent="0.3">
      <c r="A189" s="78"/>
      <c r="B189" s="147"/>
      <c r="C189" s="147"/>
      <c r="D189" s="147"/>
      <c r="E189" s="147"/>
      <c r="F189" s="79"/>
      <c r="G189" s="79"/>
      <c r="H189" s="79"/>
      <c r="I189" s="80"/>
      <c r="J189" s="80"/>
      <c r="K189" s="80"/>
      <c r="L189" s="80"/>
      <c r="M189" s="80"/>
      <c r="N189" s="80"/>
      <c r="O189" s="147"/>
    </row>
    <row r="190" spans="1:15" ht="38.25" x14ac:dyDescent="0.25">
      <c r="A190" s="82" t="s">
        <v>50</v>
      </c>
      <c r="B190" s="83" t="s">
        <v>153</v>
      </c>
      <c r="C190" s="83" t="s">
        <v>154</v>
      </c>
      <c r="D190" s="83" t="s">
        <v>155</v>
      </c>
      <c r="E190" s="83" t="s">
        <v>156</v>
      </c>
      <c r="F190" s="83" t="s">
        <v>166</v>
      </c>
      <c r="G190" s="83" t="s">
        <v>158</v>
      </c>
      <c r="H190" s="83" t="s">
        <v>167</v>
      </c>
      <c r="I190" s="83" t="s">
        <v>168</v>
      </c>
      <c r="J190" s="84" t="s">
        <v>169</v>
      </c>
      <c r="K190" s="83" t="s">
        <v>162</v>
      </c>
      <c r="L190" s="83" t="s">
        <v>163</v>
      </c>
      <c r="M190" s="83" t="s">
        <v>164</v>
      </c>
      <c r="N190" s="85" t="s">
        <v>165</v>
      </c>
      <c r="O190" s="147"/>
    </row>
    <row r="191" spans="1:15" x14ac:dyDescent="0.25">
      <c r="A191" s="238" t="s">
        <v>143</v>
      </c>
      <c r="B191" s="953" t="s">
        <v>230</v>
      </c>
      <c r="C191" s="953" t="s">
        <v>231</v>
      </c>
      <c r="D191" s="953" t="s">
        <v>232</v>
      </c>
      <c r="E191" s="884" t="s">
        <v>223</v>
      </c>
      <c r="F191" s="884">
        <v>100</v>
      </c>
      <c r="G191" s="884">
        <v>4</v>
      </c>
      <c r="H191" s="268">
        <v>0.73</v>
      </c>
      <c r="I191" s="243" t="str">
        <f>+GESTIÓN!AA19</f>
        <v>( - )</v>
      </c>
      <c r="J191" s="267" t="e">
        <f t="shared" ref="J191:J202" si="17">I191/H191</f>
        <v>#VALUE!</v>
      </c>
      <c r="K191" s="269" t="e">
        <f>+INVERSIÓN!#REF!</f>
        <v>#REF!</v>
      </c>
      <c r="L191" s="266">
        <v>0</v>
      </c>
      <c r="M191" s="266" t="e">
        <f>L191/K191</f>
        <v>#REF!</v>
      </c>
      <c r="N191" s="244"/>
      <c r="O191" s="146">
        <f t="shared" ref="O191:O202" si="18">LEN(N191)</f>
        <v>0</v>
      </c>
    </row>
    <row r="192" spans="1:15" x14ac:dyDescent="0.25">
      <c r="A192" s="56" t="s">
        <v>144</v>
      </c>
      <c r="B192" s="942"/>
      <c r="C192" s="942"/>
      <c r="D192" s="942"/>
      <c r="E192" s="885"/>
      <c r="F192" s="885"/>
      <c r="G192" s="885"/>
      <c r="H192" s="149">
        <v>0.73</v>
      </c>
      <c r="I192" s="57"/>
      <c r="J192" s="236">
        <f t="shared" si="17"/>
        <v>0</v>
      </c>
      <c r="K192" s="57"/>
      <c r="L192" s="57"/>
      <c r="M192" s="111"/>
      <c r="N192" s="58"/>
      <c r="O192" s="146"/>
    </row>
    <row r="193" spans="1:15" x14ac:dyDescent="0.25">
      <c r="A193" s="56" t="s">
        <v>145</v>
      </c>
      <c r="B193" s="942"/>
      <c r="C193" s="942"/>
      <c r="D193" s="942"/>
      <c r="E193" s="885"/>
      <c r="F193" s="885"/>
      <c r="G193" s="885"/>
      <c r="H193" s="149">
        <v>0.73</v>
      </c>
      <c r="I193" s="57"/>
      <c r="J193" s="236">
        <f t="shared" si="17"/>
        <v>0</v>
      </c>
      <c r="K193" s="57"/>
      <c r="L193" s="57"/>
      <c r="M193" s="111"/>
      <c r="N193" s="58"/>
      <c r="O193" s="146"/>
    </row>
    <row r="194" spans="1:15" x14ac:dyDescent="0.25">
      <c r="A194" s="56" t="s">
        <v>146</v>
      </c>
      <c r="B194" s="942"/>
      <c r="C194" s="942"/>
      <c r="D194" s="942"/>
      <c r="E194" s="885"/>
      <c r="F194" s="885"/>
      <c r="G194" s="885"/>
      <c r="H194" s="149">
        <v>0.73</v>
      </c>
      <c r="I194" s="57"/>
      <c r="J194" s="236">
        <f t="shared" si="17"/>
        <v>0</v>
      </c>
      <c r="K194" s="57"/>
      <c r="L194" s="57"/>
      <c r="M194" s="111"/>
      <c r="N194" s="58"/>
      <c r="O194" s="146"/>
    </row>
    <row r="195" spans="1:15" x14ac:dyDescent="0.25">
      <c r="A195" s="56" t="s">
        <v>147</v>
      </c>
      <c r="B195" s="942"/>
      <c r="C195" s="942"/>
      <c r="D195" s="942"/>
      <c r="E195" s="885"/>
      <c r="F195" s="885"/>
      <c r="G195" s="885"/>
      <c r="H195" s="149">
        <v>0.73</v>
      </c>
      <c r="I195" s="57"/>
      <c r="J195" s="236">
        <f t="shared" si="17"/>
        <v>0</v>
      </c>
      <c r="K195" s="57"/>
      <c r="L195" s="57"/>
      <c r="M195" s="111"/>
      <c r="N195" s="58"/>
      <c r="O195" s="146"/>
    </row>
    <row r="196" spans="1:15" x14ac:dyDescent="0.25">
      <c r="A196" s="56" t="s">
        <v>148</v>
      </c>
      <c r="B196" s="942"/>
      <c r="C196" s="942"/>
      <c r="D196" s="942"/>
      <c r="E196" s="885"/>
      <c r="F196" s="885"/>
      <c r="G196" s="885"/>
      <c r="H196" s="149">
        <v>0.73</v>
      </c>
      <c r="I196" s="57"/>
      <c r="J196" s="236">
        <f t="shared" si="17"/>
        <v>0</v>
      </c>
      <c r="K196" s="57"/>
      <c r="L196" s="57"/>
      <c r="M196" s="111"/>
      <c r="N196" s="58"/>
      <c r="O196" s="146"/>
    </row>
    <row r="197" spans="1:15" x14ac:dyDescent="0.25">
      <c r="A197" s="56" t="s">
        <v>136</v>
      </c>
      <c r="B197" s="942"/>
      <c r="C197" s="942"/>
      <c r="D197" s="942"/>
      <c r="E197" s="885"/>
      <c r="F197" s="885"/>
      <c r="G197" s="885"/>
      <c r="H197" s="149">
        <v>0.73</v>
      </c>
      <c r="I197" s="57"/>
      <c r="J197" s="236">
        <f t="shared" si="17"/>
        <v>0</v>
      </c>
      <c r="K197" s="57"/>
      <c r="L197" s="57"/>
      <c r="M197" s="111"/>
      <c r="N197" s="58"/>
      <c r="O197" s="146"/>
    </row>
    <row r="198" spans="1:15" x14ac:dyDescent="0.25">
      <c r="A198" s="56" t="s">
        <v>137</v>
      </c>
      <c r="B198" s="942"/>
      <c r="C198" s="942"/>
      <c r="D198" s="942"/>
      <c r="E198" s="885"/>
      <c r="F198" s="885"/>
      <c r="G198" s="885"/>
      <c r="H198" s="149">
        <v>0.73</v>
      </c>
      <c r="I198" s="57"/>
      <c r="J198" s="236">
        <f t="shared" si="17"/>
        <v>0</v>
      </c>
      <c r="K198" s="57"/>
      <c r="L198" s="57"/>
      <c r="M198" s="111" t="s">
        <v>72</v>
      </c>
      <c r="N198" s="58"/>
      <c r="O198" s="146">
        <f t="shared" si="18"/>
        <v>0</v>
      </c>
    </row>
    <row r="199" spans="1:15" x14ac:dyDescent="0.25">
      <c r="A199" s="56" t="s">
        <v>138</v>
      </c>
      <c r="B199" s="942"/>
      <c r="C199" s="942"/>
      <c r="D199" s="942"/>
      <c r="E199" s="885"/>
      <c r="F199" s="885"/>
      <c r="G199" s="885"/>
      <c r="H199" s="149">
        <v>0.73</v>
      </c>
      <c r="I199" s="57"/>
      <c r="J199" s="236">
        <f t="shared" si="17"/>
        <v>0</v>
      </c>
      <c r="K199" s="57"/>
      <c r="L199" s="57"/>
      <c r="M199" s="111" t="s">
        <v>72</v>
      </c>
      <c r="N199" s="58"/>
      <c r="O199" s="146">
        <f t="shared" si="18"/>
        <v>0</v>
      </c>
    </row>
    <row r="200" spans="1:15" s="95" customFormat="1" x14ac:dyDescent="0.25">
      <c r="A200" s="97" t="s">
        <v>139</v>
      </c>
      <c r="B200" s="942"/>
      <c r="C200" s="942"/>
      <c r="D200" s="942"/>
      <c r="E200" s="885"/>
      <c r="F200" s="885"/>
      <c r="G200" s="885"/>
      <c r="H200" s="149">
        <v>0.73</v>
      </c>
      <c r="I200" s="122"/>
      <c r="J200" s="236">
        <f t="shared" si="17"/>
        <v>0</v>
      </c>
      <c r="K200" s="122"/>
      <c r="L200" s="122"/>
      <c r="M200" s="21" t="s">
        <v>72</v>
      </c>
      <c r="N200" s="199"/>
      <c r="O200" s="200">
        <f t="shared" si="18"/>
        <v>0</v>
      </c>
    </row>
    <row r="201" spans="1:15" s="1" customFormat="1" x14ac:dyDescent="0.25">
      <c r="A201" s="128" t="s">
        <v>140</v>
      </c>
      <c r="B201" s="942"/>
      <c r="C201" s="942"/>
      <c r="D201" s="942"/>
      <c r="E201" s="885"/>
      <c r="F201" s="885"/>
      <c r="G201" s="885"/>
      <c r="H201" s="149">
        <v>0.73</v>
      </c>
      <c r="I201" s="184"/>
      <c r="J201" s="236">
        <f t="shared" si="17"/>
        <v>0</v>
      </c>
      <c r="K201" s="165"/>
      <c r="L201" s="165"/>
      <c r="M201" s="148" t="s">
        <v>72</v>
      </c>
      <c r="N201" s="173"/>
      <c r="O201" s="174">
        <f t="shared" si="18"/>
        <v>0</v>
      </c>
    </row>
    <row r="202" spans="1:15" s="1" customFormat="1" ht="15.75" thickBot="1" x14ac:dyDescent="0.3">
      <c r="A202" s="231" t="s">
        <v>141</v>
      </c>
      <c r="B202" s="943"/>
      <c r="C202" s="943"/>
      <c r="D202" s="943"/>
      <c r="E202" s="932"/>
      <c r="F202" s="932"/>
      <c r="G202" s="932"/>
      <c r="H202" s="234">
        <v>0.73</v>
      </c>
      <c r="I202" s="167"/>
      <c r="J202" s="237">
        <f t="shared" si="17"/>
        <v>0</v>
      </c>
      <c r="K202" s="167"/>
      <c r="L202" s="167"/>
      <c r="M202" s="232" t="s">
        <v>72</v>
      </c>
      <c r="N202" s="233"/>
      <c r="O202" s="174">
        <f t="shared" si="18"/>
        <v>0</v>
      </c>
    </row>
    <row r="203" spans="1:15" s="1" customFormat="1" x14ac:dyDescent="0.25">
      <c r="A203" s="201"/>
      <c r="B203" s="202"/>
      <c r="C203" s="202"/>
      <c r="D203" s="202"/>
      <c r="E203" s="145"/>
      <c r="F203" s="145"/>
      <c r="G203" s="145"/>
      <c r="H203" s="145"/>
      <c r="I203" s="203"/>
      <c r="J203" s="204"/>
      <c r="K203" s="203"/>
      <c r="L203" s="203"/>
      <c r="M203" s="144"/>
      <c r="N203" s="203"/>
      <c r="O203" s="202"/>
    </row>
    <row r="204" spans="1:15" s="1" customFormat="1" x14ac:dyDescent="0.25">
      <c r="A204" s="201"/>
      <c r="B204" s="202"/>
      <c r="C204" s="202"/>
      <c r="D204" s="202"/>
      <c r="E204" s="145"/>
      <c r="F204" s="145"/>
      <c r="G204" s="145"/>
      <c r="H204" s="145"/>
      <c r="I204" s="203"/>
      <c r="J204" s="204"/>
      <c r="K204" s="203"/>
      <c r="L204" s="203"/>
      <c r="M204" s="144"/>
      <c r="N204" s="203"/>
      <c r="O204" s="202"/>
    </row>
    <row r="205" spans="1:15" s="1" customFormat="1" x14ac:dyDescent="0.25">
      <c r="A205" s="201"/>
      <c r="B205" s="202"/>
      <c r="C205" s="202"/>
      <c r="D205" s="202"/>
      <c r="E205" s="145"/>
      <c r="F205" s="145"/>
      <c r="G205" s="145"/>
      <c r="H205" s="145"/>
      <c r="I205" s="203"/>
      <c r="J205" s="204"/>
      <c r="K205" s="203"/>
      <c r="L205" s="203"/>
      <c r="M205" s="144"/>
      <c r="N205" s="203"/>
      <c r="O205" s="202"/>
    </row>
    <row r="206" spans="1:15" s="1" customFormat="1" x14ac:dyDescent="0.25">
      <c r="A206" s="201"/>
      <c r="B206" s="202"/>
      <c r="C206" s="202"/>
      <c r="D206" s="202"/>
      <c r="E206" s="145"/>
      <c r="F206" s="145"/>
      <c r="G206" s="145"/>
      <c r="H206" s="145"/>
      <c r="I206" s="203"/>
      <c r="J206" s="204"/>
      <c r="K206" s="203"/>
      <c r="L206" s="203"/>
      <c r="M206" s="144"/>
      <c r="N206" s="203"/>
      <c r="O206" s="202"/>
    </row>
    <row r="207" spans="1:15" s="1" customFormat="1" x14ac:dyDescent="0.25">
      <c r="A207" s="201"/>
      <c r="B207" s="202"/>
      <c r="C207" s="202"/>
      <c r="D207" s="202"/>
      <c r="E207" s="137"/>
      <c r="F207" s="137"/>
      <c r="G207" s="137"/>
      <c r="H207" s="137"/>
      <c r="I207" s="203"/>
      <c r="J207" s="204"/>
      <c r="K207" s="203"/>
      <c r="L207" s="203"/>
      <c r="M207" s="138"/>
      <c r="N207" s="203"/>
      <c r="O207" s="202"/>
    </row>
    <row r="208" spans="1:15" ht="20.25" hidden="1" x14ac:dyDescent="0.25">
      <c r="A208" s="922" t="s">
        <v>275</v>
      </c>
      <c r="B208" s="923"/>
      <c r="C208" s="923"/>
      <c r="D208" s="923"/>
      <c r="E208" s="923"/>
      <c r="F208" s="923"/>
      <c r="G208" s="923"/>
      <c r="H208" s="923"/>
      <c r="I208" s="923"/>
      <c r="J208" s="923"/>
      <c r="K208" s="923"/>
      <c r="L208" s="923"/>
      <c r="M208" s="923"/>
      <c r="N208" s="924"/>
    </row>
    <row r="209" spans="1:15" ht="38.25" hidden="1" x14ac:dyDescent="0.25">
      <c r="A209" s="53" t="s">
        <v>50</v>
      </c>
      <c r="B209" s="54" t="s">
        <v>153</v>
      </c>
      <c r="C209" s="54" t="s">
        <v>154</v>
      </c>
      <c r="D209" s="54" t="s">
        <v>155</v>
      </c>
      <c r="E209" s="54" t="s">
        <v>156</v>
      </c>
      <c r="F209" s="54" t="s">
        <v>166</v>
      </c>
      <c r="G209" s="54" t="s">
        <v>158</v>
      </c>
      <c r="H209" s="54" t="s">
        <v>167</v>
      </c>
      <c r="I209" s="54" t="s">
        <v>168</v>
      </c>
      <c r="J209" s="62" t="s">
        <v>169</v>
      </c>
      <c r="K209" s="54" t="s">
        <v>162</v>
      </c>
      <c r="L209" s="54" t="s">
        <v>163</v>
      </c>
      <c r="M209" s="54" t="s">
        <v>164</v>
      </c>
      <c r="N209" s="55" t="s">
        <v>165</v>
      </c>
    </row>
    <row r="210" spans="1:15" s="246" customFormat="1" hidden="1" x14ac:dyDescent="0.25">
      <c r="A210" s="242" t="s">
        <v>143</v>
      </c>
      <c r="B210" s="243"/>
      <c r="C210" s="243"/>
      <c r="D210" s="243"/>
      <c r="E210" s="243"/>
      <c r="F210" s="243"/>
      <c r="G210" s="243"/>
      <c r="H210" s="243"/>
      <c r="I210" s="243">
        <v>75</v>
      </c>
      <c r="J210" s="243" t="e">
        <f t="shared" ref="J210:J221" si="19">I210/H210</f>
        <v>#DIV/0!</v>
      </c>
      <c r="K210" s="243"/>
      <c r="L210" s="243"/>
      <c r="M210" s="243" t="e">
        <f t="shared" ref="M210:M221" si="20">L210/K210</f>
        <v>#DIV/0!</v>
      </c>
      <c r="N210" s="244" t="s">
        <v>284</v>
      </c>
      <c r="O210" s="245">
        <f t="shared" ref="O210:O220" si="21">LEN(N210)</f>
        <v>253</v>
      </c>
    </row>
    <row r="211" spans="1:15" s="246" customFormat="1" hidden="1" x14ac:dyDescent="0.25">
      <c r="A211" s="242" t="s">
        <v>144</v>
      </c>
      <c r="B211" s="243"/>
      <c r="C211" s="243"/>
      <c r="D211" s="243"/>
      <c r="E211" s="243"/>
      <c r="F211" s="243"/>
      <c r="G211" s="243"/>
      <c r="H211" s="243"/>
      <c r="I211" s="243">
        <v>370</v>
      </c>
      <c r="J211" s="243" t="e">
        <f t="shared" si="19"/>
        <v>#DIV/0!</v>
      </c>
      <c r="K211" s="243"/>
      <c r="L211" s="243"/>
      <c r="M211" s="243" t="e">
        <f t="shared" si="20"/>
        <v>#DIV/0!</v>
      </c>
      <c r="N211" s="246" t="s">
        <v>285</v>
      </c>
      <c r="O211" s="245">
        <f t="shared" si="21"/>
        <v>278</v>
      </c>
    </row>
    <row r="212" spans="1:15" s="246" customFormat="1" hidden="1" x14ac:dyDescent="0.25">
      <c r="A212" s="242" t="s">
        <v>145</v>
      </c>
      <c r="B212" s="243"/>
      <c r="C212" s="243"/>
      <c r="D212" s="243"/>
      <c r="E212" s="243"/>
      <c r="F212" s="243"/>
      <c r="G212" s="243"/>
      <c r="H212" s="243"/>
      <c r="I212" s="243">
        <v>590</v>
      </c>
      <c r="J212" s="243" t="e">
        <f t="shared" si="19"/>
        <v>#DIV/0!</v>
      </c>
      <c r="K212" s="243"/>
      <c r="L212" s="243"/>
      <c r="M212" s="243" t="e">
        <f t="shared" si="20"/>
        <v>#DIV/0!</v>
      </c>
      <c r="N212" s="247" t="s">
        <v>286</v>
      </c>
      <c r="O212" s="245">
        <f t="shared" si="21"/>
        <v>184</v>
      </c>
    </row>
    <row r="213" spans="1:15" s="246" customFormat="1" hidden="1" x14ac:dyDescent="0.25">
      <c r="A213" s="242" t="s">
        <v>146</v>
      </c>
      <c r="B213" s="243"/>
      <c r="C213" s="243"/>
      <c r="D213" s="243"/>
      <c r="E213" s="243"/>
      <c r="F213" s="243"/>
      <c r="G213" s="243"/>
      <c r="H213" s="243"/>
      <c r="I213" s="248" t="s">
        <v>287</v>
      </c>
      <c r="J213" s="243" t="e">
        <f t="shared" si="19"/>
        <v>#VALUE!</v>
      </c>
      <c r="K213" s="243"/>
      <c r="L213" s="243"/>
      <c r="M213" s="243" t="e">
        <f t="shared" si="20"/>
        <v>#DIV/0!</v>
      </c>
      <c r="N213" s="249" t="s">
        <v>288</v>
      </c>
      <c r="O213" s="245">
        <f t="shared" si="21"/>
        <v>149</v>
      </c>
    </row>
    <row r="214" spans="1:15" s="246" customFormat="1" hidden="1" x14ac:dyDescent="0.25">
      <c r="A214" s="242" t="s">
        <v>147</v>
      </c>
      <c r="B214" s="243"/>
      <c r="C214" s="243"/>
      <c r="D214" s="243"/>
      <c r="E214" s="243"/>
      <c r="F214" s="243"/>
      <c r="G214" s="243"/>
      <c r="H214" s="243"/>
      <c r="I214" s="243"/>
      <c r="J214" s="243" t="e">
        <f t="shared" si="19"/>
        <v>#DIV/0!</v>
      </c>
      <c r="K214" s="243"/>
      <c r="L214" s="243"/>
      <c r="M214" s="243" t="e">
        <f t="shared" si="20"/>
        <v>#DIV/0!</v>
      </c>
      <c r="N214" s="244"/>
      <c r="O214" s="245">
        <f t="shared" si="21"/>
        <v>0</v>
      </c>
    </row>
    <row r="215" spans="1:15" s="246" customFormat="1" hidden="1" x14ac:dyDescent="0.25">
      <c r="A215" s="242" t="s">
        <v>148</v>
      </c>
      <c r="B215" s="243"/>
      <c r="C215" s="243"/>
      <c r="D215" s="243"/>
      <c r="E215" s="243"/>
      <c r="F215" s="243"/>
      <c r="G215" s="243"/>
      <c r="H215" s="243"/>
      <c r="I215" s="243"/>
      <c r="J215" s="243" t="e">
        <f t="shared" si="19"/>
        <v>#DIV/0!</v>
      </c>
      <c r="K215" s="243"/>
      <c r="L215" s="243"/>
      <c r="M215" s="243" t="e">
        <f t="shared" si="20"/>
        <v>#DIV/0!</v>
      </c>
      <c r="N215" s="246" t="s">
        <v>289</v>
      </c>
      <c r="O215" s="245">
        <f t="shared" si="21"/>
        <v>250</v>
      </c>
    </row>
    <row r="216" spans="1:15" s="246" customFormat="1" hidden="1" x14ac:dyDescent="0.25">
      <c r="A216" s="242" t="s">
        <v>136</v>
      </c>
      <c r="B216" s="243"/>
      <c r="C216" s="243"/>
      <c r="D216" s="243"/>
      <c r="E216" s="243"/>
      <c r="F216" s="243"/>
      <c r="G216" s="243"/>
      <c r="H216" s="243"/>
      <c r="I216" s="243"/>
      <c r="J216" s="243" t="e">
        <f t="shared" si="19"/>
        <v>#DIV/0!</v>
      </c>
      <c r="K216" s="243"/>
      <c r="L216" s="243"/>
      <c r="M216" s="243" t="e">
        <f t="shared" si="20"/>
        <v>#DIV/0!</v>
      </c>
      <c r="N216" s="244"/>
      <c r="O216" s="245">
        <f t="shared" si="21"/>
        <v>0</v>
      </c>
    </row>
    <row r="217" spans="1:15" s="246" customFormat="1" hidden="1" x14ac:dyDescent="0.25">
      <c r="A217" s="242" t="s">
        <v>137</v>
      </c>
      <c r="B217" s="243"/>
      <c r="C217" s="243"/>
      <c r="D217" s="243"/>
      <c r="E217" s="243"/>
      <c r="F217" s="243"/>
      <c r="G217" s="243"/>
      <c r="H217" s="243"/>
      <c r="I217" s="243"/>
      <c r="J217" s="243" t="e">
        <f t="shared" si="19"/>
        <v>#DIV/0!</v>
      </c>
      <c r="K217" s="243"/>
      <c r="L217" s="243"/>
      <c r="M217" s="243" t="e">
        <f t="shared" si="20"/>
        <v>#DIV/0!</v>
      </c>
      <c r="N217" s="244"/>
      <c r="O217" s="245">
        <f t="shared" si="21"/>
        <v>0</v>
      </c>
    </row>
    <row r="218" spans="1:15" s="246" customFormat="1" hidden="1" x14ac:dyDescent="0.25">
      <c r="A218" s="242" t="s">
        <v>138</v>
      </c>
      <c r="B218" s="243"/>
      <c r="C218" s="243"/>
      <c r="D218" s="243"/>
      <c r="E218" s="243"/>
      <c r="F218" s="243"/>
      <c r="G218" s="243"/>
      <c r="H218" s="243"/>
      <c r="I218" s="243"/>
      <c r="J218" s="243" t="e">
        <f t="shared" si="19"/>
        <v>#DIV/0!</v>
      </c>
      <c r="K218" s="243"/>
      <c r="L218" s="243"/>
      <c r="M218" s="243" t="e">
        <f t="shared" si="20"/>
        <v>#DIV/0!</v>
      </c>
      <c r="N218" s="244"/>
      <c r="O218" s="245">
        <f t="shared" si="21"/>
        <v>0</v>
      </c>
    </row>
    <row r="219" spans="1:15" s="246" customFormat="1" hidden="1" x14ac:dyDescent="0.25">
      <c r="A219" s="242" t="s">
        <v>139</v>
      </c>
      <c r="B219" s="243"/>
      <c r="C219" s="243"/>
      <c r="D219" s="243"/>
      <c r="E219" s="243"/>
      <c r="F219" s="243"/>
      <c r="G219" s="243"/>
      <c r="H219" s="243"/>
      <c r="I219" s="243"/>
      <c r="J219" s="243" t="e">
        <f t="shared" si="19"/>
        <v>#DIV/0!</v>
      </c>
      <c r="K219" s="243"/>
      <c r="L219" s="243"/>
      <c r="M219" s="243" t="e">
        <f t="shared" si="20"/>
        <v>#DIV/0!</v>
      </c>
      <c r="N219" s="244"/>
      <c r="O219" s="245">
        <f t="shared" si="21"/>
        <v>0</v>
      </c>
    </row>
    <row r="220" spans="1:15" s="246" customFormat="1" hidden="1" x14ac:dyDescent="0.25">
      <c r="A220" s="242" t="s">
        <v>140</v>
      </c>
      <c r="B220" s="243"/>
      <c r="C220" s="243"/>
      <c r="D220" s="243"/>
      <c r="E220" s="243"/>
      <c r="F220" s="243"/>
      <c r="G220" s="243"/>
      <c r="H220" s="243"/>
      <c r="I220" s="243"/>
      <c r="J220" s="243" t="e">
        <f t="shared" si="19"/>
        <v>#DIV/0!</v>
      </c>
      <c r="K220" s="243"/>
      <c r="L220" s="243"/>
      <c r="M220" s="243" t="e">
        <f t="shared" si="20"/>
        <v>#DIV/0!</v>
      </c>
      <c r="N220" s="244"/>
      <c r="O220" s="245">
        <f t="shared" si="21"/>
        <v>0</v>
      </c>
    </row>
    <row r="221" spans="1:15" s="246" customFormat="1" ht="15.75" hidden="1" thickBot="1" x14ac:dyDescent="0.3">
      <c r="A221" s="250" t="s">
        <v>141</v>
      </c>
      <c r="B221" s="177"/>
      <c r="C221" s="177"/>
      <c r="D221" s="177"/>
      <c r="E221" s="177"/>
      <c r="F221" s="177"/>
      <c r="G221" s="177"/>
      <c r="H221" s="177"/>
      <c r="I221" s="177"/>
      <c r="J221" s="177" t="e">
        <f t="shared" si="19"/>
        <v>#DIV/0!</v>
      </c>
      <c r="K221" s="177"/>
      <c r="L221" s="177"/>
      <c r="M221" s="177" t="e">
        <f t="shared" si="20"/>
        <v>#DIV/0!</v>
      </c>
      <c r="N221" s="180"/>
      <c r="O221" s="251"/>
    </row>
    <row r="223" spans="1:15" ht="20.25" hidden="1" x14ac:dyDescent="0.25">
      <c r="A223" s="922" t="s">
        <v>170</v>
      </c>
      <c r="B223" s="923"/>
      <c r="C223" s="923"/>
      <c r="D223" s="923"/>
      <c r="E223" s="923"/>
      <c r="F223" s="923"/>
      <c r="G223" s="923"/>
      <c r="H223" s="923"/>
      <c r="I223" s="923"/>
      <c r="J223" s="923"/>
      <c r="K223" s="923"/>
      <c r="L223" s="923"/>
      <c r="M223" s="923"/>
      <c r="N223" s="924"/>
    </row>
    <row r="224" spans="1:15" ht="38.25" hidden="1" x14ac:dyDescent="0.25">
      <c r="A224" s="53" t="s">
        <v>62</v>
      </c>
      <c r="B224" s="54" t="s">
        <v>153</v>
      </c>
      <c r="C224" s="54" t="s">
        <v>154</v>
      </c>
      <c r="D224" s="54" t="s">
        <v>155</v>
      </c>
      <c r="E224" s="54" t="s">
        <v>156</v>
      </c>
      <c r="F224" s="54" t="s">
        <v>171</v>
      </c>
      <c r="G224" s="54" t="s">
        <v>158</v>
      </c>
      <c r="H224" s="54" t="s">
        <v>172</v>
      </c>
      <c r="I224" s="54" t="s">
        <v>173</v>
      </c>
      <c r="J224" s="62" t="s">
        <v>174</v>
      </c>
      <c r="K224" s="54" t="s">
        <v>162</v>
      </c>
      <c r="L224" s="54" t="s">
        <v>163</v>
      </c>
      <c r="M224" s="54" t="s">
        <v>164</v>
      </c>
      <c r="N224" s="55" t="s">
        <v>165</v>
      </c>
    </row>
    <row r="225" spans="1:14" hidden="1" x14ac:dyDescent="0.25">
      <c r="A225" s="60" t="s">
        <v>143</v>
      </c>
      <c r="B225" s="57"/>
      <c r="C225" s="57"/>
      <c r="D225" s="57"/>
      <c r="E225" s="57"/>
      <c r="F225" s="57"/>
      <c r="G225" s="57"/>
      <c r="H225" s="57"/>
      <c r="I225" s="57"/>
      <c r="J225" s="57" t="e">
        <f t="shared" ref="J225:J236" si="22">I225/H225</f>
        <v>#DIV/0!</v>
      </c>
      <c r="K225" s="57"/>
      <c r="L225" s="57"/>
      <c r="M225" s="57" t="e">
        <f t="shared" ref="M225:M236" si="23">L225/K225</f>
        <v>#DIV/0!</v>
      </c>
      <c r="N225" s="58"/>
    </row>
    <row r="226" spans="1:14" hidden="1" x14ac:dyDescent="0.25">
      <c r="A226" s="60" t="s">
        <v>144</v>
      </c>
      <c r="B226" s="57"/>
      <c r="C226" s="57"/>
      <c r="D226" s="57"/>
      <c r="E226" s="57"/>
      <c r="F226" s="57"/>
      <c r="G226" s="57"/>
      <c r="H226" s="57"/>
      <c r="I226" s="57"/>
      <c r="J226" s="57" t="e">
        <f t="shared" si="22"/>
        <v>#DIV/0!</v>
      </c>
      <c r="K226" s="57"/>
      <c r="L226" s="57"/>
      <c r="M226" s="57" t="e">
        <f t="shared" si="23"/>
        <v>#DIV/0!</v>
      </c>
      <c r="N226" s="58"/>
    </row>
    <row r="227" spans="1:14" hidden="1" x14ac:dyDescent="0.25">
      <c r="A227" s="60" t="s">
        <v>145</v>
      </c>
      <c r="B227" s="57"/>
      <c r="C227" s="57"/>
      <c r="D227" s="57"/>
      <c r="E227" s="57"/>
      <c r="F227" s="57"/>
      <c r="G227" s="57"/>
      <c r="H227" s="57"/>
      <c r="I227" s="57"/>
      <c r="J227" s="57" t="e">
        <f t="shared" si="22"/>
        <v>#DIV/0!</v>
      </c>
      <c r="K227" s="57"/>
      <c r="L227" s="57"/>
      <c r="M227" s="57" t="e">
        <f t="shared" si="23"/>
        <v>#DIV/0!</v>
      </c>
      <c r="N227" s="58"/>
    </row>
    <row r="228" spans="1:14" hidden="1" x14ac:dyDescent="0.25">
      <c r="A228" s="60" t="s">
        <v>146</v>
      </c>
      <c r="B228" s="57"/>
      <c r="C228" s="57"/>
      <c r="D228" s="57"/>
      <c r="E228" s="57"/>
      <c r="F228" s="57"/>
      <c r="G228" s="57"/>
      <c r="H228" s="57"/>
      <c r="I228" s="57"/>
      <c r="J228" s="57" t="e">
        <f t="shared" si="22"/>
        <v>#DIV/0!</v>
      </c>
      <c r="K228" s="57"/>
      <c r="L228" s="57"/>
      <c r="M228" s="57" t="e">
        <f t="shared" si="23"/>
        <v>#DIV/0!</v>
      </c>
      <c r="N228" s="58"/>
    </row>
    <row r="229" spans="1:14" hidden="1" x14ac:dyDescent="0.25">
      <c r="A229" s="60" t="s">
        <v>147</v>
      </c>
      <c r="B229" s="57"/>
      <c r="C229" s="57"/>
      <c r="D229" s="57"/>
      <c r="E229" s="57"/>
      <c r="F229" s="57"/>
      <c r="G229" s="57"/>
      <c r="H229" s="57"/>
      <c r="I229" s="57"/>
      <c r="J229" s="57" t="e">
        <f t="shared" si="22"/>
        <v>#DIV/0!</v>
      </c>
      <c r="K229" s="57"/>
      <c r="L229" s="57"/>
      <c r="M229" s="57" t="e">
        <f t="shared" si="23"/>
        <v>#DIV/0!</v>
      </c>
      <c r="N229" s="58"/>
    </row>
    <row r="230" spans="1:14" hidden="1" x14ac:dyDescent="0.25">
      <c r="A230" s="60" t="s">
        <v>148</v>
      </c>
      <c r="B230" s="57"/>
      <c r="C230" s="57"/>
      <c r="D230" s="57"/>
      <c r="E230" s="57"/>
      <c r="F230" s="57"/>
      <c r="G230" s="57"/>
      <c r="H230" s="57"/>
      <c r="I230" s="57"/>
      <c r="J230" s="57" t="e">
        <f t="shared" si="22"/>
        <v>#DIV/0!</v>
      </c>
      <c r="K230" s="57"/>
      <c r="L230" s="57"/>
      <c r="M230" s="57" t="e">
        <f t="shared" si="23"/>
        <v>#DIV/0!</v>
      </c>
      <c r="N230" s="58"/>
    </row>
    <row r="231" spans="1:14" hidden="1" x14ac:dyDescent="0.25">
      <c r="A231" s="60" t="s">
        <v>136</v>
      </c>
      <c r="B231" s="57"/>
      <c r="C231" s="57"/>
      <c r="D231" s="57"/>
      <c r="E231" s="57"/>
      <c r="F231" s="57"/>
      <c r="G231" s="57"/>
      <c r="H231" s="57"/>
      <c r="I231" s="57"/>
      <c r="J231" s="57" t="e">
        <f t="shared" si="22"/>
        <v>#DIV/0!</v>
      </c>
      <c r="K231" s="57"/>
      <c r="L231" s="57"/>
      <c r="M231" s="57" t="e">
        <f t="shared" si="23"/>
        <v>#DIV/0!</v>
      </c>
      <c r="N231" s="58"/>
    </row>
    <row r="232" spans="1:14" hidden="1" x14ac:dyDescent="0.25">
      <c r="A232" s="60" t="s">
        <v>137</v>
      </c>
      <c r="B232" s="57"/>
      <c r="C232" s="57"/>
      <c r="D232" s="57"/>
      <c r="E232" s="57"/>
      <c r="F232" s="57"/>
      <c r="G232" s="57"/>
      <c r="H232" s="57"/>
      <c r="I232" s="57"/>
      <c r="J232" s="57" t="e">
        <f t="shared" si="22"/>
        <v>#DIV/0!</v>
      </c>
      <c r="K232" s="57"/>
      <c r="L232" s="57"/>
      <c r="M232" s="57" t="e">
        <f t="shared" si="23"/>
        <v>#DIV/0!</v>
      </c>
      <c r="N232" s="58"/>
    </row>
    <row r="233" spans="1:14" hidden="1" x14ac:dyDescent="0.25">
      <c r="A233" s="60" t="s">
        <v>138</v>
      </c>
      <c r="B233" s="57"/>
      <c r="C233" s="57"/>
      <c r="D233" s="57"/>
      <c r="E233" s="57"/>
      <c r="F233" s="57"/>
      <c r="G233" s="57"/>
      <c r="H233" s="57"/>
      <c r="I233" s="57"/>
      <c r="J233" s="57" t="e">
        <f t="shared" si="22"/>
        <v>#DIV/0!</v>
      </c>
      <c r="K233" s="57"/>
      <c r="L233" s="57"/>
      <c r="M233" s="57" t="e">
        <f t="shared" si="23"/>
        <v>#DIV/0!</v>
      </c>
      <c r="N233" s="58"/>
    </row>
    <row r="234" spans="1:14" hidden="1" x14ac:dyDescent="0.25">
      <c r="A234" s="60" t="s">
        <v>139</v>
      </c>
      <c r="B234" s="57"/>
      <c r="C234" s="57"/>
      <c r="D234" s="57"/>
      <c r="E234" s="57"/>
      <c r="F234" s="57"/>
      <c r="G234" s="57"/>
      <c r="H234" s="57"/>
      <c r="I234" s="57"/>
      <c r="J234" s="57" t="e">
        <f t="shared" si="22"/>
        <v>#DIV/0!</v>
      </c>
      <c r="K234" s="57"/>
      <c r="L234" s="57"/>
      <c r="M234" s="57" t="e">
        <f t="shared" si="23"/>
        <v>#DIV/0!</v>
      </c>
      <c r="N234" s="58"/>
    </row>
    <row r="235" spans="1:14" hidden="1" x14ac:dyDescent="0.25">
      <c r="A235" s="60" t="s">
        <v>140</v>
      </c>
      <c r="B235" s="57"/>
      <c r="C235" s="57"/>
      <c r="D235" s="57"/>
      <c r="E235" s="57"/>
      <c r="F235" s="57"/>
      <c r="G235" s="57"/>
      <c r="H235" s="57"/>
      <c r="I235" s="57"/>
      <c r="J235" s="57" t="e">
        <f t="shared" si="22"/>
        <v>#DIV/0!</v>
      </c>
      <c r="K235" s="57"/>
      <c r="L235" s="57"/>
      <c r="M235" s="57" t="e">
        <f t="shared" si="23"/>
        <v>#DIV/0!</v>
      </c>
      <c r="N235" s="58"/>
    </row>
    <row r="236" spans="1:14" ht="15.75" hidden="1" thickBot="1" x14ac:dyDescent="0.3">
      <c r="A236" s="61" t="s">
        <v>141</v>
      </c>
      <c r="B236" s="59"/>
      <c r="C236" s="59"/>
      <c r="D236" s="59"/>
      <c r="E236" s="59"/>
      <c r="F236" s="59"/>
      <c r="G236" s="59"/>
      <c r="H236" s="59"/>
      <c r="I236" s="59"/>
      <c r="J236" s="59" t="e">
        <f t="shared" si="22"/>
        <v>#DIV/0!</v>
      </c>
      <c r="K236" s="59"/>
      <c r="L236" s="59"/>
      <c r="M236" s="59" t="e">
        <f t="shared" si="23"/>
        <v>#DIV/0!</v>
      </c>
      <c r="N236" s="63"/>
    </row>
    <row r="237" spans="1:14" hidden="1" x14ac:dyDescent="0.25"/>
    <row r="238" spans="1:14" ht="20.25" hidden="1" x14ac:dyDescent="0.25">
      <c r="A238" s="922" t="s">
        <v>175</v>
      </c>
      <c r="B238" s="923"/>
      <c r="C238" s="923"/>
      <c r="D238" s="923"/>
      <c r="E238" s="923"/>
      <c r="F238" s="923"/>
      <c r="G238" s="923"/>
      <c r="H238" s="923"/>
      <c r="I238" s="923"/>
      <c r="J238" s="923"/>
      <c r="K238" s="923"/>
      <c r="L238" s="923"/>
      <c r="M238" s="923"/>
      <c r="N238" s="924"/>
    </row>
    <row r="239" spans="1:14" ht="38.25" hidden="1" x14ac:dyDescent="0.25">
      <c r="A239" s="53" t="s">
        <v>63</v>
      </c>
      <c r="B239" s="54" t="s">
        <v>153</v>
      </c>
      <c r="C239" s="54" t="s">
        <v>154</v>
      </c>
      <c r="D239" s="54" t="s">
        <v>155</v>
      </c>
      <c r="E239" s="54" t="s">
        <v>156</v>
      </c>
      <c r="F239" s="54" t="s">
        <v>176</v>
      </c>
      <c r="G239" s="54" t="s">
        <v>158</v>
      </c>
      <c r="H239" s="54" t="s">
        <v>177</v>
      </c>
      <c r="I239" s="54" t="s">
        <v>178</v>
      </c>
      <c r="J239" s="62" t="s">
        <v>179</v>
      </c>
      <c r="K239" s="54" t="s">
        <v>162</v>
      </c>
      <c r="L239" s="54" t="s">
        <v>163</v>
      </c>
      <c r="M239" s="54" t="s">
        <v>164</v>
      </c>
      <c r="N239" s="55" t="s">
        <v>165</v>
      </c>
    </row>
    <row r="240" spans="1:14" hidden="1" x14ac:dyDescent="0.25">
      <c r="A240" s="60" t="s">
        <v>143</v>
      </c>
      <c r="B240" s="57"/>
      <c r="C240" s="57"/>
      <c r="D240" s="57"/>
      <c r="E240" s="57"/>
      <c r="F240" s="57"/>
      <c r="G240" s="57"/>
      <c r="H240" s="57"/>
      <c r="I240" s="57"/>
      <c r="J240" s="57" t="e">
        <f t="shared" ref="J240:J251" si="24">I240/H240</f>
        <v>#DIV/0!</v>
      </c>
      <c r="K240" s="57"/>
      <c r="L240" s="57"/>
      <c r="M240" s="57" t="e">
        <f t="shared" ref="M240:M251" si="25">L240/K240</f>
        <v>#DIV/0!</v>
      </c>
      <c r="N240" s="58"/>
    </row>
    <row r="241" spans="1:14" hidden="1" x14ac:dyDescent="0.25">
      <c r="A241" s="60" t="s">
        <v>144</v>
      </c>
      <c r="B241" s="57"/>
      <c r="C241" s="57"/>
      <c r="D241" s="57"/>
      <c r="E241" s="57"/>
      <c r="F241" s="57"/>
      <c r="G241" s="57"/>
      <c r="H241" s="57"/>
      <c r="I241" s="57"/>
      <c r="J241" s="57" t="e">
        <f t="shared" si="24"/>
        <v>#DIV/0!</v>
      </c>
      <c r="K241" s="57"/>
      <c r="L241" s="57"/>
      <c r="M241" s="57" t="e">
        <f t="shared" si="25"/>
        <v>#DIV/0!</v>
      </c>
      <c r="N241" s="58"/>
    </row>
    <row r="242" spans="1:14" hidden="1" x14ac:dyDescent="0.25">
      <c r="A242" s="60" t="s">
        <v>145</v>
      </c>
      <c r="B242" s="57"/>
      <c r="C242" s="57"/>
      <c r="D242" s="57"/>
      <c r="E242" s="57"/>
      <c r="F242" s="57"/>
      <c r="G242" s="57"/>
      <c r="H242" s="57"/>
      <c r="I242" s="57"/>
      <c r="J242" s="57" t="e">
        <f t="shared" si="24"/>
        <v>#DIV/0!</v>
      </c>
      <c r="K242" s="57"/>
      <c r="L242" s="57"/>
      <c r="M242" s="57" t="e">
        <f t="shared" si="25"/>
        <v>#DIV/0!</v>
      </c>
      <c r="N242" s="58"/>
    </row>
    <row r="243" spans="1:14" hidden="1" x14ac:dyDescent="0.25">
      <c r="A243" s="60" t="s">
        <v>146</v>
      </c>
      <c r="B243" s="57"/>
      <c r="C243" s="57"/>
      <c r="D243" s="57"/>
      <c r="E243" s="57"/>
      <c r="F243" s="57"/>
      <c r="G243" s="57"/>
      <c r="H243" s="57"/>
      <c r="I243" s="57"/>
      <c r="J243" s="57" t="e">
        <f t="shared" si="24"/>
        <v>#DIV/0!</v>
      </c>
      <c r="K243" s="57"/>
      <c r="L243" s="57"/>
      <c r="M243" s="57" t="e">
        <f t="shared" si="25"/>
        <v>#DIV/0!</v>
      </c>
      <c r="N243" s="58"/>
    </row>
    <row r="244" spans="1:14" hidden="1" x14ac:dyDescent="0.25">
      <c r="A244" s="60" t="s">
        <v>147</v>
      </c>
      <c r="B244" s="57"/>
      <c r="C244" s="57"/>
      <c r="D244" s="57"/>
      <c r="E244" s="57"/>
      <c r="F244" s="57"/>
      <c r="G244" s="57"/>
      <c r="H244" s="57"/>
      <c r="I244" s="57"/>
      <c r="J244" s="57" t="e">
        <f t="shared" si="24"/>
        <v>#DIV/0!</v>
      </c>
      <c r="K244" s="57"/>
      <c r="L244" s="57"/>
      <c r="M244" s="57" t="e">
        <f t="shared" si="25"/>
        <v>#DIV/0!</v>
      </c>
      <c r="N244" s="58"/>
    </row>
    <row r="245" spans="1:14" hidden="1" x14ac:dyDescent="0.25">
      <c r="A245" s="60" t="s">
        <v>148</v>
      </c>
      <c r="B245" s="57"/>
      <c r="C245" s="57"/>
      <c r="D245" s="57"/>
      <c r="E245" s="57"/>
      <c r="F245" s="57"/>
      <c r="G245" s="57"/>
      <c r="H245" s="57"/>
      <c r="I245" s="57"/>
      <c r="J245" s="57" t="e">
        <f t="shared" si="24"/>
        <v>#DIV/0!</v>
      </c>
      <c r="K245" s="57"/>
      <c r="L245" s="57"/>
      <c r="M245" s="57" t="e">
        <f t="shared" si="25"/>
        <v>#DIV/0!</v>
      </c>
      <c r="N245" s="58"/>
    </row>
    <row r="246" spans="1:14" hidden="1" x14ac:dyDescent="0.25">
      <c r="A246" s="60" t="s">
        <v>136</v>
      </c>
      <c r="B246" s="57"/>
      <c r="C246" s="57"/>
      <c r="D246" s="57"/>
      <c r="E246" s="57"/>
      <c r="F246" s="57"/>
      <c r="G246" s="57"/>
      <c r="H246" s="57"/>
      <c r="I246" s="57"/>
      <c r="J246" s="57" t="e">
        <f t="shared" si="24"/>
        <v>#DIV/0!</v>
      </c>
      <c r="K246" s="57"/>
      <c r="L246" s="57"/>
      <c r="M246" s="57" t="e">
        <f t="shared" si="25"/>
        <v>#DIV/0!</v>
      </c>
      <c r="N246" s="58"/>
    </row>
    <row r="247" spans="1:14" hidden="1" x14ac:dyDescent="0.25">
      <c r="A247" s="60" t="s">
        <v>137</v>
      </c>
      <c r="B247" s="57"/>
      <c r="C247" s="57"/>
      <c r="D247" s="57"/>
      <c r="E247" s="57"/>
      <c r="F247" s="57"/>
      <c r="G247" s="57"/>
      <c r="H247" s="57"/>
      <c r="I247" s="57"/>
      <c r="J247" s="57" t="e">
        <f t="shared" si="24"/>
        <v>#DIV/0!</v>
      </c>
      <c r="K247" s="57"/>
      <c r="L247" s="57"/>
      <c r="M247" s="57" t="e">
        <f t="shared" si="25"/>
        <v>#DIV/0!</v>
      </c>
      <c r="N247" s="58"/>
    </row>
    <row r="248" spans="1:14" hidden="1" x14ac:dyDescent="0.25">
      <c r="A248" s="60" t="s">
        <v>138</v>
      </c>
      <c r="B248" s="57"/>
      <c r="C248" s="57"/>
      <c r="D248" s="57"/>
      <c r="E248" s="57"/>
      <c r="F248" s="57"/>
      <c r="G248" s="57"/>
      <c r="H248" s="57"/>
      <c r="I248" s="57"/>
      <c r="J248" s="57" t="e">
        <f t="shared" si="24"/>
        <v>#DIV/0!</v>
      </c>
      <c r="K248" s="57"/>
      <c r="L248" s="57"/>
      <c r="M248" s="57" t="e">
        <f t="shared" si="25"/>
        <v>#DIV/0!</v>
      </c>
      <c r="N248" s="58"/>
    </row>
    <row r="249" spans="1:14" hidden="1" x14ac:dyDescent="0.25">
      <c r="A249" s="60" t="s">
        <v>139</v>
      </c>
      <c r="B249" s="57"/>
      <c r="C249" s="57"/>
      <c r="D249" s="57"/>
      <c r="E249" s="57"/>
      <c r="F249" s="57"/>
      <c r="G249" s="57"/>
      <c r="H249" s="57"/>
      <c r="I249" s="57"/>
      <c r="J249" s="57" t="e">
        <f t="shared" si="24"/>
        <v>#DIV/0!</v>
      </c>
      <c r="K249" s="57"/>
      <c r="L249" s="57"/>
      <c r="M249" s="57" t="e">
        <f t="shared" si="25"/>
        <v>#DIV/0!</v>
      </c>
      <c r="N249" s="58"/>
    </row>
    <row r="250" spans="1:14" hidden="1" x14ac:dyDescent="0.25">
      <c r="A250" s="60" t="s">
        <v>140</v>
      </c>
      <c r="B250" s="57"/>
      <c r="C250" s="57"/>
      <c r="D250" s="57"/>
      <c r="E250" s="57"/>
      <c r="F250" s="57"/>
      <c r="G250" s="57"/>
      <c r="H250" s="57"/>
      <c r="I250" s="57"/>
      <c r="J250" s="57" t="e">
        <f t="shared" si="24"/>
        <v>#DIV/0!</v>
      </c>
      <c r="K250" s="57"/>
      <c r="L250" s="57"/>
      <c r="M250" s="57" t="e">
        <f t="shared" si="25"/>
        <v>#DIV/0!</v>
      </c>
      <c r="N250" s="58"/>
    </row>
    <row r="251" spans="1:14" ht="15.75" hidden="1" thickBot="1" x14ac:dyDescent="0.3">
      <c r="A251" s="61" t="s">
        <v>141</v>
      </c>
      <c r="B251" s="59"/>
      <c r="C251" s="59"/>
      <c r="D251" s="59"/>
      <c r="E251" s="59"/>
      <c r="F251" s="59"/>
      <c r="G251" s="59"/>
      <c r="H251" s="59"/>
      <c r="I251" s="59"/>
      <c r="J251" s="59" t="e">
        <f t="shared" si="24"/>
        <v>#DIV/0!</v>
      </c>
      <c r="K251" s="59"/>
      <c r="L251" s="59"/>
      <c r="M251" s="59" t="e">
        <f t="shared" si="25"/>
        <v>#DIV/0!</v>
      </c>
      <c r="N251" s="63"/>
    </row>
    <row r="253" spans="1:14" ht="20.25" hidden="1" x14ac:dyDescent="0.25">
      <c r="A253" s="922" t="s">
        <v>180</v>
      </c>
      <c r="B253" s="923"/>
      <c r="C253" s="923"/>
      <c r="D253" s="923"/>
      <c r="E253" s="923"/>
      <c r="F253" s="923"/>
      <c r="G253" s="923"/>
      <c r="H253" s="923"/>
      <c r="I253" s="923"/>
      <c r="J253" s="923"/>
      <c r="K253" s="923"/>
      <c r="L253" s="923"/>
      <c r="M253" s="923"/>
      <c r="N253" s="924"/>
    </row>
    <row r="254" spans="1:14" ht="38.25" hidden="1" x14ac:dyDescent="0.25">
      <c r="A254" s="53" t="s">
        <v>64</v>
      </c>
      <c r="B254" s="54" t="s">
        <v>153</v>
      </c>
      <c r="C254" s="54" t="s">
        <v>154</v>
      </c>
      <c r="D254" s="54" t="s">
        <v>155</v>
      </c>
      <c r="E254" s="54" t="s">
        <v>156</v>
      </c>
      <c r="F254" s="54" t="s">
        <v>181</v>
      </c>
      <c r="G254" s="54" t="s">
        <v>158</v>
      </c>
      <c r="H254" s="54" t="s">
        <v>182</v>
      </c>
      <c r="I254" s="54" t="s">
        <v>183</v>
      </c>
      <c r="J254" s="62" t="s">
        <v>184</v>
      </c>
      <c r="K254" s="54" t="s">
        <v>162</v>
      </c>
      <c r="L254" s="54" t="s">
        <v>163</v>
      </c>
      <c r="M254" s="54" t="s">
        <v>164</v>
      </c>
      <c r="N254" s="55" t="s">
        <v>165</v>
      </c>
    </row>
    <row r="255" spans="1:14" hidden="1" x14ac:dyDescent="0.25">
      <c r="A255" s="60" t="s">
        <v>143</v>
      </c>
      <c r="B255" s="57"/>
      <c r="C255" s="57"/>
      <c r="D255" s="57"/>
      <c r="E255" s="57"/>
      <c r="F255" s="57"/>
      <c r="G255" s="57"/>
      <c r="H255" s="57"/>
      <c r="I255" s="57"/>
      <c r="J255" s="57" t="e">
        <f t="shared" ref="J255:J266" si="26">I255/H255</f>
        <v>#DIV/0!</v>
      </c>
      <c r="K255" s="57"/>
      <c r="L255" s="57"/>
      <c r="M255" s="57" t="e">
        <f t="shared" ref="M255:M266" si="27">L255/K255</f>
        <v>#DIV/0!</v>
      </c>
      <c r="N255" s="58"/>
    </row>
    <row r="256" spans="1:14" hidden="1" x14ac:dyDescent="0.25">
      <c r="A256" s="60" t="s">
        <v>144</v>
      </c>
      <c r="B256" s="57"/>
      <c r="C256" s="57"/>
      <c r="D256" s="57"/>
      <c r="E256" s="57"/>
      <c r="F256" s="57"/>
      <c r="G256" s="57"/>
      <c r="H256" s="57"/>
      <c r="I256" s="57"/>
      <c r="J256" s="57" t="e">
        <f t="shared" si="26"/>
        <v>#DIV/0!</v>
      </c>
      <c r="K256" s="57"/>
      <c r="L256" s="57"/>
      <c r="M256" s="57" t="e">
        <f t="shared" si="27"/>
        <v>#DIV/0!</v>
      </c>
      <c r="N256" s="58"/>
    </row>
    <row r="257" spans="1:15" hidden="1" x14ac:dyDescent="0.25">
      <c r="A257" s="60" t="s">
        <v>145</v>
      </c>
      <c r="B257" s="57"/>
      <c r="C257" s="57"/>
      <c r="D257" s="57"/>
      <c r="E257" s="57"/>
      <c r="F257" s="57"/>
      <c r="G257" s="57"/>
      <c r="H257" s="57"/>
      <c r="I257" s="57"/>
      <c r="J257" s="57" t="e">
        <f t="shared" si="26"/>
        <v>#DIV/0!</v>
      </c>
      <c r="K257" s="57"/>
      <c r="L257" s="57"/>
      <c r="M257" s="57" t="e">
        <f t="shared" si="27"/>
        <v>#DIV/0!</v>
      </c>
      <c r="N257" s="58"/>
    </row>
    <row r="258" spans="1:15" hidden="1" x14ac:dyDescent="0.25">
      <c r="A258" s="60" t="s">
        <v>146</v>
      </c>
      <c r="B258" s="57"/>
      <c r="C258" s="57"/>
      <c r="D258" s="57"/>
      <c r="E258" s="57"/>
      <c r="F258" s="57"/>
      <c r="G258" s="57"/>
      <c r="H258" s="57"/>
      <c r="I258" s="57"/>
      <c r="J258" s="57" t="e">
        <f t="shared" si="26"/>
        <v>#DIV/0!</v>
      </c>
      <c r="K258" s="57"/>
      <c r="L258" s="57"/>
      <c r="M258" s="57" t="e">
        <f t="shared" si="27"/>
        <v>#DIV/0!</v>
      </c>
      <c r="N258" s="58"/>
    </row>
    <row r="259" spans="1:15" hidden="1" x14ac:dyDescent="0.25">
      <c r="A259" s="60" t="s">
        <v>147</v>
      </c>
      <c r="B259" s="57"/>
      <c r="C259" s="57"/>
      <c r="D259" s="57"/>
      <c r="E259" s="57"/>
      <c r="F259" s="57"/>
      <c r="G259" s="57"/>
      <c r="H259" s="57"/>
      <c r="I259" s="57"/>
      <c r="J259" s="57" t="e">
        <f t="shared" si="26"/>
        <v>#DIV/0!</v>
      </c>
      <c r="K259" s="57"/>
      <c r="L259" s="57"/>
      <c r="M259" s="57" t="e">
        <f t="shared" si="27"/>
        <v>#DIV/0!</v>
      </c>
      <c r="N259" s="58"/>
    </row>
    <row r="260" spans="1:15" hidden="1" x14ac:dyDescent="0.25">
      <c r="A260" s="60" t="s">
        <v>148</v>
      </c>
      <c r="B260" s="57"/>
      <c r="C260" s="57"/>
      <c r="D260" s="57"/>
      <c r="E260" s="57"/>
      <c r="F260" s="57"/>
      <c r="G260" s="57"/>
      <c r="H260" s="57"/>
      <c r="I260" s="57"/>
      <c r="J260" s="57" t="e">
        <f t="shared" si="26"/>
        <v>#DIV/0!</v>
      </c>
      <c r="K260" s="57"/>
      <c r="L260" s="57"/>
      <c r="M260" s="57" t="e">
        <f t="shared" si="27"/>
        <v>#DIV/0!</v>
      </c>
      <c r="N260" s="58"/>
    </row>
    <row r="261" spans="1:15" hidden="1" x14ac:dyDescent="0.25">
      <c r="A261" s="60" t="s">
        <v>136</v>
      </c>
      <c r="B261" s="57"/>
      <c r="C261" s="57"/>
      <c r="D261" s="57"/>
      <c r="E261" s="57"/>
      <c r="F261" s="57"/>
      <c r="G261" s="57"/>
      <c r="H261" s="57"/>
      <c r="I261" s="57"/>
      <c r="J261" s="57" t="e">
        <f t="shared" si="26"/>
        <v>#DIV/0!</v>
      </c>
      <c r="K261" s="57"/>
      <c r="L261" s="57"/>
      <c r="M261" s="57" t="e">
        <f t="shared" si="27"/>
        <v>#DIV/0!</v>
      </c>
      <c r="N261" s="58"/>
    </row>
    <row r="262" spans="1:15" hidden="1" x14ac:dyDescent="0.25">
      <c r="A262" s="60" t="s">
        <v>137</v>
      </c>
      <c r="B262" s="57"/>
      <c r="C262" s="57"/>
      <c r="D262" s="57"/>
      <c r="E262" s="57"/>
      <c r="F262" s="57"/>
      <c r="G262" s="57"/>
      <c r="H262" s="57"/>
      <c r="I262" s="57"/>
      <c r="J262" s="57" t="e">
        <f t="shared" si="26"/>
        <v>#DIV/0!</v>
      </c>
      <c r="K262" s="57"/>
      <c r="L262" s="57"/>
      <c r="M262" s="57" t="e">
        <f t="shared" si="27"/>
        <v>#DIV/0!</v>
      </c>
      <c r="N262" s="58"/>
    </row>
    <row r="263" spans="1:15" hidden="1" x14ac:dyDescent="0.25">
      <c r="A263" s="60" t="s">
        <v>138</v>
      </c>
      <c r="B263" s="57"/>
      <c r="C263" s="57"/>
      <c r="D263" s="57"/>
      <c r="E263" s="57"/>
      <c r="F263" s="57"/>
      <c r="G263" s="57"/>
      <c r="H263" s="57"/>
      <c r="I263" s="57"/>
      <c r="J263" s="57" t="e">
        <f t="shared" si="26"/>
        <v>#DIV/0!</v>
      </c>
      <c r="K263" s="57"/>
      <c r="L263" s="57"/>
      <c r="M263" s="57" t="e">
        <f t="shared" si="27"/>
        <v>#DIV/0!</v>
      </c>
      <c r="N263" s="58"/>
    </row>
    <row r="264" spans="1:15" hidden="1" x14ac:dyDescent="0.25">
      <c r="A264" s="60" t="s">
        <v>139</v>
      </c>
      <c r="B264" s="57"/>
      <c r="C264" s="57"/>
      <c r="D264" s="57"/>
      <c r="E264" s="57"/>
      <c r="F264" s="57"/>
      <c r="G264" s="57"/>
      <c r="H264" s="57"/>
      <c r="I264" s="57"/>
      <c r="J264" s="57" t="e">
        <f t="shared" si="26"/>
        <v>#DIV/0!</v>
      </c>
      <c r="K264" s="57"/>
      <c r="L264" s="57"/>
      <c r="M264" s="57" t="e">
        <f t="shared" si="27"/>
        <v>#DIV/0!</v>
      </c>
      <c r="N264" s="58"/>
    </row>
    <row r="265" spans="1:15" hidden="1" x14ac:dyDescent="0.25">
      <c r="A265" s="60" t="s">
        <v>140</v>
      </c>
      <c r="B265" s="57"/>
      <c r="C265" s="57"/>
      <c r="D265" s="57"/>
      <c r="E265" s="57"/>
      <c r="F265" s="57"/>
      <c r="G265" s="57"/>
      <c r="H265" s="57"/>
      <c r="I265" s="57"/>
      <c r="J265" s="57" t="e">
        <f t="shared" si="26"/>
        <v>#DIV/0!</v>
      </c>
      <c r="K265" s="57"/>
      <c r="L265" s="57"/>
      <c r="M265" s="57" t="e">
        <f t="shared" si="27"/>
        <v>#DIV/0!</v>
      </c>
      <c r="N265" s="58"/>
    </row>
    <row r="266" spans="1:15" ht="15.75" hidden="1" thickBot="1" x14ac:dyDescent="0.3">
      <c r="A266" s="61" t="s">
        <v>141</v>
      </c>
      <c r="B266" s="59"/>
      <c r="C266" s="59"/>
      <c r="D266" s="59"/>
      <c r="E266" s="59"/>
      <c r="F266" s="59"/>
      <c r="G266" s="59"/>
      <c r="H266" s="59"/>
      <c r="I266" s="59"/>
      <c r="J266" s="59" t="e">
        <f t="shared" si="26"/>
        <v>#DIV/0!</v>
      </c>
      <c r="K266" s="59"/>
      <c r="L266" s="59"/>
      <c r="M266" s="59" t="e">
        <f t="shared" si="27"/>
        <v>#DIV/0!</v>
      </c>
      <c r="N266" s="63"/>
    </row>
    <row r="269" spans="1:15" ht="20.25" hidden="1" x14ac:dyDescent="0.3">
      <c r="A269" s="919" t="s">
        <v>185</v>
      </c>
      <c r="B269" s="920"/>
      <c r="C269" s="920"/>
      <c r="D269" s="920"/>
      <c r="E269" s="920"/>
      <c r="F269" s="920"/>
      <c r="G269" s="921"/>
    </row>
    <row r="270" spans="1:15" ht="39" hidden="1" thickBot="1" x14ac:dyDescent="0.3">
      <c r="A270" s="53" t="s">
        <v>49</v>
      </c>
      <c r="B270" s="64" t="s">
        <v>153</v>
      </c>
      <c r="C270" s="64" t="s">
        <v>154</v>
      </c>
      <c r="D270" s="64" t="s">
        <v>186</v>
      </c>
      <c r="E270" s="64" t="s">
        <v>187</v>
      </c>
      <c r="F270" s="64" t="s">
        <v>188</v>
      </c>
      <c r="G270" s="65" t="s">
        <v>189</v>
      </c>
    </row>
    <row r="271" spans="1:15" s="158" customFormat="1" hidden="1" x14ac:dyDescent="0.25">
      <c r="A271" s="208" t="s">
        <v>136</v>
      </c>
      <c r="B271" s="953" t="s">
        <v>221</v>
      </c>
      <c r="C271" s="957" t="s">
        <v>233</v>
      </c>
      <c r="D271" s="954" t="s">
        <v>234</v>
      </c>
      <c r="E271" s="214">
        <v>2239274028</v>
      </c>
      <c r="F271" s="214">
        <v>15250000</v>
      </c>
      <c r="G271" s="215" t="s">
        <v>242</v>
      </c>
      <c r="H271" s="96">
        <f t="shared" ref="H271:H276" si="28">LEN(G271)</f>
        <v>27</v>
      </c>
      <c r="N271" s="216"/>
      <c r="O271" s="96"/>
    </row>
    <row r="272" spans="1:15" hidden="1" x14ac:dyDescent="0.25">
      <c r="A272" s="56" t="s">
        <v>137</v>
      </c>
      <c r="B272" s="942"/>
      <c r="C272" s="958"/>
      <c r="D272" s="955"/>
      <c r="E272" s="101">
        <v>2239274028</v>
      </c>
      <c r="F272" s="101">
        <v>186734000</v>
      </c>
      <c r="G272" s="102"/>
      <c r="H272" s="96">
        <f t="shared" si="28"/>
        <v>0</v>
      </c>
    </row>
    <row r="273" spans="1:15" hidden="1" x14ac:dyDescent="0.25">
      <c r="A273" s="56" t="s">
        <v>138</v>
      </c>
      <c r="B273" s="942"/>
      <c r="C273" s="958"/>
      <c r="D273" s="955"/>
      <c r="E273" s="101">
        <v>2239274028</v>
      </c>
      <c r="F273" s="101">
        <v>208535000</v>
      </c>
      <c r="G273" s="102"/>
      <c r="H273" s="96">
        <f t="shared" si="28"/>
        <v>0</v>
      </c>
    </row>
    <row r="274" spans="1:15" s="206" customFormat="1" hidden="1" x14ac:dyDescent="0.25">
      <c r="A274" s="124" t="s">
        <v>139</v>
      </c>
      <c r="B274" s="942"/>
      <c r="C274" s="958"/>
      <c r="D274" s="955"/>
      <c r="E274" s="125">
        <v>2239274028</v>
      </c>
      <c r="F274" s="125">
        <v>208535000</v>
      </c>
      <c r="G274" s="205" t="s">
        <v>235</v>
      </c>
      <c r="H274" s="4">
        <f>LEN(G274)</f>
        <v>69</v>
      </c>
      <c r="O274" s="4"/>
    </row>
    <row r="275" spans="1:15" s="206" customFormat="1" hidden="1" x14ac:dyDescent="0.25">
      <c r="A275" s="186" t="s">
        <v>140</v>
      </c>
      <c r="B275" s="942"/>
      <c r="C275" s="958"/>
      <c r="D275" s="955"/>
      <c r="E275" s="127">
        <v>2239274028</v>
      </c>
      <c r="F275" s="127">
        <v>261972893</v>
      </c>
      <c r="G275" s="207" t="s">
        <v>258</v>
      </c>
      <c r="H275" s="4">
        <f t="shared" si="28"/>
        <v>107</v>
      </c>
      <c r="O275" s="4"/>
    </row>
    <row r="276" spans="1:15" ht="15.75" hidden="1" thickBot="1" x14ac:dyDescent="0.3">
      <c r="A276" s="175" t="s">
        <v>141</v>
      </c>
      <c r="B276" s="943"/>
      <c r="C276" s="959"/>
      <c r="D276" s="956"/>
      <c r="E276" s="187">
        <v>1985716202</v>
      </c>
      <c r="F276" s="187">
        <v>835562923</v>
      </c>
      <c r="G276" s="188" t="s">
        <v>269</v>
      </c>
      <c r="H276" s="96">
        <f t="shared" si="28"/>
        <v>222</v>
      </c>
    </row>
    <row r="277" spans="1:15" hidden="1" x14ac:dyDescent="0.25">
      <c r="A277" s="78"/>
      <c r="B277" s="78"/>
      <c r="C277" s="78"/>
      <c r="D277" s="78"/>
      <c r="E277" s="78"/>
      <c r="F277" s="78"/>
      <c r="G277" s="78"/>
    </row>
    <row r="278" spans="1:15" hidden="1" x14ac:dyDescent="0.25">
      <c r="A278" s="78"/>
      <c r="B278" s="78"/>
      <c r="C278" s="78"/>
      <c r="D278" s="78"/>
      <c r="E278" s="78"/>
      <c r="F278" s="78"/>
      <c r="G278" s="78"/>
    </row>
    <row r="279" spans="1:15" ht="39" hidden="1" thickBot="1" x14ac:dyDescent="0.3">
      <c r="A279" s="53" t="s">
        <v>49</v>
      </c>
      <c r="B279" s="64" t="s">
        <v>153</v>
      </c>
      <c r="C279" s="64" t="s">
        <v>154</v>
      </c>
      <c r="D279" s="64" t="s">
        <v>186</v>
      </c>
      <c r="E279" s="87" t="s">
        <v>187</v>
      </c>
      <c r="F279" s="87" t="s">
        <v>188</v>
      </c>
      <c r="G279" s="88" t="s">
        <v>189</v>
      </c>
    </row>
    <row r="280" spans="1:15" s="158" customFormat="1" hidden="1" x14ac:dyDescent="0.25">
      <c r="A280" s="208" t="s">
        <v>136</v>
      </c>
      <c r="B280" s="953" t="s">
        <v>224</v>
      </c>
      <c r="C280" s="953" t="s">
        <v>225</v>
      </c>
      <c r="D280" s="944" t="s">
        <v>236</v>
      </c>
      <c r="E280" s="209">
        <v>632180000</v>
      </c>
      <c r="F280" s="210">
        <v>0</v>
      </c>
      <c r="G280" s="211" t="s">
        <v>243</v>
      </c>
      <c r="H280" s="96">
        <f t="shared" ref="H280:H285" si="29">LEN(G280)</f>
        <v>30</v>
      </c>
      <c r="O280" s="96"/>
    </row>
    <row r="281" spans="1:15" s="158" customFormat="1" hidden="1" x14ac:dyDescent="0.25">
      <c r="A281" s="212" t="s">
        <v>137</v>
      </c>
      <c r="B281" s="942"/>
      <c r="C281" s="942"/>
      <c r="D281" s="945"/>
      <c r="E281" s="209">
        <v>632180000</v>
      </c>
      <c r="F281" s="210">
        <v>183792000</v>
      </c>
      <c r="G281" s="211"/>
      <c r="H281" s="96">
        <f t="shared" si="29"/>
        <v>0</v>
      </c>
      <c r="O281" s="96"/>
    </row>
    <row r="282" spans="1:15" s="158" customFormat="1" hidden="1" x14ac:dyDescent="0.25">
      <c r="A282" s="212" t="s">
        <v>138</v>
      </c>
      <c r="B282" s="942"/>
      <c r="C282" s="942"/>
      <c r="D282" s="945"/>
      <c r="E282" s="209">
        <v>632180000</v>
      </c>
      <c r="F282" s="210">
        <v>190062000</v>
      </c>
      <c r="G282" s="211"/>
      <c r="H282" s="96">
        <f t="shared" si="29"/>
        <v>0</v>
      </c>
      <c r="O282" s="96"/>
    </row>
    <row r="283" spans="1:15" s="206" customFormat="1" hidden="1" x14ac:dyDescent="0.25">
      <c r="A283" s="124" t="s">
        <v>139</v>
      </c>
      <c r="B283" s="942"/>
      <c r="C283" s="942"/>
      <c r="D283" s="945"/>
      <c r="E283" s="126">
        <v>632180000</v>
      </c>
      <c r="F283" s="127">
        <v>190062000</v>
      </c>
      <c r="G283" s="189" t="s">
        <v>237</v>
      </c>
      <c r="H283" s="4">
        <f>LEN(G283)</f>
        <v>48</v>
      </c>
      <c r="O283" s="4"/>
    </row>
    <row r="284" spans="1:15" s="206" customFormat="1" hidden="1" x14ac:dyDescent="0.25">
      <c r="A284" s="124" t="s">
        <v>140</v>
      </c>
      <c r="B284" s="942"/>
      <c r="C284" s="942"/>
      <c r="D284" s="945"/>
      <c r="E284" s="126">
        <v>632180000</v>
      </c>
      <c r="F284" s="127">
        <v>208073593</v>
      </c>
      <c r="G284" s="189" t="s">
        <v>259</v>
      </c>
      <c r="H284" s="4">
        <f t="shared" si="29"/>
        <v>87</v>
      </c>
      <c r="N284" s="213"/>
      <c r="O284" s="4"/>
    </row>
    <row r="285" spans="1:15" ht="15.75" hidden="1" thickBot="1" x14ac:dyDescent="0.3">
      <c r="A285" s="175" t="s">
        <v>141</v>
      </c>
      <c r="B285" s="943"/>
      <c r="C285" s="943"/>
      <c r="D285" s="946"/>
      <c r="E285" s="187">
        <v>588967593</v>
      </c>
      <c r="F285" s="187">
        <v>543446593</v>
      </c>
      <c r="G285" s="190" t="s">
        <v>270</v>
      </c>
      <c r="H285" s="96">
        <f t="shared" si="29"/>
        <v>139</v>
      </c>
      <c r="N285" s="185"/>
    </row>
    <row r="286" spans="1:15" hidden="1" x14ac:dyDescent="0.25">
      <c r="A286" s="78"/>
      <c r="B286" s="78"/>
      <c r="C286" s="78"/>
      <c r="D286" s="78"/>
      <c r="E286" s="78"/>
      <c r="F286" s="78"/>
      <c r="G286" s="78"/>
    </row>
    <row r="287" spans="1:15" hidden="1" x14ac:dyDescent="0.25">
      <c r="A287" s="78"/>
      <c r="B287" s="78"/>
      <c r="C287" s="78"/>
      <c r="D287" s="78"/>
      <c r="E287" s="78"/>
      <c r="F287" s="78"/>
      <c r="G287" s="78"/>
    </row>
    <row r="288" spans="1:15" ht="39" hidden="1" thickBot="1" x14ac:dyDescent="0.3">
      <c r="A288" s="53" t="s">
        <v>49</v>
      </c>
      <c r="B288" s="64" t="s">
        <v>153</v>
      </c>
      <c r="C288" s="64" t="s">
        <v>154</v>
      </c>
      <c r="D288" s="64" t="s">
        <v>186</v>
      </c>
      <c r="E288" s="87" t="s">
        <v>187</v>
      </c>
      <c r="F288" s="87" t="s">
        <v>188</v>
      </c>
      <c r="G288" s="88" t="s">
        <v>189</v>
      </c>
    </row>
    <row r="289" spans="1:15" s="158" customFormat="1" hidden="1" x14ac:dyDescent="0.25">
      <c r="A289" s="208" t="s">
        <v>136</v>
      </c>
      <c r="B289" s="953" t="s">
        <v>224</v>
      </c>
      <c r="C289" s="953" t="s">
        <v>225</v>
      </c>
      <c r="D289" s="954" t="s">
        <v>238</v>
      </c>
      <c r="E289" s="209">
        <v>846820000</v>
      </c>
      <c r="F289" s="210">
        <v>0</v>
      </c>
      <c r="G289" s="211" t="s">
        <v>243</v>
      </c>
      <c r="H289" s="96">
        <f t="shared" ref="H289:H294" si="30">LEN(G289)</f>
        <v>30</v>
      </c>
      <c r="O289" s="96"/>
    </row>
    <row r="290" spans="1:15" hidden="1" x14ac:dyDescent="0.25">
      <c r="A290" s="56" t="s">
        <v>137</v>
      </c>
      <c r="B290" s="942"/>
      <c r="C290" s="942"/>
      <c r="D290" s="955"/>
      <c r="E290" s="99">
        <v>846820000</v>
      </c>
      <c r="F290" s="98">
        <v>298980000</v>
      </c>
      <c r="G290" s="100"/>
      <c r="H290" s="96">
        <f t="shared" si="30"/>
        <v>0</v>
      </c>
    </row>
    <row r="291" spans="1:15" hidden="1" x14ac:dyDescent="0.25">
      <c r="A291" s="56" t="s">
        <v>138</v>
      </c>
      <c r="B291" s="942"/>
      <c r="C291" s="942"/>
      <c r="D291" s="955"/>
      <c r="E291" s="99">
        <v>846820000</v>
      </c>
      <c r="F291" s="98">
        <v>316529347</v>
      </c>
      <c r="G291" s="100"/>
      <c r="H291" s="96">
        <f t="shared" si="30"/>
        <v>0</v>
      </c>
    </row>
    <row r="292" spans="1:15" s="1" customFormat="1" hidden="1" x14ac:dyDescent="0.25">
      <c r="A292" s="124" t="s">
        <v>139</v>
      </c>
      <c r="B292" s="942"/>
      <c r="C292" s="942"/>
      <c r="D292" s="955"/>
      <c r="E292" s="126">
        <v>846820000</v>
      </c>
      <c r="F292" s="127">
        <v>323308102</v>
      </c>
      <c r="G292" s="189" t="s">
        <v>239</v>
      </c>
      <c r="H292" s="4">
        <f>LEN(G292)</f>
        <v>72</v>
      </c>
      <c r="O292" s="4"/>
    </row>
    <row r="293" spans="1:15" s="1" customFormat="1" hidden="1" x14ac:dyDescent="0.25">
      <c r="A293" s="186" t="s">
        <v>140</v>
      </c>
      <c r="B293" s="942"/>
      <c r="C293" s="942"/>
      <c r="D293" s="955"/>
      <c r="E293" s="126">
        <v>846820000</v>
      </c>
      <c r="F293" s="127">
        <v>328756825</v>
      </c>
      <c r="G293" s="189" t="s">
        <v>260</v>
      </c>
      <c r="H293" s="4">
        <f t="shared" si="30"/>
        <v>111</v>
      </c>
      <c r="O293" s="4"/>
    </row>
    <row r="294" spans="1:15" ht="15.75" hidden="1" thickBot="1" x14ac:dyDescent="0.3">
      <c r="A294" s="175" t="s">
        <v>141</v>
      </c>
      <c r="B294" s="943"/>
      <c r="C294" s="943"/>
      <c r="D294" s="956"/>
      <c r="E294" s="191">
        <v>817958593</v>
      </c>
      <c r="F294" s="191">
        <v>755491393</v>
      </c>
      <c r="G294" s="190" t="s">
        <v>271</v>
      </c>
      <c r="H294" s="96">
        <f t="shared" si="30"/>
        <v>223</v>
      </c>
    </row>
    <row r="295" spans="1:15" hidden="1" x14ac:dyDescent="0.25">
      <c r="A295" s="78"/>
      <c r="B295" s="78"/>
      <c r="C295" s="78"/>
      <c r="D295" s="78"/>
      <c r="E295" s="78"/>
      <c r="F295" s="78"/>
      <c r="G295" s="78"/>
    </row>
    <row r="296" spans="1:15" hidden="1" x14ac:dyDescent="0.25">
      <c r="A296" s="78"/>
      <c r="B296" s="78"/>
      <c r="C296" s="78"/>
      <c r="D296" s="78"/>
      <c r="E296" s="78"/>
      <c r="F296" s="78"/>
      <c r="G296" s="78"/>
    </row>
    <row r="297" spans="1:15" ht="39" hidden="1" thickBot="1" x14ac:dyDescent="0.3">
      <c r="A297" s="53" t="s">
        <v>49</v>
      </c>
      <c r="B297" s="64" t="s">
        <v>153</v>
      </c>
      <c r="C297" s="64" t="s">
        <v>154</v>
      </c>
      <c r="D297" s="64" t="s">
        <v>186</v>
      </c>
      <c r="E297" s="87" t="s">
        <v>187</v>
      </c>
      <c r="F297" s="87" t="s">
        <v>188</v>
      </c>
      <c r="G297" s="88" t="s">
        <v>189</v>
      </c>
    </row>
    <row r="298" spans="1:15" s="158" customFormat="1" hidden="1" x14ac:dyDescent="0.25">
      <c r="A298" s="208" t="s">
        <v>136</v>
      </c>
      <c r="B298" s="953" t="s">
        <v>230</v>
      </c>
      <c r="C298" s="953" t="s">
        <v>231</v>
      </c>
      <c r="D298" s="954" t="s">
        <v>240</v>
      </c>
      <c r="E298" s="209">
        <v>201000000</v>
      </c>
      <c r="F298" s="210">
        <v>0</v>
      </c>
      <c r="G298" s="211" t="s">
        <v>243</v>
      </c>
      <c r="H298" s="96">
        <f t="shared" ref="H298:H303" si="31">LEN(G298)</f>
        <v>30</v>
      </c>
      <c r="O298" s="96"/>
    </row>
    <row r="299" spans="1:15" hidden="1" x14ac:dyDescent="0.25">
      <c r="A299" s="56" t="s">
        <v>137</v>
      </c>
      <c r="B299" s="942"/>
      <c r="C299" s="942"/>
      <c r="D299" s="955"/>
      <c r="E299" s="99">
        <v>201000000</v>
      </c>
      <c r="F299" s="98">
        <v>71564000</v>
      </c>
      <c r="G299" s="100"/>
      <c r="H299" s="96">
        <f t="shared" si="31"/>
        <v>0</v>
      </c>
    </row>
    <row r="300" spans="1:15" hidden="1" x14ac:dyDescent="0.25">
      <c r="A300" s="56" t="s">
        <v>138</v>
      </c>
      <c r="B300" s="942"/>
      <c r="C300" s="942"/>
      <c r="D300" s="955"/>
      <c r="E300" s="99">
        <v>201000000</v>
      </c>
      <c r="F300" s="98">
        <v>71564000</v>
      </c>
      <c r="G300" s="100"/>
      <c r="H300" s="96">
        <f t="shared" si="31"/>
        <v>0</v>
      </c>
    </row>
    <row r="301" spans="1:15" s="1" customFormat="1" hidden="1" x14ac:dyDescent="0.25">
      <c r="A301" s="124" t="s">
        <v>139</v>
      </c>
      <c r="B301" s="942"/>
      <c r="C301" s="942"/>
      <c r="D301" s="955"/>
      <c r="E301" s="126">
        <v>201000000</v>
      </c>
      <c r="F301" s="127">
        <v>71564000</v>
      </c>
      <c r="G301" s="189" t="s">
        <v>241</v>
      </c>
      <c r="H301" s="4">
        <f>LEN(G301)</f>
        <v>48</v>
      </c>
      <c r="O301" s="4"/>
    </row>
    <row r="302" spans="1:15" s="1" customFormat="1" hidden="1" x14ac:dyDescent="0.25">
      <c r="A302" s="124" t="s">
        <v>140</v>
      </c>
      <c r="B302" s="942"/>
      <c r="C302" s="942"/>
      <c r="D302" s="955"/>
      <c r="E302" s="126">
        <v>201000000</v>
      </c>
      <c r="F302" s="127">
        <v>76021593</v>
      </c>
      <c r="G302" s="189" t="s">
        <v>261</v>
      </c>
      <c r="H302" s="4">
        <f t="shared" si="31"/>
        <v>88</v>
      </c>
      <c r="O302" s="4"/>
    </row>
    <row r="303" spans="1:15" ht="15.75" hidden="1" thickBot="1" x14ac:dyDescent="0.3">
      <c r="A303" s="175" t="s">
        <v>141</v>
      </c>
      <c r="B303" s="943"/>
      <c r="C303" s="943"/>
      <c r="D303" s="956"/>
      <c r="E303" s="187">
        <v>144912593</v>
      </c>
      <c r="F303" s="187">
        <v>143476093</v>
      </c>
      <c r="G303" s="190" t="s">
        <v>272</v>
      </c>
      <c r="H303" s="96">
        <f t="shared" si="31"/>
        <v>157</v>
      </c>
    </row>
    <row r="304" spans="1:15" s="1" customFormat="1" x14ac:dyDescent="0.25">
      <c r="A304" s="201"/>
      <c r="B304" s="202"/>
      <c r="C304" s="202"/>
      <c r="D304" s="239"/>
      <c r="E304" s="240"/>
      <c r="F304" s="240"/>
      <c r="G304" s="241"/>
      <c r="H304" s="4"/>
      <c r="O304" s="4"/>
    </row>
    <row r="305" spans="1:15" s="1" customFormat="1" x14ac:dyDescent="0.25">
      <c r="A305" s="201"/>
      <c r="B305" s="202"/>
      <c r="C305" s="202"/>
      <c r="D305" s="239"/>
      <c r="E305" s="240"/>
      <c r="F305" s="240"/>
      <c r="G305" s="241"/>
      <c r="H305" s="4"/>
      <c r="O305" s="4"/>
    </row>
    <row r="306" spans="1:15" s="1" customFormat="1" ht="15.75" thickBot="1" x14ac:dyDescent="0.3">
      <c r="A306" s="201"/>
      <c r="B306" s="202"/>
      <c r="C306" s="202"/>
      <c r="D306" s="239"/>
      <c r="E306" s="240"/>
      <c r="F306" s="240"/>
      <c r="G306" s="241"/>
      <c r="H306" s="4"/>
      <c r="O306" s="4"/>
    </row>
    <row r="307" spans="1:15" ht="20.25" x14ac:dyDescent="0.3">
      <c r="A307" s="919" t="s">
        <v>190</v>
      </c>
      <c r="B307" s="920"/>
      <c r="C307" s="920"/>
      <c r="D307" s="920"/>
      <c r="E307" s="920"/>
      <c r="F307" s="920"/>
      <c r="G307" s="921"/>
    </row>
    <row r="308" spans="1:15" ht="39" thickBot="1" x14ac:dyDescent="0.3">
      <c r="A308" s="53" t="s">
        <v>50</v>
      </c>
      <c r="B308" s="64" t="s">
        <v>153</v>
      </c>
      <c r="C308" s="64" t="s">
        <v>154</v>
      </c>
      <c r="D308" s="64" t="s">
        <v>186</v>
      </c>
      <c r="E308" s="64" t="s">
        <v>191</v>
      </c>
      <c r="F308" s="64" t="s">
        <v>192</v>
      </c>
      <c r="G308" s="65" t="s">
        <v>189</v>
      </c>
    </row>
    <row r="309" spans="1:15" s="158" customFormat="1" x14ac:dyDescent="0.25">
      <c r="A309" s="270" t="s">
        <v>143</v>
      </c>
      <c r="B309" s="953" t="s">
        <v>221</v>
      </c>
      <c r="C309" s="957" t="s">
        <v>233</v>
      </c>
      <c r="D309" s="954" t="s">
        <v>234</v>
      </c>
      <c r="E309" s="271">
        <f>+INVERSIÓN!V39</f>
        <v>0</v>
      </c>
      <c r="F309" s="271">
        <v>0</v>
      </c>
      <c r="G309" s="272"/>
      <c r="H309" s="96">
        <f t="shared" ref="H309:H320" si="32">LEN(G309)</f>
        <v>0</v>
      </c>
      <c r="N309" s="216"/>
      <c r="O309" s="96"/>
    </row>
    <row r="310" spans="1:15" s="158" customFormat="1" x14ac:dyDescent="0.25">
      <c r="A310" s="208" t="s">
        <v>144</v>
      </c>
      <c r="B310" s="942"/>
      <c r="C310" s="958"/>
      <c r="D310" s="955"/>
      <c r="E310" s="214"/>
      <c r="F310" s="214"/>
      <c r="G310" s="215"/>
      <c r="H310" s="96">
        <f t="shared" si="32"/>
        <v>0</v>
      </c>
      <c r="N310" s="216"/>
      <c r="O310" s="96"/>
    </row>
    <row r="311" spans="1:15" s="158" customFormat="1" x14ac:dyDescent="0.25">
      <c r="A311" s="208" t="s">
        <v>145</v>
      </c>
      <c r="B311" s="942"/>
      <c r="C311" s="958"/>
      <c r="D311" s="955"/>
      <c r="E311" s="214"/>
      <c r="F311" s="214"/>
      <c r="G311" s="215"/>
      <c r="H311" s="96">
        <f t="shared" si="32"/>
        <v>0</v>
      </c>
      <c r="N311" s="216"/>
      <c r="O311" s="96"/>
    </row>
    <row r="312" spans="1:15" s="158" customFormat="1" x14ac:dyDescent="0.25">
      <c r="A312" s="208" t="s">
        <v>146</v>
      </c>
      <c r="B312" s="942"/>
      <c r="C312" s="958"/>
      <c r="D312" s="955"/>
      <c r="E312" s="214"/>
      <c r="F312" s="214"/>
      <c r="G312" s="215"/>
      <c r="H312" s="96">
        <f t="shared" si="32"/>
        <v>0</v>
      </c>
      <c r="N312" s="216"/>
      <c r="O312" s="96"/>
    </row>
    <row r="313" spans="1:15" s="158" customFormat="1" x14ac:dyDescent="0.25">
      <c r="A313" s="208" t="s">
        <v>147</v>
      </c>
      <c r="B313" s="942"/>
      <c r="C313" s="958"/>
      <c r="D313" s="955"/>
      <c r="E313" s="214"/>
      <c r="F313" s="214"/>
      <c r="G313" s="215"/>
      <c r="H313" s="96">
        <f t="shared" si="32"/>
        <v>0</v>
      </c>
      <c r="N313" s="216"/>
      <c r="O313" s="96"/>
    </row>
    <row r="314" spans="1:15" s="158" customFormat="1" x14ac:dyDescent="0.25">
      <c r="A314" s="208" t="s">
        <v>148</v>
      </c>
      <c r="B314" s="942"/>
      <c r="C314" s="958"/>
      <c r="D314" s="955"/>
      <c r="E314" s="214"/>
      <c r="F314" s="214"/>
      <c r="G314" s="215"/>
      <c r="H314" s="96">
        <f t="shared" si="32"/>
        <v>0</v>
      </c>
      <c r="N314" s="216"/>
      <c r="O314" s="96"/>
    </row>
    <row r="315" spans="1:15" s="158" customFormat="1" x14ac:dyDescent="0.25">
      <c r="A315" s="208" t="s">
        <v>136</v>
      </c>
      <c r="B315" s="942"/>
      <c r="C315" s="958"/>
      <c r="D315" s="955"/>
      <c r="E315" s="214"/>
      <c r="F315" s="214"/>
      <c r="G315" s="215"/>
      <c r="H315" s="96">
        <f t="shared" si="32"/>
        <v>0</v>
      </c>
      <c r="N315" s="216"/>
      <c r="O315" s="96"/>
    </row>
    <row r="316" spans="1:15" x14ac:dyDescent="0.25">
      <c r="A316" s="56" t="s">
        <v>137</v>
      </c>
      <c r="B316" s="942"/>
      <c r="C316" s="958"/>
      <c r="D316" s="955"/>
      <c r="E316" s="101"/>
      <c r="F316" s="101"/>
      <c r="G316" s="102"/>
      <c r="H316" s="96">
        <f t="shared" si="32"/>
        <v>0</v>
      </c>
    </row>
    <row r="317" spans="1:15" x14ac:dyDescent="0.25">
      <c r="A317" s="56" t="s">
        <v>138</v>
      </c>
      <c r="B317" s="942"/>
      <c r="C317" s="958"/>
      <c r="D317" s="955"/>
      <c r="E317" s="101"/>
      <c r="F317" s="101"/>
      <c r="G317" s="102"/>
      <c r="H317" s="96">
        <f t="shared" si="32"/>
        <v>0</v>
      </c>
    </row>
    <row r="318" spans="1:15" s="206" customFormat="1" x14ac:dyDescent="0.25">
      <c r="A318" s="124" t="s">
        <v>139</v>
      </c>
      <c r="B318" s="942"/>
      <c r="C318" s="958"/>
      <c r="D318" s="955"/>
      <c r="E318" s="125"/>
      <c r="F318" s="125"/>
      <c r="G318" s="205"/>
      <c r="H318" s="96">
        <f t="shared" si="32"/>
        <v>0</v>
      </c>
      <c r="O318" s="4"/>
    </row>
    <row r="319" spans="1:15" s="206" customFormat="1" x14ac:dyDescent="0.25">
      <c r="A319" s="186" t="s">
        <v>140</v>
      </c>
      <c r="B319" s="942"/>
      <c r="C319" s="958"/>
      <c r="D319" s="955"/>
      <c r="E319" s="127"/>
      <c r="F319" s="127"/>
      <c r="G319" s="207"/>
      <c r="H319" s="96">
        <f t="shared" si="32"/>
        <v>0</v>
      </c>
      <c r="O319" s="4"/>
    </row>
    <row r="320" spans="1:15" s="1" customFormat="1" ht="15.75" thickBot="1" x14ac:dyDescent="0.3">
      <c r="A320" s="231" t="s">
        <v>141</v>
      </c>
      <c r="B320" s="943"/>
      <c r="C320" s="959"/>
      <c r="D320" s="956"/>
      <c r="E320" s="252"/>
      <c r="F320" s="252"/>
      <c r="G320" s="253"/>
      <c r="H320" s="96">
        <f t="shared" si="32"/>
        <v>0</v>
      </c>
      <c r="O320" s="4"/>
    </row>
    <row r="321" spans="1:15" x14ac:dyDescent="0.25">
      <c r="A321" s="78"/>
      <c r="B321" s="78"/>
      <c r="C321" s="78"/>
      <c r="D321" s="78"/>
      <c r="E321" s="78"/>
      <c r="F321" s="78"/>
      <c r="G321" s="78"/>
    </row>
    <row r="322" spans="1:15" ht="15.75" thickBot="1" x14ac:dyDescent="0.3">
      <c r="A322" s="78"/>
      <c r="B322" s="78"/>
      <c r="C322" s="78"/>
      <c r="D322" s="78"/>
      <c r="E322" s="78"/>
      <c r="F322" s="78"/>
      <c r="G322" s="78"/>
    </row>
    <row r="323" spans="1:15" ht="39" thickBot="1" x14ac:dyDescent="0.3">
      <c r="A323" s="53" t="s">
        <v>50</v>
      </c>
      <c r="B323" s="255" t="s">
        <v>153</v>
      </c>
      <c r="C323" s="255" t="s">
        <v>154</v>
      </c>
      <c r="D323" s="255" t="s">
        <v>186</v>
      </c>
      <c r="E323" s="64" t="s">
        <v>191</v>
      </c>
      <c r="F323" s="64" t="s">
        <v>192</v>
      </c>
      <c r="G323" s="256" t="s">
        <v>189</v>
      </c>
    </row>
    <row r="324" spans="1:15" s="158" customFormat="1" x14ac:dyDescent="0.25">
      <c r="A324" s="270" t="s">
        <v>143</v>
      </c>
      <c r="B324" s="953" t="s">
        <v>224</v>
      </c>
      <c r="C324" s="953" t="s">
        <v>225</v>
      </c>
      <c r="D324" s="954" t="s">
        <v>236</v>
      </c>
      <c r="E324" s="273">
        <f>+INVERSIÓN!V46</f>
        <v>0</v>
      </c>
      <c r="F324" s="274">
        <v>0</v>
      </c>
      <c r="G324" s="275"/>
      <c r="H324" s="96">
        <f t="shared" ref="H324:H335" si="33">LEN(G324)</f>
        <v>0</v>
      </c>
      <c r="O324" s="96"/>
    </row>
    <row r="325" spans="1:15" s="158" customFormat="1" x14ac:dyDescent="0.25">
      <c r="A325" s="208" t="s">
        <v>144</v>
      </c>
      <c r="B325" s="942"/>
      <c r="C325" s="942"/>
      <c r="D325" s="955"/>
      <c r="E325" s="209"/>
      <c r="F325" s="210"/>
      <c r="G325" s="257"/>
      <c r="H325" s="96">
        <f t="shared" si="33"/>
        <v>0</v>
      </c>
      <c r="O325" s="96"/>
    </row>
    <row r="326" spans="1:15" s="158" customFormat="1" x14ac:dyDescent="0.25">
      <c r="A326" s="208" t="s">
        <v>145</v>
      </c>
      <c r="B326" s="942"/>
      <c r="C326" s="942"/>
      <c r="D326" s="955"/>
      <c r="E326" s="209"/>
      <c r="F326" s="210"/>
      <c r="G326" s="257"/>
      <c r="H326" s="96">
        <f t="shared" si="33"/>
        <v>0</v>
      </c>
      <c r="O326" s="96"/>
    </row>
    <row r="327" spans="1:15" s="158" customFormat="1" x14ac:dyDescent="0.25">
      <c r="A327" s="208" t="s">
        <v>146</v>
      </c>
      <c r="B327" s="942"/>
      <c r="C327" s="942"/>
      <c r="D327" s="955"/>
      <c r="E327" s="209"/>
      <c r="F327" s="210"/>
      <c r="G327" s="257"/>
      <c r="H327" s="96">
        <f t="shared" si="33"/>
        <v>0</v>
      </c>
      <c r="O327" s="96"/>
    </row>
    <row r="328" spans="1:15" s="158" customFormat="1" x14ac:dyDescent="0.25">
      <c r="A328" s="208" t="s">
        <v>147</v>
      </c>
      <c r="B328" s="942"/>
      <c r="C328" s="942"/>
      <c r="D328" s="955"/>
      <c r="E328" s="209"/>
      <c r="F328" s="210"/>
      <c r="G328" s="257"/>
      <c r="H328" s="96">
        <f t="shared" si="33"/>
        <v>0</v>
      </c>
      <c r="O328" s="96"/>
    </row>
    <row r="329" spans="1:15" s="158" customFormat="1" x14ac:dyDescent="0.25">
      <c r="A329" s="208" t="s">
        <v>148</v>
      </c>
      <c r="B329" s="942"/>
      <c r="C329" s="942"/>
      <c r="D329" s="955"/>
      <c r="E329" s="209"/>
      <c r="F329" s="210"/>
      <c r="G329" s="257"/>
      <c r="H329" s="96">
        <f t="shared" si="33"/>
        <v>0</v>
      </c>
      <c r="O329" s="96"/>
    </row>
    <row r="330" spans="1:15" s="158" customFormat="1" x14ac:dyDescent="0.25">
      <c r="A330" s="208" t="s">
        <v>136</v>
      </c>
      <c r="B330" s="942"/>
      <c r="C330" s="942"/>
      <c r="D330" s="955"/>
      <c r="E330" s="209"/>
      <c r="F330" s="210"/>
      <c r="G330" s="257"/>
      <c r="H330" s="96">
        <f t="shared" si="33"/>
        <v>0</v>
      </c>
      <c r="O330" s="96"/>
    </row>
    <row r="331" spans="1:15" s="158" customFormat="1" x14ac:dyDescent="0.25">
      <c r="A331" s="56" t="s">
        <v>137</v>
      </c>
      <c r="B331" s="942"/>
      <c r="C331" s="942"/>
      <c r="D331" s="955"/>
      <c r="E331" s="209"/>
      <c r="F331" s="210"/>
      <c r="G331" s="257"/>
      <c r="H331" s="96">
        <f t="shared" si="33"/>
        <v>0</v>
      </c>
      <c r="O331" s="96"/>
    </row>
    <row r="332" spans="1:15" s="158" customFormat="1" x14ac:dyDescent="0.25">
      <c r="A332" s="56" t="s">
        <v>138</v>
      </c>
      <c r="B332" s="942"/>
      <c r="C332" s="942"/>
      <c r="D332" s="955"/>
      <c r="E332" s="209"/>
      <c r="F332" s="210"/>
      <c r="G332" s="257"/>
      <c r="H332" s="96">
        <f t="shared" si="33"/>
        <v>0</v>
      </c>
      <c r="O332" s="96"/>
    </row>
    <row r="333" spans="1:15" s="158" customFormat="1" x14ac:dyDescent="0.25">
      <c r="A333" s="124" t="s">
        <v>139</v>
      </c>
      <c r="B333" s="942"/>
      <c r="C333" s="942"/>
      <c r="D333" s="955"/>
      <c r="E333" s="209"/>
      <c r="F333" s="210"/>
      <c r="G333" s="257"/>
      <c r="H333" s="96">
        <f t="shared" si="33"/>
        <v>0</v>
      </c>
      <c r="O333" s="96"/>
    </row>
    <row r="334" spans="1:15" s="206" customFormat="1" x14ac:dyDescent="0.25">
      <c r="A334" s="186" t="s">
        <v>140</v>
      </c>
      <c r="B334" s="942"/>
      <c r="C334" s="942"/>
      <c r="D334" s="955"/>
      <c r="E334" s="126"/>
      <c r="F334" s="127"/>
      <c r="G334" s="207"/>
      <c r="H334" s="96">
        <f t="shared" si="33"/>
        <v>0</v>
      </c>
      <c r="O334" s="4"/>
    </row>
    <row r="335" spans="1:15" s="1" customFormat="1" ht="15.75" thickBot="1" x14ac:dyDescent="0.3">
      <c r="A335" s="231" t="s">
        <v>141</v>
      </c>
      <c r="B335" s="943"/>
      <c r="C335" s="943"/>
      <c r="D335" s="956"/>
      <c r="E335" s="252"/>
      <c r="F335" s="252"/>
      <c r="G335" s="258"/>
      <c r="H335" s="96">
        <f t="shared" si="33"/>
        <v>0</v>
      </c>
      <c r="N335" s="254"/>
      <c r="O335" s="4"/>
    </row>
    <row r="336" spans="1:15" x14ac:dyDescent="0.25">
      <c r="A336" s="78"/>
      <c r="B336" s="78"/>
      <c r="C336" s="78"/>
      <c r="D336" s="78"/>
      <c r="E336" s="78"/>
      <c r="F336" s="78"/>
      <c r="G336" s="78"/>
    </row>
    <row r="337" spans="1:15" ht="15.75" thickBot="1" x14ac:dyDescent="0.3">
      <c r="A337" s="78"/>
      <c r="B337" s="78"/>
      <c r="C337" s="78"/>
      <c r="D337" s="78"/>
      <c r="E337" s="78"/>
      <c r="F337" s="78"/>
      <c r="G337" s="78"/>
    </row>
    <row r="338" spans="1:15" ht="39" thickBot="1" x14ac:dyDescent="0.3">
      <c r="A338" s="53" t="s">
        <v>50</v>
      </c>
      <c r="B338" s="255" t="s">
        <v>153</v>
      </c>
      <c r="C338" s="255" t="s">
        <v>154</v>
      </c>
      <c r="D338" s="255" t="s">
        <v>186</v>
      </c>
      <c r="E338" s="64" t="s">
        <v>191</v>
      </c>
      <c r="F338" s="64" t="s">
        <v>192</v>
      </c>
      <c r="G338" s="256" t="s">
        <v>189</v>
      </c>
    </row>
    <row r="339" spans="1:15" s="158" customFormat="1" x14ac:dyDescent="0.25">
      <c r="A339" s="270" t="s">
        <v>143</v>
      </c>
      <c r="B339" s="953" t="s">
        <v>224</v>
      </c>
      <c r="C339" s="953" t="s">
        <v>225</v>
      </c>
      <c r="D339" s="954" t="s">
        <v>238</v>
      </c>
      <c r="E339" s="273">
        <f>+INVERSIÓN!U53</f>
        <v>0</v>
      </c>
      <c r="F339" s="274">
        <v>0</v>
      </c>
      <c r="G339" s="275"/>
      <c r="H339" s="96">
        <f t="shared" ref="H339:H350" si="34">LEN(G339)</f>
        <v>0</v>
      </c>
      <c r="O339" s="96"/>
    </row>
    <row r="340" spans="1:15" s="158" customFormat="1" x14ac:dyDescent="0.25">
      <c r="A340" s="208" t="s">
        <v>144</v>
      </c>
      <c r="B340" s="942"/>
      <c r="C340" s="942"/>
      <c r="D340" s="955"/>
      <c r="E340" s="209"/>
      <c r="F340" s="210"/>
      <c r="G340" s="257"/>
      <c r="H340" s="96">
        <f t="shared" si="34"/>
        <v>0</v>
      </c>
      <c r="O340" s="96"/>
    </row>
    <row r="341" spans="1:15" s="158" customFormat="1" x14ac:dyDescent="0.25">
      <c r="A341" s="208" t="s">
        <v>145</v>
      </c>
      <c r="B341" s="942"/>
      <c r="C341" s="942"/>
      <c r="D341" s="955"/>
      <c r="E341" s="209"/>
      <c r="F341" s="210"/>
      <c r="G341" s="257"/>
      <c r="H341" s="96">
        <f t="shared" si="34"/>
        <v>0</v>
      </c>
      <c r="O341" s="96"/>
    </row>
    <row r="342" spans="1:15" s="158" customFormat="1" x14ac:dyDescent="0.25">
      <c r="A342" s="208" t="s">
        <v>146</v>
      </c>
      <c r="B342" s="942"/>
      <c r="C342" s="942"/>
      <c r="D342" s="955"/>
      <c r="E342" s="209"/>
      <c r="F342" s="210"/>
      <c r="G342" s="257"/>
      <c r="H342" s="96">
        <f t="shared" si="34"/>
        <v>0</v>
      </c>
      <c r="O342" s="96"/>
    </row>
    <row r="343" spans="1:15" s="158" customFormat="1" x14ac:dyDescent="0.25">
      <c r="A343" s="208" t="s">
        <v>147</v>
      </c>
      <c r="B343" s="942"/>
      <c r="C343" s="942"/>
      <c r="D343" s="955"/>
      <c r="E343" s="209"/>
      <c r="F343" s="210"/>
      <c r="G343" s="257"/>
      <c r="H343" s="96">
        <f t="shared" si="34"/>
        <v>0</v>
      </c>
      <c r="O343" s="96"/>
    </row>
    <row r="344" spans="1:15" s="158" customFormat="1" x14ac:dyDescent="0.25">
      <c r="A344" s="208" t="s">
        <v>148</v>
      </c>
      <c r="B344" s="942"/>
      <c r="C344" s="942"/>
      <c r="D344" s="955"/>
      <c r="E344" s="209"/>
      <c r="F344" s="210"/>
      <c r="G344" s="257"/>
      <c r="H344" s="96">
        <f t="shared" si="34"/>
        <v>0</v>
      </c>
      <c r="O344" s="96"/>
    </row>
    <row r="345" spans="1:15" s="158" customFormat="1" x14ac:dyDescent="0.25">
      <c r="A345" s="208" t="s">
        <v>136</v>
      </c>
      <c r="B345" s="942"/>
      <c r="C345" s="942"/>
      <c r="D345" s="955"/>
      <c r="E345" s="209"/>
      <c r="F345" s="210"/>
      <c r="G345" s="257"/>
      <c r="H345" s="96">
        <f t="shared" si="34"/>
        <v>0</v>
      </c>
      <c r="O345" s="96"/>
    </row>
    <row r="346" spans="1:15" x14ac:dyDescent="0.25">
      <c r="A346" s="56" t="s">
        <v>137</v>
      </c>
      <c r="B346" s="942"/>
      <c r="C346" s="942"/>
      <c r="D346" s="955"/>
      <c r="E346" s="99"/>
      <c r="F346" s="98"/>
      <c r="G346" s="259"/>
      <c r="H346" s="96">
        <f t="shared" si="34"/>
        <v>0</v>
      </c>
    </row>
    <row r="347" spans="1:15" x14ac:dyDescent="0.25">
      <c r="A347" s="56" t="s">
        <v>138</v>
      </c>
      <c r="B347" s="942"/>
      <c r="C347" s="942"/>
      <c r="D347" s="955"/>
      <c r="E347" s="99"/>
      <c r="F347" s="98"/>
      <c r="G347" s="259"/>
      <c r="H347" s="96">
        <f t="shared" si="34"/>
        <v>0</v>
      </c>
    </row>
    <row r="348" spans="1:15" s="1" customFormat="1" x14ac:dyDescent="0.25">
      <c r="A348" s="124" t="s">
        <v>139</v>
      </c>
      <c r="B348" s="942"/>
      <c r="C348" s="942"/>
      <c r="D348" s="955"/>
      <c r="E348" s="126"/>
      <c r="F348" s="127"/>
      <c r="G348" s="207"/>
      <c r="H348" s="96">
        <f t="shared" si="34"/>
        <v>0</v>
      </c>
      <c r="O348" s="4"/>
    </row>
    <row r="349" spans="1:15" s="1" customFormat="1" x14ac:dyDescent="0.25">
      <c r="A349" s="186" t="s">
        <v>140</v>
      </c>
      <c r="B349" s="942"/>
      <c r="C349" s="942"/>
      <c r="D349" s="955"/>
      <c r="E349" s="126"/>
      <c r="F349" s="127"/>
      <c r="G349" s="207"/>
      <c r="H349" s="96">
        <f t="shared" si="34"/>
        <v>0</v>
      </c>
      <c r="O349" s="4"/>
    </row>
    <row r="350" spans="1:15" s="1" customFormat="1" ht="15.75" thickBot="1" x14ac:dyDescent="0.3">
      <c r="A350" s="231" t="s">
        <v>141</v>
      </c>
      <c r="B350" s="943"/>
      <c r="C350" s="943"/>
      <c r="D350" s="956"/>
      <c r="E350" s="252"/>
      <c r="F350" s="252"/>
      <c r="G350" s="258"/>
      <c r="H350" s="4">
        <f t="shared" si="34"/>
        <v>0</v>
      </c>
      <c r="O350" s="4"/>
    </row>
    <row r="351" spans="1:15" x14ac:dyDescent="0.25">
      <c r="A351" s="78"/>
      <c r="B351" s="78"/>
      <c r="C351" s="78"/>
      <c r="D351" s="78"/>
      <c r="E351" s="78"/>
      <c r="F351" s="78"/>
      <c r="G351" s="78"/>
    </row>
    <row r="352" spans="1:15" ht="15.75" thickBot="1" x14ac:dyDescent="0.3">
      <c r="A352" s="78"/>
      <c r="B352" s="78"/>
      <c r="C352" s="78"/>
      <c r="D352" s="78"/>
      <c r="E352" s="78"/>
      <c r="F352" s="78"/>
      <c r="G352" s="78"/>
    </row>
    <row r="353" spans="1:15" ht="39" thickBot="1" x14ac:dyDescent="0.3">
      <c r="A353" s="53" t="s">
        <v>50</v>
      </c>
      <c r="B353" s="255" t="s">
        <v>153</v>
      </c>
      <c r="C353" s="255" t="s">
        <v>154</v>
      </c>
      <c r="D353" s="255" t="s">
        <v>186</v>
      </c>
      <c r="E353" s="64" t="s">
        <v>191</v>
      </c>
      <c r="F353" s="64" t="s">
        <v>192</v>
      </c>
      <c r="G353" s="256" t="s">
        <v>189</v>
      </c>
    </row>
    <row r="354" spans="1:15" s="158" customFormat="1" x14ac:dyDescent="0.25">
      <c r="A354" s="270" t="s">
        <v>143</v>
      </c>
      <c r="B354" s="953" t="s">
        <v>230</v>
      </c>
      <c r="C354" s="953" t="s">
        <v>231</v>
      </c>
      <c r="D354" s="954" t="s">
        <v>240</v>
      </c>
      <c r="E354" s="273" t="e">
        <f>+INVERSIÓN!#REF!</f>
        <v>#REF!</v>
      </c>
      <c r="F354" s="274">
        <v>0</v>
      </c>
      <c r="G354" s="275"/>
      <c r="H354" s="96">
        <f t="shared" ref="H354:H365" si="35">LEN(G354)</f>
        <v>0</v>
      </c>
      <c r="O354" s="96"/>
    </row>
    <row r="355" spans="1:15" s="158" customFormat="1" x14ac:dyDescent="0.25">
      <c r="A355" s="208" t="s">
        <v>144</v>
      </c>
      <c r="B355" s="942"/>
      <c r="C355" s="942"/>
      <c r="D355" s="955"/>
      <c r="E355" s="209"/>
      <c r="F355" s="210"/>
      <c r="G355" s="257"/>
      <c r="H355" s="96">
        <f t="shared" si="35"/>
        <v>0</v>
      </c>
      <c r="O355" s="96"/>
    </row>
    <row r="356" spans="1:15" s="158" customFormat="1" x14ac:dyDescent="0.25">
      <c r="A356" s="208" t="s">
        <v>145</v>
      </c>
      <c r="B356" s="942"/>
      <c r="C356" s="942"/>
      <c r="D356" s="955"/>
      <c r="E356" s="209"/>
      <c r="F356" s="210"/>
      <c r="G356" s="257"/>
      <c r="H356" s="96">
        <f t="shared" si="35"/>
        <v>0</v>
      </c>
      <c r="O356" s="96"/>
    </row>
    <row r="357" spans="1:15" s="158" customFormat="1" x14ac:dyDescent="0.25">
      <c r="A357" s="208" t="s">
        <v>146</v>
      </c>
      <c r="B357" s="942"/>
      <c r="C357" s="942"/>
      <c r="D357" s="955"/>
      <c r="E357" s="209"/>
      <c r="F357" s="210"/>
      <c r="G357" s="257"/>
      <c r="H357" s="96">
        <f t="shared" si="35"/>
        <v>0</v>
      </c>
      <c r="O357" s="96"/>
    </row>
    <row r="358" spans="1:15" s="158" customFormat="1" x14ac:dyDescent="0.25">
      <c r="A358" s="208" t="s">
        <v>147</v>
      </c>
      <c r="B358" s="942"/>
      <c r="C358" s="942"/>
      <c r="D358" s="955"/>
      <c r="E358" s="209"/>
      <c r="F358" s="210"/>
      <c r="G358" s="257"/>
      <c r="H358" s="96">
        <f t="shared" si="35"/>
        <v>0</v>
      </c>
      <c r="O358" s="96"/>
    </row>
    <row r="359" spans="1:15" s="158" customFormat="1" x14ac:dyDescent="0.25">
      <c r="A359" s="208" t="s">
        <v>148</v>
      </c>
      <c r="B359" s="942"/>
      <c r="C359" s="942"/>
      <c r="D359" s="955"/>
      <c r="E359" s="209"/>
      <c r="F359" s="210"/>
      <c r="G359" s="257"/>
      <c r="H359" s="96">
        <f t="shared" si="35"/>
        <v>0</v>
      </c>
      <c r="O359" s="96"/>
    </row>
    <row r="360" spans="1:15" s="158" customFormat="1" x14ac:dyDescent="0.25">
      <c r="A360" s="208" t="s">
        <v>136</v>
      </c>
      <c r="B360" s="942"/>
      <c r="C360" s="942"/>
      <c r="D360" s="955"/>
      <c r="E360" s="209"/>
      <c r="F360" s="210"/>
      <c r="G360" s="257"/>
      <c r="H360" s="96">
        <f t="shared" si="35"/>
        <v>0</v>
      </c>
      <c r="O360" s="96"/>
    </row>
    <row r="361" spans="1:15" x14ac:dyDescent="0.25">
      <c r="A361" s="56" t="s">
        <v>137</v>
      </c>
      <c r="B361" s="942"/>
      <c r="C361" s="942"/>
      <c r="D361" s="955"/>
      <c r="E361" s="99"/>
      <c r="F361" s="98"/>
      <c r="G361" s="259"/>
      <c r="H361" s="96">
        <f t="shared" si="35"/>
        <v>0</v>
      </c>
    </row>
    <row r="362" spans="1:15" x14ac:dyDescent="0.25">
      <c r="A362" s="56" t="s">
        <v>138</v>
      </c>
      <c r="B362" s="942"/>
      <c r="C362" s="942"/>
      <c r="D362" s="955"/>
      <c r="E362" s="99"/>
      <c r="F362" s="98"/>
      <c r="G362" s="259"/>
      <c r="H362" s="96">
        <f t="shared" si="35"/>
        <v>0</v>
      </c>
    </row>
    <row r="363" spans="1:15" s="1" customFormat="1" x14ac:dyDescent="0.25">
      <c r="A363" s="124" t="s">
        <v>139</v>
      </c>
      <c r="B363" s="942"/>
      <c r="C363" s="942"/>
      <c r="D363" s="955"/>
      <c r="E363" s="126"/>
      <c r="F363" s="127"/>
      <c r="G363" s="207"/>
      <c r="H363" s="96">
        <f t="shared" si="35"/>
        <v>0</v>
      </c>
      <c r="O363" s="4"/>
    </row>
    <row r="364" spans="1:15" s="1" customFormat="1" x14ac:dyDescent="0.25">
      <c r="A364" s="124" t="s">
        <v>140</v>
      </c>
      <c r="B364" s="942"/>
      <c r="C364" s="942"/>
      <c r="D364" s="955"/>
      <c r="E364" s="126"/>
      <c r="F364" s="127"/>
      <c r="G364" s="207"/>
      <c r="H364" s="96">
        <f t="shared" si="35"/>
        <v>0</v>
      </c>
      <c r="O364" s="4"/>
    </row>
    <row r="365" spans="1:15" s="1" customFormat="1" ht="15.75" thickBot="1" x14ac:dyDescent="0.3">
      <c r="A365" s="231" t="s">
        <v>141</v>
      </c>
      <c r="B365" s="943"/>
      <c r="C365" s="943"/>
      <c r="D365" s="956"/>
      <c r="E365" s="252"/>
      <c r="F365" s="252"/>
      <c r="G365" s="258"/>
      <c r="H365" s="4">
        <f t="shared" si="35"/>
        <v>0</v>
      </c>
      <c r="O365" s="4"/>
    </row>
    <row r="366" spans="1:15" s="1" customFormat="1" x14ac:dyDescent="0.25">
      <c r="A366" s="201"/>
      <c r="B366" s="202"/>
      <c r="C366" s="202"/>
      <c r="D366" s="239"/>
      <c r="E366" s="240"/>
      <c r="F366" s="240"/>
      <c r="G366" s="241"/>
      <c r="H366" s="4"/>
      <c r="O366" s="4"/>
    </row>
    <row r="367" spans="1:15" s="1" customFormat="1" x14ac:dyDescent="0.25">
      <c r="A367" s="201"/>
      <c r="B367" s="202"/>
      <c r="C367" s="202"/>
      <c r="D367" s="239"/>
      <c r="E367" s="240"/>
      <c r="F367" s="240"/>
      <c r="G367" s="241"/>
      <c r="H367" s="4"/>
      <c r="O367" s="4"/>
    </row>
    <row r="368" spans="1:15" hidden="1" x14ac:dyDescent="0.25">
      <c r="A368" s="60" t="s">
        <v>147</v>
      </c>
      <c r="B368" s="57"/>
      <c r="C368" s="57"/>
      <c r="D368" s="57"/>
      <c r="E368" s="57"/>
      <c r="F368" s="57"/>
      <c r="G368" s="58"/>
    </row>
    <row r="369" spans="1:7" hidden="1" x14ac:dyDescent="0.25">
      <c r="A369" s="60" t="s">
        <v>148</v>
      </c>
      <c r="B369" s="57"/>
      <c r="C369" s="57"/>
      <c r="D369" s="57"/>
      <c r="E369" s="57"/>
      <c r="F369" s="57"/>
      <c r="G369" s="58"/>
    </row>
    <row r="370" spans="1:7" hidden="1" x14ac:dyDescent="0.25">
      <c r="A370" s="69" t="s">
        <v>136</v>
      </c>
      <c r="B370" s="70"/>
      <c r="C370" s="70"/>
      <c r="D370" s="70"/>
      <c r="E370" s="70"/>
      <c r="F370" s="70"/>
      <c r="G370" s="71"/>
    </row>
    <row r="371" spans="1:7" hidden="1" x14ac:dyDescent="0.25">
      <c r="A371" s="60" t="s">
        <v>137</v>
      </c>
      <c r="B371" s="57"/>
      <c r="C371" s="57"/>
      <c r="D371" s="57"/>
      <c r="E371" s="57"/>
      <c r="F371" s="57"/>
      <c r="G371" s="58"/>
    </row>
    <row r="372" spans="1:7" hidden="1" x14ac:dyDescent="0.25">
      <c r="A372" s="60" t="s">
        <v>138</v>
      </c>
      <c r="B372" s="57"/>
      <c r="C372" s="57"/>
      <c r="D372" s="57"/>
      <c r="E372" s="57"/>
      <c r="F372" s="57"/>
      <c r="G372" s="58"/>
    </row>
    <row r="373" spans="1:7" hidden="1" x14ac:dyDescent="0.25">
      <c r="A373" s="60" t="s">
        <v>139</v>
      </c>
      <c r="B373" s="57"/>
      <c r="C373" s="57"/>
      <c r="D373" s="57"/>
      <c r="E373" s="57"/>
      <c r="F373" s="57"/>
      <c r="G373" s="58"/>
    </row>
    <row r="374" spans="1:7" hidden="1" x14ac:dyDescent="0.25">
      <c r="A374" s="60" t="s">
        <v>140</v>
      </c>
      <c r="B374" s="57"/>
      <c r="C374" s="57"/>
      <c r="D374" s="57"/>
      <c r="E374" s="57"/>
      <c r="F374" s="57"/>
      <c r="G374" s="58"/>
    </row>
    <row r="375" spans="1:7" ht="15.75" hidden="1" thickBot="1" x14ac:dyDescent="0.3">
      <c r="A375" s="61" t="s">
        <v>141</v>
      </c>
      <c r="B375" s="59"/>
      <c r="C375" s="59"/>
      <c r="D375" s="59"/>
      <c r="E375" s="59"/>
      <c r="F375" s="59"/>
      <c r="G375" s="63"/>
    </row>
    <row r="376" spans="1:7" ht="15.75" hidden="1" thickBot="1" x14ac:dyDescent="0.3">
      <c r="A376" s="72"/>
      <c r="G376" s="73"/>
    </row>
    <row r="377" spans="1:7" ht="20.25" hidden="1" x14ac:dyDescent="0.3">
      <c r="A377" s="919" t="s">
        <v>193</v>
      </c>
      <c r="B377" s="920"/>
      <c r="C377" s="920"/>
      <c r="D377" s="920"/>
      <c r="E377" s="920"/>
      <c r="F377" s="920"/>
      <c r="G377" s="921"/>
    </row>
    <row r="378" spans="1:7" ht="39" hidden="1" thickBot="1" x14ac:dyDescent="0.3">
      <c r="A378" s="53" t="s">
        <v>63</v>
      </c>
      <c r="B378" s="64" t="s">
        <v>153</v>
      </c>
      <c r="C378" s="64" t="s">
        <v>154</v>
      </c>
      <c r="D378" s="64" t="s">
        <v>186</v>
      </c>
      <c r="E378" s="64" t="s">
        <v>194</v>
      </c>
      <c r="F378" s="64" t="s">
        <v>195</v>
      </c>
      <c r="G378" s="65" t="s">
        <v>189</v>
      </c>
    </row>
    <row r="379" spans="1:7" hidden="1" x14ac:dyDescent="0.25">
      <c r="A379" s="60" t="s">
        <v>143</v>
      </c>
      <c r="B379" s="57"/>
      <c r="C379" s="57"/>
      <c r="D379" s="57"/>
      <c r="E379" s="57"/>
      <c r="F379" s="57"/>
      <c r="G379" s="58"/>
    </row>
    <row r="380" spans="1:7" hidden="1" x14ac:dyDescent="0.25">
      <c r="A380" s="60" t="s">
        <v>144</v>
      </c>
      <c r="B380" s="57"/>
      <c r="C380" s="57"/>
      <c r="D380" s="57"/>
      <c r="E380" s="57"/>
      <c r="F380" s="57"/>
      <c r="G380" s="58"/>
    </row>
    <row r="381" spans="1:7" hidden="1" x14ac:dyDescent="0.25">
      <c r="A381" s="60" t="s">
        <v>145</v>
      </c>
      <c r="B381" s="57"/>
      <c r="C381" s="57"/>
      <c r="D381" s="57"/>
      <c r="E381" s="57"/>
      <c r="F381" s="57"/>
      <c r="G381" s="58"/>
    </row>
    <row r="382" spans="1:7" hidden="1" x14ac:dyDescent="0.25">
      <c r="A382" s="60" t="s">
        <v>146</v>
      </c>
      <c r="B382" s="57"/>
      <c r="C382" s="57"/>
      <c r="D382" s="57"/>
      <c r="E382" s="57"/>
      <c r="F382" s="57"/>
      <c r="G382" s="58"/>
    </row>
    <row r="383" spans="1:7" hidden="1" x14ac:dyDescent="0.25">
      <c r="A383" s="60" t="s">
        <v>147</v>
      </c>
      <c r="B383" s="57"/>
      <c r="C383" s="57"/>
      <c r="D383" s="57"/>
      <c r="E383" s="57"/>
      <c r="F383" s="57"/>
      <c r="G383" s="58"/>
    </row>
    <row r="384" spans="1:7" hidden="1" x14ac:dyDescent="0.25">
      <c r="A384" s="60" t="s">
        <v>148</v>
      </c>
      <c r="B384" s="57"/>
      <c r="C384" s="57"/>
      <c r="D384" s="57"/>
      <c r="E384" s="57"/>
      <c r="F384" s="57"/>
      <c r="G384" s="58"/>
    </row>
    <row r="385" spans="1:7" hidden="1" x14ac:dyDescent="0.25">
      <c r="A385" s="69" t="s">
        <v>136</v>
      </c>
      <c r="B385" s="70"/>
      <c r="C385" s="70"/>
      <c r="D385" s="70"/>
      <c r="E385" s="70"/>
      <c r="F385" s="70"/>
      <c r="G385" s="71"/>
    </row>
    <row r="386" spans="1:7" hidden="1" x14ac:dyDescent="0.25">
      <c r="A386" s="60" t="s">
        <v>137</v>
      </c>
      <c r="B386" s="57"/>
      <c r="C386" s="57"/>
      <c r="D386" s="57"/>
      <c r="E386" s="57"/>
      <c r="F386" s="57"/>
      <c r="G386" s="58"/>
    </row>
    <row r="387" spans="1:7" hidden="1" x14ac:dyDescent="0.25">
      <c r="A387" s="60" t="s">
        <v>138</v>
      </c>
      <c r="B387" s="57"/>
      <c r="C387" s="57"/>
      <c r="D387" s="57"/>
      <c r="E387" s="57"/>
      <c r="F387" s="57"/>
      <c r="G387" s="58"/>
    </row>
    <row r="388" spans="1:7" hidden="1" x14ac:dyDescent="0.25">
      <c r="A388" s="60" t="s">
        <v>139</v>
      </c>
      <c r="B388" s="57"/>
      <c r="C388" s="57"/>
      <c r="D388" s="57"/>
      <c r="E388" s="57"/>
      <c r="F388" s="57"/>
      <c r="G388" s="58"/>
    </row>
    <row r="389" spans="1:7" hidden="1" x14ac:dyDescent="0.25">
      <c r="A389" s="60" t="s">
        <v>140</v>
      </c>
      <c r="B389" s="57"/>
      <c r="C389" s="57"/>
      <c r="D389" s="57"/>
      <c r="E389" s="57"/>
      <c r="F389" s="57"/>
      <c r="G389" s="58"/>
    </row>
    <row r="390" spans="1:7" ht="15.75" hidden="1" thickBot="1" x14ac:dyDescent="0.3">
      <c r="A390" s="61" t="s">
        <v>141</v>
      </c>
      <c r="B390" s="59"/>
      <c r="C390" s="59"/>
      <c r="D390" s="59"/>
      <c r="E390" s="59"/>
      <c r="F390" s="59"/>
      <c r="G390" s="63"/>
    </row>
    <row r="391" spans="1:7" ht="15.75" hidden="1" thickBot="1" x14ac:dyDescent="0.3">
      <c r="A391" s="72"/>
      <c r="G391" s="73"/>
    </row>
    <row r="392" spans="1:7" ht="20.25" hidden="1" x14ac:dyDescent="0.3">
      <c r="A392" s="919" t="s">
        <v>196</v>
      </c>
      <c r="B392" s="920"/>
      <c r="C392" s="920"/>
      <c r="D392" s="920"/>
      <c r="E392" s="920"/>
      <c r="F392" s="920"/>
      <c r="G392" s="921"/>
    </row>
    <row r="393" spans="1:7" ht="39" hidden="1" thickBot="1" x14ac:dyDescent="0.3">
      <c r="A393" s="53" t="s">
        <v>64</v>
      </c>
      <c r="B393" s="64" t="s">
        <v>153</v>
      </c>
      <c r="C393" s="64" t="s">
        <v>154</v>
      </c>
      <c r="D393" s="64" t="s">
        <v>186</v>
      </c>
      <c r="E393" s="64" t="s">
        <v>197</v>
      </c>
      <c r="F393" s="64" t="s">
        <v>198</v>
      </c>
      <c r="G393" s="65" t="s">
        <v>189</v>
      </c>
    </row>
    <row r="394" spans="1:7" hidden="1" x14ac:dyDescent="0.25">
      <c r="A394" s="60" t="s">
        <v>143</v>
      </c>
      <c r="B394" s="57"/>
      <c r="C394" s="57"/>
      <c r="D394" s="57"/>
      <c r="E394" s="57"/>
      <c r="F394" s="57"/>
      <c r="G394" s="58"/>
    </row>
    <row r="395" spans="1:7" hidden="1" x14ac:dyDescent="0.25">
      <c r="A395" s="60" t="s">
        <v>144</v>
      </c>
      <c r="B395" s="57"/>
      <c r="C395" s="57"/>
      <c r="D395" s="57"/>
      <c r="E395" s="57"/>
      <c r="F395" s="57"/>
      <c r="G395" s="58"/>
    </row>
    <row r="396" spans="1:7" hidden="1" x14ac:dyDescent="0.25">
      <c r="A396" s="60" t="s">
        <v>145</v>
      </c>
      <c r="B396" s="57"/>
      <c r="C396" s="57"/>
      <c r="D396" s="57"/>
      <c r="E396" s="57"/>
      <c r="F396" s="57"/>
      <c r="G396" s="58"/>
    </row>
    <row r="397" spans="1:7" hidden="1" x14ac:dyDescent="0.25">
      <c r="A397" s="60" t="s">
        <v>146</v>
      </c>
      <c r="B397" s="57"/>
      <c r="C397" s="57"/>
      <c r="D397" s="57"/>
      <c r="E397" s="57"/>
      <c r="F397" s="57"/>
      <c r="G397" s="58"/>
    </row>
    <row r="398" spans="1:7" hidden="1" x14ac:dyDescent="0.25">
      <c r="A398" s="60" t="s">
        <v>147</v>
      </c>
      <c r="B398" s="57"/>
      <c r="C398" s="57"/>
      <c r="D398" s="57"/>
      <c r="E398" s="57"/>
      <c r="F398" s="57"/>
      <c r="G398" s="58"/>
    </row>
    <row r="399" spans="1:7" hidden="1" x14ac:dyDescent="0.25">
      <c r="A399" s="60" t="s">
        <v>148</v>
      </c>
      <c r="B399" s="57"/>
      <c r="C399" s="57"/>
      <c r="D399" s="57"/>
      <c r="E399" s="57"/>
      <c r="F399" s="57"/>
      <c r="G399" s="58"/>
    </row>
    <row r="400" spans="1:7" hidden="1" x14ac:dyDescent="0.25">
      <c r="A400" s="69" t="s">
        <v>136</v>
      </c>
      <c r="B400" s="70"/>
      <c r="C400" s="70"/>
      <c r="D400" s="70"/>
      <c r="E400" s="70"/>
      <c r="F400" s="70"/>
      <c r="G400" s="71"/>
    </row>
    <row r="401" spans="1:15" hidden="1" x14ac:dyDescent="0.25">
      <c r="A401" s="60" t="s">
        <v>137</v>
      </c>
      <c r="B401" s="57"/>
      <c r="C401" s="57"/>
      <c r="D401" s="57"/>
      <c r="E401" s="57"/>
      <c r="F401" s="57"/>
      <c r="G401" s="58"/>
    </row>
    <row r="402" spans="1:15" hidden="1" x14ac:dyDescent="0.25">
      <c r="A402" s="60" t="s">
        <v>138</v>
      </c>
      <c r="B402" s="57"/>
      <c r="C402" s="57"/>
      <c r="D402" s="57"/>
      <c r="E402" s="57"/>
      <c r="F402" s="57"/>
      <c r="G402" s="58"/>
    </row>
    <row r="403" spans="1:15" hidden="1" x14ac:dyDescent="0.25">
      <c r="A403" s="60" t="s">
        <v>139</v>
      </c>
      <c r="B403" s="57"/>
      <c r="C403" s="57"/>
      <c r="D403" s="57"/>
      <c r="E403" s="57"/>
      <c r="F403" s="57"/>
      <c r="G403" s="58"/>
    </row>
    <row r="404" spans="1:15" hidden="1" x14ac:dyDescent="0.25">
      <c r="A404" s="60" t="s">
        <v>140</v>
      </c>
      <c r="B404" s="57"/>
      <c r="C404" s="57"/>
      <c r="D404" s="57"/>
      <c r="E404" s="57"/>
      <c r="F404" s="57"/>
      <c r="G404" s="58"/>
    </row>
    <row r="405" spans="1:15" ht="15.75" hidden="1" thickBot="1" x14ac:dyDescent="0.3">
      <c r="A405" s="61" t="s">
        <v>141</v>
      </c>
      <c r="B405" s="59"/>
      <c r="C405" s="59"/>
      <c r="D405" s="59"/>
      <c r="E405" s="59"/>
      <c r="F405" s="59"/>
      <c r="G405" s="63"/>
    </row>
    <row r="407" spans="1:15" ht="21" hidden="1" thickBot="1" x14ac:dyDescent="0.35">
      <c r="A407" s="950" t="s">
        <v>199</v>
      </c>
      <c r="B407" s="951"/>
      <c r="C407" s="951"/>
      <c r="D407" s="951"/>
      <c r="E407" s="951"/>
      <c r="F407" s="951"/>
      <c r="G407" s="951"/>
      <c r="H407" s="952"/>
    </row>
    <row r="408" spans="1:15" ht="38.25" hidden="1" x14ac:dyDescent="0.25">
      <c r="A408" s="82" t="s">
        <v>49</v>
      </c>
      <c r="B408" s="83" t="s">
        <v>200</v>
      </c>
      <c r="C408" s="105" t="s">
        <v>156</v>
      </c>
      <c r="D408" s="105" t="s">
        <v>157</v>
      </c>
      <c r="E408" s="105" t="s">
        <v>201</v>
      </c>
      <c r="F408" s="105" t="s">
        <v>202</v>
      </c>
      <c r="G408" s="105" t="s">
        <v>203</v>
      </c>
      <c r="H408" s="85" t="s">
        <v>189</v>
      </c>
    </row>
    <row r="409" spans="1:15" hidden="1" x14ac:dyDescent="0.25">
      <c r="A409" s="56" t="s">
        <v>136</v>
      </c>
      <c r="B409" s="1042" t="s">
        <v>244</v>
      </c>
      <c r="C409" s="953" t="s">
        <v>245</v>
      </c>
      <c r="D409" s="1043">
        <v>33</v>
      </c>
      <c r="E409" s="104">
        <v>46</v>
      </c>
      <c r="F409" s="66"/>
      <c r="G409" s="66">
        <f t="shared" ref="G409:G414" si="36">F409/E409</f>
        <v>0</v>
      </c>
      <c r="H409" s="67"/>
      <c r="I409" s="96">
        <f t="shared" ref="I409:I414" si="37">LEN(H409)</f>
        <v>0</v>
      </c>
    </row>
    <row r="410" spans="1:15" s="1" customFormat="1" hidden="1" x14ac:dyDescent="0.25">
      <c r="A410" s="128" t="s">
        <v>137</v>
      </c>
      <c r="B410" s="939"/>
      <c r="C410" s="942"/>
      <c r="D410" s="948"/>
      <c r="E410" s="129">
        <v>46</v>
      </c>
      <c r="F410" s="130"/>
      <c r="G410" s="130">
        <f t="shared" si="36"/>
        <v>0</v>
      </c>
      <c r="H410" s="131"/>
      <c r="I410" s="4">
        <f t="shared" si="37"/>
        <v>0</v>
      </c>
      <c r="O410" s="4"/>
    </row>
    <row r="411" spans="1:15" s="1" customFormat="1" hidden="1" x14ac:dyDescent="0.25">
      <c r="A411" s="128" t="s">
        <v>138</v>
      </c>
      <c r="B411" s="939"/>
      <c r="C411" s="942"/>
      <c r="D411" s="948"/>
      <c r="E411" s="129">
        <v>46</v>
      </c>
      <c r="F411" s="130"/>
      <c r="G411" s="130">
        <f t="shared" si="36"/>
        <v>0</v>
      </c>
      <c r="H411" s="131"/>
      <c r="I411" s="4">
        <f t="shared" si="37"/>
        <v>0</v>
      </c>
      <c r="O411" s="4"/>
    </row>
    <row r="412" spans="1:15" s="1" customFormat="1" hidden="1" x14ac:dyDescent="0.25">
      <c r="A412" s="128" t="s">
        <v>139</v>
      </c>
      <c r="B412" s="939"/>
      <c r="C412" s="942"/>
      <c r="D412" s="948"/>
      <c r="E412" s="129">
        <v>46</v>
      </c>
      <c r="F412" s="130">
        <v>44.39</v>
      </c>
      <c r="G412" s="192">
        <f t="shared" si="36"/>
        <v>0.96499999999999997</v>
      </c>
      <c r="H412" s="131" t="s">
        <v>253</v>
      </c>
      <c r="I412" s="4">
        <f>LEN(H412)</f>
        <v>190</v>
      </c>
      <c r="O412" s="4"/>
    </row>
    <row r="413" spans="1:15" s="1" customFormat="1" hidden="1" x14ac:dyDescent="0.25">
      <c r="A413" s="128" t="s">
        <v>140</v>
      </c>
      <c r="B413" s="939"/>
      <c r="C413" s="942"/>
      <c r="D413" s="948"/>
      <c r="E413" s="129">
        <v>46</v>
      </c>
      <c r="F413" s="130">
        <v>45.54</v>
      </c>
      <c r="G413" s="192">
        <f t="shared" si="36"/>
        <v>0.99</v>
      </c>
      <c r="H413" s="131" t="s">
        <v>262</v>
      </c>
      <c r="I413" s="4">
        <f t="shared" si="37"/>
        <v>199</v>
      </c>
      <c r="O413" s="4"/>
    </row>
    <row r="414" spans="1:15" s="1" customFormat="1" ht="15.75" hidden="1" thickBot="1" x14ac:dyDescent="0.3">
      <c r="A414" s="175" t="s">
        <v>141</v>
      </c>
      <c r="B414" s="940"/>
      <c r="C414" s="943"/>
      <c r="D414" s="949"/>
      <c r="E414" s="193">
        <v>46</v>
      </c>
      <c r="F414" s="194">
        <v>45.92</v>
      </c>
      <c r="G414" s="195">
        <f t="shared" si="36"/>
        <v>0.99826086956521742</v>
      </c>
      <c r="H414" s="188" t="s">
        <v>265</v>
      </c>
      <c r="I414" s="4">
        <f t="shared" si="37"/>
        <v>193</v>
      </c>
      <c r="O414" s="4"/>
    </row>
    <row r="415" spans="1:15" hidden="1" x14ac:dyDescent="0.25">
      <c r="A415" s="78"/>
      <c r="B415" s="202"/>
      <c r="C415" s="103"/>
      <c r="D415" s="78"/>
      <c r="E415" s="78"/>
      <c r="F415" s="78"/>
      <c r="G415" s="78"/>
      <c r="H415" s="78"/>
    </row>
    <row r="416" spans="1:15" hidden="1" x14ac:dyDescent="0.25">
      <c r="A416" s="78"/>
      <c r="B416" s="78"/>
      <c r="C416" s="78"/>
      <c r="D416" s="78"/>
      <c r="E416" s="78"/>
      <c r="F416" s="78"/>
      <c r="G416" s="78"/>
      <c r="H416" s="78"/>
    </row>
    <row r="417" spans="1:15" ht="39" hidden="1" thickBot="1" x14ac:dyDescent="0.3">
      <c r="A417" s="86" t="s">
        <v>49</v>
      </c>
      <c r="B417" s="87" t="s">
        <v>200</v>
      </c>
      <c r="C417" s="106" t="s">
        <v>156</v>
      </c>
      <c r="D417" s="106" t="s">
        <v>157</v>
      </c>
      <c r="E417" s="106" t="s">
        <v>201</v>
      </c>
      <c r="F417" s="106" t="s">
        <v>202</v>
      </c>
      <c r="G417" s="106" t="s">
        <v>203</v>
      </c>
      <c r="H417" s="88" t="s">
        <v>189</v>
      </c>
    </row>
    <row r="418" spans="1:15" hidden="1" x14ac:dyDescent="0.25">
      <c r="A418" s="107" t="s">
        <v>136</v>
      </c>
      <c r="B418" s="938" t="s">
        <v>246</v>
      </c>
      <c r="C418" s="941" t="s">
        <v>247</v>
      </c>
      <c r="D418" s="1043">
        <v>34</v>
      </c>
      <c r="E418" s="109">
        <v>5</v>
      </c>
      <c r="F418" s="108"/>
      <c r="G418" s="108">
        <f t="shared" ref="G418:G423" si="38">F418/E418</f>
        <v>0</v>
      </c>
      <c r="H418" s="110"/>
      <c r="I418" s="96">
        <f t="shared" ref="I418:I423" si="39">LEN(H418)</f>
        <v>0</v>
      </c>
    </row>
    <row r="419" spans="1:15" hidden="1" x14ac:dyDescent="0.25">
      <c r="A419" s="56" t="s">
        <v>137</v>
      </c>
      <c r="B419" s="939"/>
      <c r="C419" s="942"/>
      <c r="D419" s="948"/>
      <c r="E419" s="93">
        <v>5</v>
      </c>
      <c r="F419" s="66"/>
      <c r="G419" s="66">
        <f t="shared" si="38"/>
        <v>0</v>
      </c>
      <c r="H419" s="67"/>
      <c r="I419" s="96">
        <f t="shared" si="39"/>
        <v>0</v>
      </c>
    </row>
    <row r="420" spans="1:15" s="1" customFormat="1" hidden="1" x14ac:dyDescent="0.25">
      <c r="A420" s="128" t="s">
        <v>138</v>
      </c>
      <c r="B420" s="939"/>
      <c r="C420" s="942"/>
      <c r="D420" s="948"/>
      <c r="E420" s="132">
        <v>5</v>
      </c>
      <c r="F420" s="130"/>
      <c r="G420" s="130">
        <f t="shared" si="38"/>
        <v>0</v>
      </c>
      <c r="H420" s="131"/>
      <c r="I420" s="4">
        <f t="shared" si="39"/>
        <v>0</v>
      </c>
      <c r="O420" s="4"/>
    </row>
    <row r="421" spans="1:15" s="1" customFormat="1" hidden="1" x14ac:dyDescent="0.25">
      <c r="A421" s="128" t="s">
        <v>139</v>
      </c>
      <c r="B421" s="939"/>
      <c r="C421" s="942"/>
      <c r="D421" s="948"/>
      <c r="E421" s="132">
        <v>5</v>
      </c>
      <c r="F421" s="130">
        <v>1.54</v>
      </c>
      <c r="G421" s="192">
        <f t="shared" si="38"/>
        <v>0.308</v>
      </c>
      <c r="H421" s="131" t="s">
        <v>248</v>
      </c>
      <c r="I421" s="4">
        <f>LEN(H421)</f>
        <v>200</v>
      </c>
      <c r="O421" s="4"/>
    </row>
    <row r="422" spans="1:15" s="1" customFormat="1" hidden="1" x14ac:dyDescent="0.25">
      <c r="A422" s="128" t="s">
        <v>140</v>
      </c>
      <c r="B422" s="939"/>
      <c r="C422" s="942"/>
      <c r="D422" s="948"/>
      <c r="E422" s="132">
        <v>5</v>
      </c>
      <c r="F422" s="196">
        <v>2.5379999999999998</v>
      </c>
      <c r="G422" s="192">
        <f t="shared" si="38"/>
        <v>0.50759999999999994</v>
      </c>
      <c r="H422" s="131" t="s">
        <v>255</v>
      </c>
      <c r="I422" s="4">
        <f t="shared" si="39"/>
        <v>121</v>
      </c>
      <c r="O422" s="4"/>
    </row>
    <row r="423" spans="1:15" s="1" customFormat="1" ht="15.75" hidden="1" thickBot="1" x14ac:dyDescent="0.3">
      <c r="A423" s="175" t="s">
        <v>141</v>
      </c>
      <c r="B423" s="940"/>
      <c r="C423" s="943"/>
      <c r="D423" s="949"/>
      <c r="E423" s="197">
        <v>5</v>
      </c>
      <c r="F423" s="194">
        <v>5.49</v>
      </c>
      <c r="G423" s="195">
        <f t="shared" si="38"/>
        <v>1.0980000000000001</v>
      </c>
      <c r="H423" s="188" t="s">
        <v>266</v>
      </c>
      <c r="I423" s="4">
        <f t="shared" si="39"/>
        <v>121</v>
      </c>
      <c r="O423" s="4"/>
    </row>
    <row r="424" spans="1:15" hidden="1" x14ac:dyDescent="0.25">
      <c r="A424" s="78"/>
      <c r="B424" s="78"/>
      <c r="C424" s="78"/>
      <c r="D424" s="78"/>
      <c r="E424" s="78"/>
      <c r="F424" s="78"/>
      <c r="G424" s="78"/>
      <c r="H424" s="78"/>
    </row>
    <row r="425" spans="1:15" hidden="1" x14ac:dyDescent="0.25">
      <c r="A425" s="78"/>
      <c r="B425" s="78"/>
      <c r="C425" s="78"/>
      <c r="D425" s="78"/>
      <c r="E425" s="78"/>
      <c r="F425" s="78"/>
      <c r="G425" s="78"/>
      <c r="H425" s="78"/>
    </row>
    <row r="426" spans="1:15" ht="39" hidden="1" thickBot="1" x14ac:dyDescent="0.3">
      <c r="A426" s="86" t="s">
        <v>49</v>
      </c>
      <c r="B426" s="87" t="s">
        <v>200</v>
      </c>
      <c r="C426" s="106" t="s">
        <v>156</v>
      </c>
      <c r="D426" s="106" t="s">
        <v>157</v>
      </c>
      <c r="E426" s="106" t="s">
        <v>201</v>
      </c>
      <c r="F426" s="106" t="s">
        <v>202</v>
      </c>
      <c r="G426" s="106" t="s">
        <v>203</v>
      </c>
      <c r="H426" s="88" t="s">
        <v>189</v>
      </c>
    </row>
    <row r="427" spans="1:15" hidden="1" x14ac:dyDescent="0.25">
      <c r="A427" s="107" t="s">
        <v>136</v>
      </c>
      <c r="B427" s="938"/>
      <c r="C427" s="941" t="s">
        <v>247</v>
      </c>
      <c r="D427" s="944"/>
      <c r="E427" s="109">
        <v>54</v>
      </c>
      <c r="F427" s="108"/>
      <c r="G427" s="108">
        <f t="shared" ref="G427:G432" si="40">F427/E427</f>
        <v>0</v>
      </c>
      <c r="H427" s="110"/>
      <c r="I427" s="96">
        <f t="shared" ref="I427:I432" si="41">LEN(H427)</f>
        <v>0</v>
      </c>
    </row>
    <row r="428" spans="1:15" hidden="1" x14ac:dyDescent="0.25">
      <c r="A428" s="56" t="s">
        <v>137</v>
      </c>
      <c r="B428" s="939"/>
      <c r="C428" s="942"/>
      <c r="D428" s="945"/>
      <c r="E428" s="93">
        <v>54</v>
      </c>
      <c r="F428" s="66"/>
      <c r="G428" s="66">
        <f t="shared" si="40"/>
        <v>0</v>
      </c>
      <c r="H428" s="67"/>
      <c r="I428" s="96">
        <f t="shared" si="41"/>
        <v>0</v>
      </c>
    </row>
    <row r="429" spans="1:15" s="1" customFormat="1" hidden="1" x14ac:dyDescent="0.25">
      <c r="A429" s="128" t="s">
        <v>138</v>
      </c>
      <c r="B429" s="939"/>
      <c r="C429" s="942"/>
      <c r="D429" s="945"/>
      <c r="E429" s="132">
        <v>54</v>
      </c>
      <c r="F429" s="130"/>
      <c r="G429" s="130">
        <f t="shared" si="40"/>
        <v>0</v>
      </c>
      <c r="H429" s="131"/>
      <c r="I429" s="4">
        <f t="shared" si="41"/>
        <v>0</v>
      </c>
      <c r="O429" s="4"/>
    </row>
    <row r="430" spans="1:15" s="1" customFormat="1" hidden="1" x14ac:dyDescent="0.25">
      <c r="A430" s="128" t="s">
        <v>139</v>
      </c>
      <c r="B430" s="939"/>
      <c r="C430" s="942"/>
      <c r="D430" s="945"/>
      <c r="E430" s="132">
        <v>54</v>
      </c>
      <c r="F430" s="130">
        <v>4.24</v>
      </c>
      <c r="G430" s="192">
        <f t="shared" si="40"/>
        <v>7.8518518518518529E-2</v>
      </c>
      <c r="H430" s="131" t="s">
        <v>252</v>
      </c>
      <c r="I430" s="4">
        <f>LEN(H430)</f>
        <v>170</v>
      </c>
      <c r="O430" s="4"/>
    </row>
    <row r="431" spans="1:15" s="1" customFormat="1" hidden="1" x14ac:dyDescent="0.25">
      <c r="A431" s="128" t="s">
        <v>140</v>
      </c>
      <c r="B431" s="939"/>
      <c r="C431" s="942"/>
      <c r="D431" s="945"/>
      <c r="E431" s="132">
        <v>54</v>
      </c>
      <c r="F431" s="196">
        <v>4.8070000000000004</v>
      </c>
      <c r="G431" s="192">
        <f t="shared" si="40"/>
        <v>8.9018518518518525E-2</v>
      </c>
      <c r="H431" s="131" t="s">
        <v>256</v>
      </c>
      <c r="I431" s="4">
        <f t="shared" si="41"/>
        <v>200</v>
      </c>
      <c r="O431" s="4"/>
    </row>
    <row r="432" spans="1:15" ht="15.75" hidden="1" thickBot="1" x14ac:dyDescent="0.3">
      <c r="A432" s="175" t="s">
        <v>141</v>
      </c>
      <c r="B432" s="940"/>
      <c r="C432" s="943"/>
      <c r="D432" s="946"/>
      <c r="E432" s="94">
        <v>54</v>
      </c>
      <c r="F432" s="68">
        <v>5.24</v>
      </c>
      <c r="G432" s="198">
        <f t="shared" si="40"/>
        <v>9.7037037037037047E-2</v>
      </c>
      <c r="H432" s="188" t="s">
        <v>267</v>
      </c>
      <c r="I432" s="96">
        <f t="shared" si="41"/>
        <v>198</v>
      </c>
    </row>
    <row r="433" spans="1:15" hidden="1" x14ac:dyDescent="0.25">
      <c r="A433" s="78"/>
      <c r="B433" s="78"/>
      <c r="C433" s="78"/>
      <c r="D433" s="78"/>
      <c r="E433" s="78"/>
      <c r="F433" s="78"/>
      <c r="G433" s="78"/>
      <c r="H433" s="78"/>
    </row>
    <row r="434" spans="1:15" hidden="1" x14ac:dyDescent="0.25">
      <c r="A434" s="78"/>
      <c r="B434" s="78"/>
      <c r="C434" s="78"/>
      <c r="D434" s="78"/>
      <c r="E434" s="78"/>
      <c r="F434" s="78"/>
      <c r="G434" s="78"/>
      <c r="H434" s="78"/>
    </row>
    <row r="435" spans="1:15" ht="39" hidden="1" thickBot="1" x14ac:dyDescent="0.3">
      <c r="A435" s="86" t="s">
        <v>49</v>
      </c>
      <c r="B435" s="87" t="s">
        <v>200</v>
      </c>
      <c r="C435" s="106" t="s">
        <v>156</v>
      </c>
      <c r="D435" s="106" t="s">
        <v>157</v>
      </c>
      <c r="E435" s="106" t="s">
        <v>201</v>
      </c>
      <c r="F435" s="106" t="s">
        <v>202</v>
      </c>
      <c r="G435" s="106" t="s">
        <v>203</v>
      </c>
      <c r="H435" s="88" t="s">
        <v>189</v>
      </c>
    </row>
    <row r="436" spans="1:15" hidden="1" x14ac:dyDescent="0.25">
      <c r="A436" s="107" t="s">
        <v>136</v>
      </c>
      <c r="B436" s="938" t="s">
        <v>249</v>
      </c>
      <c r="C436" s="941" t="s">
        <v>250</v>
      </c>
      <c r="D436" s="947">
        <v>33</v>
      </c>
      <c r="E436" s="109">
        <v>0.27</v>
      </c>
      <c r="F436" s="108"/>
      <c r="G436" s="108">
        <f t="shared" ref="G436:G441" si="42">F436/E436</f>
        <v>0</v>
      </c>
      <c r="H436" s="110"/>
      <c r="I436" s="96">
        <f t="shared" ref="I436:I441" si="43">LEN(H436)</f>
        <v>0</v>
      </c>
    </row>
    <row r="437" spans="1:15" hidden="1" x14ac:dyDescent="0.25">
      <c r="A437" s="56" t="s">
        <v>137</v>
      </c>
      <c r="B437" s="939"/>
      <c r="C437" s="942"/>
      <c r="D437" s="948"/>
      <c r="E437" s="93">
        <v>0.27</v>
      </c>
      <c r="F437" s="66"/>
      <c r="G437" s="66">
        <f t="shared" si="42"/>
        <v>0</v>
      </c>
      <c r="H437" s="67"/>
      <c r="I437" s="96">
        <f t="shared" si="43"/>
        <v>0</v>
      </c>
    </row>
    <row r="438" spans="1:15" s="1" customFormat="1" hidden="1" x14ac:dyDescent="0.25">
      <c r="A438" s="128" t="s">
        <v>138</v>
      </c>
      <c r="B438" s="939"/>
      <c r="C438" s="942"/>
      <c r="D438" s="948"/>
      <c r="E438" s="132">
        <v>0.27</v>
      </c>
      <c r="F438" s="130"/>
      <c r="G438" s="130">
        <f t="shared" si="42"/>
        <v>0</v>
      </c>
      <c r="H438" s="131"/>
      <c r="I438" s="4">
        <f t="shared" si="43"/>
        <v>0</v>
      </c>
      <c r="O438" s="4"/>
    </row>
    <row r="439" spans="1:15" s="1" customFormat="1" hidden="1" x14ac:dyDescent="0.25">
      <c r="A439" s="128" t="s">
        <v>139</v>
      </c>
      <c r="B439" s="939"/>
      <c r="C439" s="942"/>
      <c r="D439" s="948"/>
      <c r="E439" s="132">
        <v>0.27</v>
      </c>
      <c r="F439" s="130">
        <v>0.14000000000000001</v>
      </c>
      <c r="G439" s="192">
        <f t="shared" si="42"/>
        <v>0.51851851851851849</v>
      </c>
      <c r="H439" s="131" t="s">
        <v>251</v>
      </c>
      <c r="I439" s="4">
        <f>LEN(H439)</f>
        <v>193</v>
      </c>
      <c r="O439" s="4"/>
    </row>
    <row r="440" spans="1:15" s="1" customFormat="1" hidden="1" x14ac:dyDescent="0.25">
      <c r="A440" s="128" t="s">
        <v>140</v>
      </c>
      <c r="B440" s="939"/>
      <c r="C440" s="942"/>
      <c r="D440" s="948"/>
      <c r="E440" s="132">
        <v>0.27</v>
      </c>
      <c r="F440" s="196">
        <v>0.2</v>
      </c>
      <c r="G440" s="192">
        <f t="shared" si="42"/>
        <v>0.7407407407407407</v>
      </c>
      <c r="H440" s="131" t="s">
        <v>257</v>
      </c>
      <c r="I440" s="4">
        <f t="shared" si="43"/>
        <v>154</v>
      </c>
      <c r="O440" s="4"/>
    </row>
    <row r="441" spans="1:15" ht="15.75" hidden="1" thickBot="1" x14ac:dyDescent="0.3">
      <c r="A441" s="175" t="s">
        <v>141</v>
      </c>
      <c r="B441" s="940"/>
      <c r="C441" s="943"/>
      <c r="D441" s="949"/>
      <c r="E441" s="197">
        <v>0.27</v>
      </c>
      <c r="F441" s="194">
        <v>0.26</v>
      </c>
      <c r="G441" s="195">
        <f t="shared" si="42"/>
        <v>0.96296296296296291</v>
      </c>
      <c r="H441" s="188" t="s">
        <v>273</v>
      </c>
      <c r="I441" s="96">
        <f t="shared" si="43"/>
        <v>148</v>
      </c>
    </row>
    <row r="442" spans="1:15" s="1" customFormat="1" x14ac:dyDescent="0.25">
      <c r="A442" s="201"/>
      <c r="B442" s="202"/>
      <c r="C442" s="202"/>
      <c r="D442" s="260"/>
      <c r="E442" s="261"/>
      <c r="F442" s="201"/>
      <c r="G442" s="262"/>
      <c r="H442" s="201"/>
      <c r="I442" s="4"/>
      <c r="O442" s="4"/>
    </row>
    <row r="443" spans="1:15" s="1" customFormat="1" ht="15.75" thickBot="1" x14ac:dyDescent="0.3">
      <c r="A443" s="201"/>
      <c r="B443" s="202"/>
      <c r="C443" s="202"/>
      <c r="D443" s="260"/>
      <c r="E443" s="261"/>
      <c r="F443" s="201"/>
      <c r="G443" s="262"/>
      <c r="H443" s="201"/>
      <c r="I443" s="4"/>
      <c r="O443" s="4"/>
    </row>
    <row r="444" spans="1:15" ht="21" thickBot="1" x14ac:dyDescent="0.35">
      <c r="A444" s="950" t="s">
        <v>274</v>
      </c>
      <c r="B444" s="951"/>
      <c r="C444" s="951"/>
      <c r="D444" s="951"/>
      <c r="E444" s="951"/>
      <c r="F444" s="951"/>
      <c r="G444" s="951"/>
      <c r="H444" s="952"/>
    </row>
    <row r="445" spans="1:15" ht="38.25" x14ac:dyDescent="0.25">
      <c r="A445" s="53" t="s">
        <v>50</v>
      </c>
      <c r="B445" s="83" t="s">
        <v>200</v>
      </c>
      <c r="C445" s="105" t="s">
        <v>156</v>
      </c>
      <c r="D445" s="105" t="s">
        <v>166</v>
      </c>
      <c r="E445" s="105" t="s">
        <v>290</v>
      </c>
      <c r="F445" s="105" t="s">
        <v>291</v>
      </c>
      <c r="G445" s="105" t="s">
        <v>292</v>
      </c>
      <c r="H445" s="85" t="s">
        <v>189</v>
      </c>
    </row>
    <row r="446" spans="1:15" x14ac:dyDescent="0.25">
      <c r="A446" s="270" t="s">
        <v>143</v>
      </c>
      <c r="B446" s="1042" t="s">
        <v>244</v>
      </c>
      <c r="C446" s="953" t="s">
        <v>245</v>
      </c>
      <c r="D446" s="1043">
        <v>33</v>
      </c>
      <c r="E446" s="276">
        <v>56</v>
      </c>
      <c r="F446" s="277" t="e">
        <f>+GESTIÓN!#REF!</f>
        <v>#REF!</v>
      </c>
      <c r="G446" s="283" t="e">
        <f t="shared" ref="G446:G457" si="44">F446/E446</f>
        <v>#REF!</v>
      </c>
      <c r="H446" s="278"/>
      <c r="I446" s="96">
        <f t="shared" ref="I446:I457" si="45">LEN(H446)</f>
        <v>0</v>
      </c>
    </row>
    <row r="447" spans="1:15" x14ac:dyDescent="0.25">
      <c r="A447" s="208" t="s">
        <v>144</v>
      </c>
      <c r="B447" s="939"/>
      <c r="C447" s="942"/>
      <c r="D447" s="948"/>
      <c r="E447" s="104">
        <v>56</v>
      </c>
      <c r="F447" s="66"/>
      <c r="G447" s="282">
        <f t="shared" si="44"/>
        <v>0</v>
      </c>
      <c r="H447" s="67"/>
      <c r="I447" s="96">
        <f t="shared" si="45"/>
        <v>0</v>
      </c>
    </row>
    <row r="448" spans="1:15" x14ac:dyDescent="0.25">
      <c r="A448" s="208" t="s">
        <v>145</v>
      </c>
      <c r="B448" s="939"/>
      <c r="C448" s="942"/>
      <c r="D448" s="948"/>
      <c r="E448" s="104">
        <v>56</v>
      </c>
      <c r="F448" s="66"/>
      <c r="G448" s="282">
        <f t="shared" si="44"/>
        <v>0</v>
      </c>
      <c r="H448" s="67"/>
      <c r="I448" s="96">
        <f t="shared" si="45"/>
        <v>0</v>
      </c>
    </row>
    <row r="449" spans="1:15" x14ac:dyDescent="0.25">
      <c r="A449" s="208" t="s">
        <v>146</v>
      </c>
      <c r="B449" s="939"/>
      <c r="C449" s="942"/>
      <c r="D449" s="948"/>
      <c r="E449" s="104">
        <v>56</v>
      </c>
      <c r="F449" s="66"/>
      <c r="G449" s="282">
        <f t="shared" si="44"/>
        <v>0</v>
      </c>
      <c r="H449" s="67"/>
      <c r="I449" s="96">
        <f t="shared" si="45"/>
        <v>0</v>
      </c>
    </row>
    <row r="450" spans="1:15" x14ac:dyDescent="0.25">
      <c r="A450" s="208" t="s">
        <v>147</v>
      </c>
      <c r="B450" s="939"/>
      <c r="C450" s="942"/>
      <c r="D450" s="948"/>
      <c r="E450" s="104">
        <v>56</v>
      </c>
      <c r="F450" s="66"/>
      <c r="G450" s="282">
        <f t="shared" si="44"/>
        <v>0</v>
      </c>
      <c r="H450" s="67"/>
      <c r="I450" s="96">
        <f t="shared" si="45"/>
        <v>0</v>
      </c>
    </row>
    <row r="451" spans="1:15" x14ac:dyDescent="0.25">
      <c r="A451" s="208" t="s">
        <v>148</v>
      </c>
      <c r="B451" s="939"/>
      <c r="C451" s="942"/>
      <c r="D451" s="948"/>
      <c r="E451" s="104">
        <v>56</v>
      </c>
      <c r="F451" s="66"/>
      <c r="G451" s="282">
        <f t="shared" si="44"/>
        <v>0</v>
      </c>
      <c r="H451" s="67"/>
      <c r="I451" s="96">
        <f t="shared" si="45"/>
        <v>0</v>
      </c>
    </row>
    <row r="452" spans="1:15" x14ac:dyDescent="0.25">
      <c r="A452" s="208" t="s">
        <v>136</v>
      </c>
      <c r="B452" s="939"/>
      <c r="C452" s="942"/>
      <c r="D452" s="948"/>
      <c r="E452" s="104">
        <v>56</v>
      </c>
      <c r="F452" s="66"/>
      <c r="G452" s="282">
        <f t="shared" si="44"/>
        <v>0</v>
      </c>
      <c r="H452" s="67"/>
      <c r="I452" s="96">
        <f t="shared" si="45"/>
        <v>0</v>
      </c>
    </row>
    <row r="453" spans="1:15" s="1" customFormat="1" x14ac:dyDescent="0.25">
      <c r="A453" s="128" t="s">
        <v>137</v>
      </c>
      <c r="B453" s="939"/>
      <c r="C453" s="942"/>
      <c r="D453" s="948"/>
      <c r="E453" s="104">
        <v>56</v>
      </c>
      <c r="F453" s="130"/>
      <c r="G453" s="282">
        <f t="shared" si="44"/>
        <v>0</v>
      </c>
      <c r="H453" s="131"/>
      <c r="I453" s="96">
        <f t="shared" si="45"/>
        <v>0</v>
      </c>
      <c r="O453" s="4"/>
    </row>
    <row r="454" spans="1:15" s="1" customFormat="1" x14ac:dyDescent="0.25">
      <c r="A454" s="128" t="s">
        <v>138</v>
      </c>
      <c r="B454" s="939"/>
      <c r="C454" s="942"/>
      <c r="D454" s="948"/>
      <c r="E454" s="104">
        <v>56</v>
      </c>
      <c r="F454" s="130"/>
      <c r="G454" s="282">
        <f t="shared" si="44"/>
        <v>0</v>
      </c>
      <c r="H454" s="131"/>
      <c r="I454" s="96">
        <f t="shared" si="45"/>
        <v>0</v>
      </c>
      <c r="O454" s="4"/>
    </row>
    <row r="455" spans="1:15" s="1" customFormat="1" x14ac:dyDescent="0.25">
      <c r="A455" s="128" t="s">
        <v>139</v>
      </c>
      <c r="B455" s="939"/>
      <c r="C455" s="942"/>
      <c r="D455" s="948"/>
      <c r="E455" s="104">
        <v>56</v>
      </c>
      <c r="F455" s="130"/>
      <c r="G455" s="282">
        <f t="shared" si="44"/>
        <v>0</v>
      </c>
      <c r="H455" s="131"/>
      <c r="I455" s="96">
        <f t="shared" si="45"/>
        <v>0</v>
      </c>
      <c r="O455" s="4"/>
    </row>
    <row r="456" spans="1:15" s="1" customFormat="1" x14ac:dyDescent="0.25">
      <c r="A456" s="128" t="s">
        <v>140</v>
      </c>
      <c r="B456" s="939"/>
      <c r="C456" s="942"/>
      <c r="D456" s="948"/>
      <c r="E456" s="104">
        <v>56</v>
      </c>
      <c r="F456" s="130"/>
      <c r="G456" s="282">
        <f t="shared" si="44"/>
        <v>0</v>
      </c>
      <c r="H456" s="131"/>
      <c r="I456" s="96">
        <f t="shared" si="45"/>
        <v>0</v>
      </c>
      <c r="O456" s="4"/>
    </row>
    <row r="457" spans="1:15" s="1" customFormat="1" ht="15.75" thickBot="1" x14ac:dyDescent="0.3">
      <c r="A457" s="231" t="s">
        <v>141</v>
      </c>
      <c r="B457" s="940"/>
      <c r="C457" s="943"/>
      <c r="D457" s="949"/>
      <c r="E457" s="279">
        <v>56</v>
      </c>
      <c r="F457" s="263"/>
      <c r="G457" s="284">
        <f t="shared" si="44"/>
        <v>0</v>
      </c>
      <c r="H457" s="253"/>
      <c r="I457" s="96">
        <f t="shared" si="45"/>
        <v>0</v>
      </c>
      <c r="O457" s="4"/>
    </row>
    <row r="458" spans="1:15" x14ac:dyDescent="0.25">
      <c r="A458" s="78"/>
      <c r="B458" s="202"/>
      <c r="C458" s="103"/>
      <c r="D458" s="78"/>
      <c r="E458" s="78"/>
      <c r="F458" s="78"/>
      <c r="G458" s="78"/>
      <c r="H458" s="78"/>
    </row>
    <row r="459" spans="1:15" ht="15.75" thickBot="1" x14ac:dyDescent="0.3">
      <c r="A459" s="78"/>
      <c r="B459" s="78"/>
      <c r="C459" s="78"/>
      <c r="D459" s="78"/>
      <c r="E459" s="78"/>
      <c r="F459" s="78"/>
      <c r="G459" s="78"/>
      <c r="H459" s="78"/>
    </row>
    <row r="460" spans="1:15" ht="38.25" x14ac:dyDescent="0.25">
      <c r="A460" s="82" t="s">
        <v>50</v>
      </c>
      <c r="B460" s="83" t="s">
        <v>200</v>
      </c>
      <c r="C460" s="105" t="s">
        <v>156</v>
      </c>
      <c r="D460" s="105" t="s">
        <v>166</v>
      </c>
      <c r="E460" s="105" t="s">
        <v>290</v>
      </c>
      <c r="F460" s="105" t="s">
        <v>291</v>
      </c>
      <c r="G460" s="105" t="s">
        <v>292</v>
      </c>
      <c r="H460" s="85" t="s">
        <v>189</v>
      </c>
    </row>
    <row r="461" spans="1:15" x14ac:dyDescent="0.25">
      <c r="A461" s="281" t="s">
        <v>143</v>
      </c>
      <c r="B461" s="1037" t="s">
        <v>246</v>
      </c>
      <c r="C461" s="904" t="s">
        <v>247</v>
      </c>
      <c r="D461" s="1040">
        <v>34</v>
      </c>
      <c r="E461" s="280">
        <v>50</v>
      </c>
      <c r="F461" s="277">
        <f>+GESTIÓN!AA14</f>
        <v>1</v>
      </c>
      <c r="G461" s="283">
        <f t="shared" ref="G461:G472" si="46">F461/E461</f>
        <v>0.02</v>
      </c>
      <c r="H461" s="278"/>
      <c r="I461" s="96">
        <f t="shared" ref="I461:I472" si="47">LEN(H461)</f>
        <v>0</v>
      </c>
    </row>
    <row r="462" spans="1:15" x14ac:dyDescent="0.25">
      <c r="A462" s="212" t="s">
        <v>144</v>
      </c>
      <c r="B462" s="1037"/>
      <c r="C462" s="904"/>
      <c r="D462" s="1040"/>
      <c r="E462" s="93">
        <v>50</v>
      </c>
      <c r="F462" s="66"/>
      <c r="G462" s="285">
        <f t="shared" si="46"/>
        <v>0</v>
      </c>
      <c r="H462" s="67"/>
      <c r="I462" s="96">
        <f t="shared" si="47"/>
        <v>0</v>
      </c>
    </row>
    <row r="463" spans="1:15" x14ac:dyDescent="0.25">
      <c r="A463" s="212" t="s">
        <v>145</v>
      </c>
      <c r="B463" s="1037"/>
      <c r="C463" s="904"/>
      <c r="D463" s="1040"/>
      <c r="E463" s="93">
        <v>50</v>
      </c>
      <c r="F463" s="66"/>
      <c r="G463" s="285">
        <f t="shared" si="46"/>
        <v>0</v>
      </c>
      <c r="H463" s="67"/>
      <c r="I463" s="96">
        <f t="shared" si="47"/>
        <v>0</v>
      </c>
    </row>
    <row r="464" spans="1:15" x14ac:dyDescent="0.25">
      <c r="A464" s="212" t="s">
        <v>146</v>
      </c>
      <c r="B464" s="1037"/>
      <c r="C464" s="904"/>
      <c r="D464" s="1040"/>
      <c r="E464" s="93">
        <v>50</v>
      </c>
      <c r="F464" s="66"/>
      <c r="G464" s="285">
        <f t="shared" si="46"/>
        <v>0</v>
      </c>
      <c r="H464" s="67"/>
      <c r="I464" s="96">
        <f t="shared" si="47"/>
        <v>0</v>
      </c>
    </row>
    <row r="465" spans="1:15" x14ac:dyDescent="0.25">
      <c r="A465" s="212" t="s">
        <v>147</v>
      </c>
      <c r="B465" s="1037"/>
      <c r="C465" s="904"/>
      <c r="D465" s="1040"/>
      <c r="E465" s="93">
        <v>50</v>
      </c>
      <c r="F465" s="66"/>
      <c r="G465" s="285">
        <f t="shared" si="46"/>
        <v>0</v>
      </c>
      <c r="H465" s="67"/>
      <c r="I465" s="96">
        <f t="shared" si="47"/>
        <v>0</v>
      </c>
    </row>
    <row r="466" spans="1:15" x14ac:dyDescent="0.25">
      <c r="A466" s="212" t="s">
        <v>148</v>
      </c>
      <c r="B466" s="1037"/>
      <c r="C466" s="904"/>
      <c r="D466" s="1040"/>
      <c r="E466" s="93">
        <v>50</v>
      </c>
      <c r="F466" s="66"/>
      <c r="G466" s="285">
        <f t="shared" si="46"/>
        <v>0</v>
      </c>
      <c r="H466" s="67"/>
      <c r="I466" s="96">
        <f t="shared" si="47"/>
        <v>0</v>
      </c>
    </row>
    <row r="467" spans="1:15" x14ac:dyDescent="0.25">
      <c r="A467" s="212" t="s">
        <v>136</v>
      </c>
      <c r="B467" s="1037"/>
      <c r="C467" s="904"/>
      <c r="D467" s="1040"/>
      <c r="E467" s="93">
        <v>50</v>
      </c>
      <c r="F467" s="66"/>
      <c r="G467" s="285">
        <f t="shared" si="46"/>
        <v>0</v>
      </c>
      <c r="H467" s="67"/>
      <c r="I467" s="96">
        <f t="shared" si="47"/>
        <v>0</v>
      </c>
    </row>
    <row r="468" spans="1:15" x14ac:dyDescent="0.25">
      <c r="A468" s="56" t="s">
        <v>137</v>
      </c>
      <c r="B468" s="1037"/>
      <c r="C468" s="904"/>
      <c r="D468" s="1040"/>
      <c r="E468" s="93">
        <v>50</v>
      </c>
      <c r="F468" s="66"/>
      <c r="G468" s="285">
        <f t="shared" si="46"/>
        <v>0</v>
      </c>
      <c r="H468" s="67"/>
      <c r="I468" s="96">
        <f t="shared" si="47"/>
        <v>0</v>
      </c>
    </row>
    <row r="469" spans="1:15" s="1" customFormat="1" x14ac:dyDescent="0.25">
      <c r="A469" s="128" t="s">
        <v>138</v>
      </c>
      <c r="B469" s="1037"/>
      <c r="C469" s="904"/>
      <c r="D469" s="1040"/>
      <c r="E469" s="93">
        <v>50</v>
      </c>
      <c r="F469" s="130"/>
      <c r="G469" s="285">
        <f t="shared" si="46"/>
        <v>0</v>
      </c>
      <c r="H469" s="131"/>
      <c r="I469" s="96">
        <f t="shared" si="47"/>
        <v>0</v>
      </c>
      <c r="O469" s="4"/>
    </row>
    <row r="470" spans="1:15" s="1" customFormat="1" x14ac:dyDescent="0.25">
      <c r="A470" s="128" t="s">
        <v>139</v>
      </c>
      <c r="B470" s="1037"/>
      <c r="C470" s="904"/>
      <c r="D470" s="1040"/>
      <c r="E470" s="93">
        <v>50</v>
      </c>
      <c r="F470" s="130"/>
      <c r="G470" s="285">
        <f t="shared" si="46"/>
        <v>0</v>
      </c>
      <c r="H470" s="131"/>
      <c r="I470" s="96">
        <f t="shared" si="47"/>
        <v>0</v>
      </c>
      <c r="O470" s="4"/>
    </row>
    <row r="471" spans="1:15" s="1" customFormat="1" x14ac:dyDescent="0.25">
      <c r="A471" s="128" t="s">
        <v>140</v>
      </c>
      <c r="B471" s="1037"/>
      <c r="C471" s="904"/>
      <c r="D471" s="1040"/>
      <c r="E471" s="93">
        <v>50</v>
      </c>
      <c r="F471" s="130"/>
      <c r="G471" s="285">
        <f t="shared" si="46"/>
        <v>0</v>
      </c>
      <c r="H471" s="131"/>
      <c r="I471" s="96">
        <f t="shared" si="47"/>
        <v>0</v>
      </c>
      <c r="O471" s="4"/>
    </row>
    <row r="472" spans="1:15" s="1" customFormat="1" ht="15.75" thickBot="1" x14ac:dyDescent="0.3">
      <c r="A472" s="231" t="s">
        <v>141</v>
      </c>
      <c r="B472" s="1038"/>
      <c r="C472" s="1039"/>
      <c r="D472" s="1041"/>
      <c r="E472" s="94">
        <v>50</v>
      </c>
      <c r="F472" s="263"/>
      <c r="G472" s="286">
        <f t="shared" si="46"/>
        <v>0</v>
      </c>
      <c r="H472" s="253"/>
      <c r="I472" s="96">
        <f t="shared" si="47"/>
        <v>0</v>
      </c>
      <c r="O472" s="4"/>
    </row>
    <row r="473" spans="1:15" x14ac:dyDescent="0.25">
      <c r="A473" s="78"/>
      <c r="B473" s="78"/>
      <c r="C473" s="78"/>
      <c r="D473" s="78"/>
      <c r="E473" s="78"/>
      <c r="F473" s="78"/>
      <c r="G473" s="78"/>
      <c r="H473" s="78"/>
    </row>
    <row r="474" spans="1:15" ht="15.75" thickBot="1" x14ac:dyDescent="0.3">
      <c r="A474" s="78"/>
      <c r="B474" s="78"/>
      <c r="C474" s="78"/>
      <c r="D474" s="78"/>
      <c r="E474" s="78"/>
      <c r="F474" s="78"/>
      <c r="G474" s="78"/>
      <c r="H474" s="78"/>
    </row>
    <row r="475" spans="1:15" ht="38.25" x14ac:dyDescent="0.25">
      <c r="A475" s="82" t="s">
        <v>50</v>
      </c>
      <c r="B475" s="83" t="s">
        <v>200</v>
      </c>
      <c r="C475" s="105" t="s">
        <v>156</v>
      </c>
      <c r="D475" s="105" t="s">
        <v>166</v>
      </c>
      <c r="E475" s="105" t="s">
        <v>290</v>
      </c>
      <c r="F475" s="105" t="s">
        <v>291</v>
      </c>
      <c r="G475" s="105" t="s">
        <v>292</v>
      </c>
      <c r="H475" s="85" t="s">
        <v>189</v>
      </c>
    </row>
    <row r="476" spans="1:15" x14ac:dyDescent="0.25">
      <c r="A476" s="281" t="s">
        <v>143</v>
      </c>
      <c r="B476" s="1037"/>
      <c r="C476" s="904" t="s">
        <v>247</v>
      </c>
      <c r="D476" s="1044"/>
      <c r="E476" s="280">
        <v>590</v>
      </c>
      <c r="F476" s="277" t="e">
        <f>+GESTIÓN!#REF!</f>
        <v>#REF!</v>
      </c>
      <c r="G476" s="283" t="e">
        <f t="shared" ref="G476:G487" si="48">F476/E476</f>
        <v>#REF!</v>
      </c>
      <c r="H476" s="278"/>
      <c r="I476" s="96">
        <f t="shared" ref="I476:I487" si="49">LEN(H476)</f>
        <v>0</v>
      </c>
    </row>
    <row r="477" spans="1:15" x14ac:dyDescent="0.25">
      <c r="A477" s="212" t="s">
        <v>144</v>
      </c>
      <c r="B477" s="1037"/>
      <c r="C477" s="904"/>
      <c r="D477" s="1044"/>
      <c r="E477" s="93">
        <v>590</v>
      </c>
      <c r="F477" s="66"/>
      <c r="G477" s="282">
        <f t="shared" si="48"/>
        <v>0</v>
      </c>
      <c r="H477" s="67"/>
      <c r="I477" s="96">
        <f t="shared" si="49"/>
        <v>0</v>
      </c>
    </row>
    <row r="478" spans="1:15" x14ac:dyDescent="0.25">
      <c r="A478" s="212" t="s">
        <v>145</v>
      </c>
      <c r="B478" s="1037"/>
      <c r="C478" s="904"/>
      <c r="D478" s="1044"/>
      <c r="E478" s="93">
        <v>590</v>
      </c>
      <c r="F478" s="66"/>
      <c r="G478" s="282">
        <f t="shared" si="48"/>
        <v>0</v>
      </c>
      <c r="H478" s="67"/>
      <c r="I478" s="96">
        <f t="shared" si="49"/>
        <v>0</v>
      </c>
    </row>
    <row r="479" spans="1:15" x14ac:dyDescent="0.25">
      <c r="A479" s="212" t="s">
        <v>146</v>
      </c>
      <c r="B479" s="1037"/>
      <c r="C479" s="904"/>
      <c r="D479" s="1044"/>
      <c r="E479" s="93">
        <v>590</v>
      </c>
      <c r="F479" s="66"/>
      <c r="G479" s="282">
        <f t="shared" si="48"/>
        <v>0</v>
      </c>
      <c r="H479" s="67"/>
      <c r="I479" s="96">
        <f t="shared" si="49"/>
        <v>0</v>
      </c>
    </row>
    <row r="480" spans="1:15" x14ac:dyDescent="0.25">
      <c r="A480" s="212" t="s">
        <v>147</v>
      </c>
      <c r="B480" s="1037"/>
      <c r="C480" s="904"/>
      <c r="D480" s="1044"/>
      <c r="E480" s="93">
        <v>590</v>
      </c>
      <c r="F480" s="66"/>
      <c r="G480" s="282">
        <f t="shared" si="48"/>
        <v>0</v>
      </c>
      <c r="H480" s="67"/>
      <c r="I480" s="96">
        <f t="shared" si="49"/>
        <v>0</v>
      </c>
    </row>
    <row r="481" spans="1:15" x14ac:dyDescent="0.25">
      <c r="A481" s="212" t="s">
        <v>148</v>
      </c>
      <c r="B481" s="1037"/>
      <c r="C481" s="904"/>
      <c r="D481" s="1044"/>
      <c r="E481" s="93">
        <v>590</v>
      </c>
      <c r="F481" s="66"/>
      <c r="G481" s="282">
        <f t="shared" si="48"/>
        <v>0</v>
      </c>
      <c r="H481" s="67"/>
      <c r="I481" s="96">
        <f t="shared" si="49"/>
        <v>0</v>
      </c>
    </row>
    <row r="482" spans="1:15" x14ac:dyDescent="0.25">
      <c r="A482" s="212" t="s">
        <v>136</v>
      </c>
      <c r="B482" s="1037"/>
      <c r="C482" s="904"/>
      <c r="D482" s="1044"/>
      <c r="E482" s="93">
        <v>590</v>
      </c>
      <c r="F482" s="66"/>
      <c r="G482" s="282">
        <f t="shared" si="48"/>
        <v>0</v>
      </c>
      <c r="H482" s="67"/>
      <c r="I482" s="96">
        <f t="shared" si="49"/>
        <v>0</v>
      </c>
    </row>
    <row r="483" spans="1:15" x14ac:dyDescent="0.25">
      <c r="A483" s="56" t="s">
        <v>137</v>
      </c>
      <c r="B483" s="1037"/>
      <c r="C483" s="904"/>
      <c r="D483" s="1044"/>
      <c r="E483" s="93">
        <v>590</v>
      </c>
      <c r="F483" s="66"/>
      <c r="G483" s="282">
        <f t="shared" si="48"/>
        <v>0</v>
      </c>
      <c r="H483" s="67"/>
      <c r="I483" s="96">
        <f t="shared" si="49"/>
        <v>0</v>
      </c>
    </row>
    <row r="484" spans="1:15" s="1" customFormat="1" x14ac:dyDescent="0.25">
      <c r="A484" s="128" t="s">
        <v>138</v>
      </c>
      <c r="B484" s="1037"/>
      <c r="C484" s="904"/>
      <c r="D484" s="1044"/>
      <c r="E484" s="93">
        <v>590</v>
      </c>
      <c r="F484" s="130"/>
      <c r="G484" s="282">
        <f t="shared" si="48"/>
        <v>0</v>
      </c>
      <c r="H484" s="131"/>
      <c r="I484" s="96">
        <f t="shared" si="49"/>
        <v>0</v>
      </c>
      <c r="O484" s="4"/>
    </row>
    <row r="485" spans="1:15" s="1" customFormat="1" x14ac:dyDescent="0.25">
      <c r="A485" s="128" t="s">
        <v>139</v>
      </c>
      <c r="B485" s="1037"/>
      <c r="C485" s="904"/>
      <c r="D485" s="1044"/>
      <c r="E485" s="93">
        <v>590</v>
      </c>
      <c r="F485" s="130"/>
      <c r="G485" s="282">
        <f t="shared" si="48"/>
        <v>0</v>
      </c>
      <c r="H485" s="131"/>
      <c r="I485" s="96">
        <f t="shared" si="49"/>
        <v>0</v>
      </c>
      <c r="O485" s="4"/>
    </row>
    <row r="486" spans="1:15" s="1" customFormat="1" x14ac:dyDescent="0.25">
      <c r="A486" s="128" t="s">
        <v>140</v>
      </c>
      <c r="B486" s="1037"/>
      <c r="C486" s="904"/>
      <c r="D486" s="1044"/>
      <c r="E486" s="93">
        <v>590</v>
      </c>
      <c r="F486" s="196"/>
      <c r="G486" s="282">
        <f t="shared" si="48"/>
        <v>0</v>
      </c>
      <c r="H486" s="131"/>
      <c r="I486" s="96">
        <f t="shared" si="49"/>
        <v>0</v>
      </c>
      <c r="O486" s="4"/>
    </row>
    <row r="487" spans="1:15" s="1" customFormat="1" ht="15.75" thickBot="1" x14ac:dyDescent="0.3">
      <c r="A487" s="231" t="s">
        <v>141</v>
      </c>
      <c r="B487" s="1038"/>
      <c r="C487" s="1039"/>
      <c r="D487" s="1045"/>
      <c r="E487" s="94">
        <v>590</v>
      </c>
      <c r="F487" s="263"/>
      <c r="G487" s="284">
        <f t="shared" si="48"/>
        <v>0</v>
      </c>
      <c r="H487" s="253"/>
      <c r="I487" s="96">
        <f t="shared" si="49"/>
        <v>0</v>
      </c>
      <c r="O487" s="4"/>
    </row>
    <row r="488" spans="1:15" x14ac:dyDescent="0.25">
      <c r="A488" s="78"/>
      <c r="B488" s="78"/>
      <c r="C488" s="78"/>
      <c r="D488" s="78"/>
      <c r="E488" s="78"/>
      <c r="F488" s="78"/>
      <c r="G488" s="78"/>
      <c r="H488" s="78"/>
    </row>
    <row r="489" spans="1:15" ht="15.75" thickBot="1" x14ac:dyDescent="0.3">
      <c r="A489" s="78"/>
      <c r="B489" s="78"/>
      <c r="C489" s="78"/>
      <c r="D489" s="78"/>
      <c r="E489" s="78"/>
      <c r="F489" s="78"/>
      <c r="G489" s="78"/>
      <c r="H489" s="78"/>
    </row>
    <row r="490" spans="1:15" ht="38.25" x14ac:dyDescent="0.25">
      <c r="A490" s="82" t="s">
        <v>50</v>
      </c>
      <c r="B490" s="83" t="s">
        <v>200</v>
      </c>
      <c r="C490" s="105" t="s">
        <v>156</v>
      </c>
      <c r="D490" s="105" t="s">
        <v>166</v>
      </c>
      <c r="E490" s="105" t="s">
        <v>290</v>
      </c>
      <c r="F490" s="105" t="s">
        <v>291</v>
      </c>
      <c r="G490" s="105" t="s">
        <v>292</v>
      </c>
      <c r="H490" s="85" t="s">
        <v>189</v>
      </c>
    </row>
    <row r="491" spans="1:15" x14ac:dyDescent="0.25">
      <c r="A491" s="281" t="s">
        <v>143</v>
      </c>
      <c r="B491" s="1037" t="s">
        <v>249</v>
      </c>
      <c r="C491" s="904" t="s">
        <v>250</v>
      </c>
      <c r="D491" s="1040">
        <v>33</v>
      </c>
      <c r="E491" s="280">
        <v>0.73</v>
      </c>
      <c r="F491" s="277" t="str">
        <f>+GESTIÓN!AA19</f>
        <v>( - )</v>
      </c>
      <c r="G491" s="283" t="e">
        <f t="shared" ref="G491:G502" si="50">F491/E491</f>
        <v>#VALUE!</v>
      </c>
      <c r="H491" s="278"/>
      <c r="I491" s="96">
        <f t="shared" ref="I491:I502" si="51">LEN(H491)</f>
        <v>0</v>
      </c>
    </row>
    <row r="492" spans="1:15" x14ac:dyDescent="0.25">
      <c r="A492" s="212" t="s">
        <v>144</v>
      </c>
      <c r="B492" s="1037"/>
      <c r="C492" s="904"/>
      <c r="D492" s="1040"/>
      <c r="E492" s="93">
        <v>0.73</v>
      </c>
      <c r="F492" s="66"/>
      <c r="G492" s="285">
        <f t="shared" si="50"/>
        <v>0</v>
      </c>
      <c r="H492" s="67"/>
      <c r="I492" s="96">
        <f t="shared" si="51"/>
        <v>0</v>
      </c>
    </row>
    <row r="493" spans="1:15" x14ac:dyDescent="0.25">
      <c r="A493" s="212" t="s">
        <v>145</v>
      </c>
      <c r="B493" s="1037"/>
      <c r="C493" s="904"/>
      <c r="D493" s="1040"/>
      <c r="E493" s="93">
        <v>0.73</v>
      </c>
      <c r="F493" s="66"/>
      <c r="G493" s="285">
        <f t="shared" si="50"/>
        <v>0</v>
      </c>
      <c r="H493" s="67"/>
      <c r="I493" s="96">
        <f t="shared" si="51"/>
        <v>0</v>
      </c>
    </row>
    <row r="494" spans="1:15" x14ac:dyDescent="0.25">
      <c r="A494" s="212" t="s">
        <v>146</v>
      </c>
      <c r="B494" s="1037"/>
      <c r="C494" s="904"/>
      <c r="D494" s="1040"/>
      <c r="E494" s="93">
        <v>0.73</v>
      </c>
      <c r="F494" s="66"/>
      <c r="G494" s="285">
        <f t="shared" si="50"/>
        <v>0</v>
      </c>
      <c r="H494" s="67"/>
      <c r="I494" s="96">
        <f t="shared" si="51"/>
        <v>0</v>
      </c>
    </row>
    <row r="495" spans="1:15" x14ac:dyDescent="0.25">
      <c r="A495" s="212" t="s">
        <v>147</v>
      </c>
      <c r="B495" s="1037"/>
      <c r="C495" s="904"/>
      <c r="D495" s="1040"/>
      <c r="E495" s="93">
        <v>0.73</v>
      </c>
      <c r="F495" s="66"/>
      <c r="G495" s="285">
        <f t="shared" si="50"/>
        <v>0</v>
      </c>
      <c r="H495" s="67"/>
      <c r="I495" s="96">
        <f t="shared" si="51"/>
        <v>0</v>
      </c>
    </row>
    <row r="496" spans="1:15" x14ac:dyDescent="0.25">
      <c r="A496" s="212" t="s">
        <v>148</v>
      </c>
      <c r="B496" s="1037"/>
      <c r="C496" s="904"/>
      <c r="D496" s="1040"/>
      <c r="E496" s="93">
        <v>0.73</v>
      </c>
      <c r="F496" s="66"/>
      <c r="G496" s="285">
        <f t="shared" si="50"/>
        <v>0</v>
      </c>
      <c r="H496" s="67"/>
      <c r="I496" s="96">
        <f t="shared" si="51"/>
        <v>0</v>
      </c>
    </row>
    <row r="497" spans="1:15" x14ac:dyDescent="0.25">
      <c r="A497" s="212" t="s">
        <v>136</v>
      </c>
      <c r="B497" s="1037"/>
      <c r="C497" s="904"/>
      <c r="D497" s="1040"/>
      <c r="E497" s="93">
        <v>0.73</v>
      </c>
      <c r="F497" s="66"/>
      <c r="G497" s="285">
        <f t="shared" si="50"/>
        <v>0</v>
      </c>
      <c r="H497" s="67"/>
      <c r="I497" s="96">
        <f t="shared" si="51"/>
        <v>0</v>
      </c>
    </row>
    <row r="498" spans="1:15" x14ac:dyDescent="0.25">
      <c r="A498" s="56" t="s">
        <v>137</v>
      </c>
      <c r="B498" s="1037"/>
      <c r="C498" s="904"/>
      <c r="D498" s="1040"/>
      <c r="E498" s="93">
        <v>0.73</v>
      </c>
      <c r="F498" s="66"/>
      <c r="G498" s="285">
        <f t="shared" si="50"/>
        <v>0</v>
      </c>
      <c r="H498" s="67"/>
      <c r="I498" s="96">
        <f t="shared" si="51"/>
        <v>0</v>
      </c>
    </row>
    <row r="499" spans="1:15" s="1" customFormat="1" x14ac:dyDescent="0.25">
      <c r="A499" s="128" t="s">
        <v>138</v>
      </c>
      <c r="B499" s="1037"/>
      <c r="C499" s="904"/>
      <c r="D499" s="1040"/>
      <c r="E499" s="93">
        <v>0.73</v>
      </c>
      <c r="F499" s="130"/>
      <c r="G499" s="285">
        <f t="shared" si="50"/>
        <v>0</v>
      </c>
      <c r="H499" s="131"/>
      <c r="I499" s="96">
        <f t="shared" si="51"/>
        <v>0</v>
      </c>
      <c r="O499" s="4"/>
    </row>
    <row r="500" spans="1:15" s="1" customFormat="1" x14ac:dyDescent="0.25">
      <c r="A500" s="128" t="s">
        <v>139</v>
      </c>
      <c r="B500" s="1037"/>
      <c r="C500" s="904"/>
      <c r="D500" s="1040"/>
      <c r="E500" s="93">
        <v>0.73</v>
      </c>
      <c r="F500" s="130"/>
      <c r="G500" s="285">
        <f t="shared" si="50"/>
        <v>0</v>
      </c>
      <c r="H500" s="131"/>
      <c r="I500" s="96">
        <f t="shared" si="51"/>
        <v>0</v>
      </c>
      <c r="O500" s="4"/>
    </row>
    <row r="501" spans="1:15" s="1" customFormat="1" x14ac:dyDescent="0.25">
      <c r="A501" s="128" t="s">
        <v>140</v>
      </c>
      <c r="B501" s="1037"/>
      <c r="C501" s="904"/>
      <c r="D501" s="1040"/>
      <c r="E501" s="93">
        <v>0.73</v>
      </c>
      <c r="F501" s="196"/>
      <c r="G501" s="285">
        <f t="shared" si="50"/>
        <v>0</v>
      </c>
      <c r="H501" s="131"/>
      <c r="I501" s="96">
        <f t="shared" si="51"/>
        <v>0</v>
      </c>
      <c r="O501" s="4"/>
    </row>
    <row r="502" spans="1:15" s="1" customFormat="1" ht="15.75" thickBot="1" x14ac:dyDescent="0.3">
      <c r="A502" s="231" t="s">
        <v>141</v>
      </c>
      <c r="B502" s="1038"/>
      <c r="C502" s="1039"/>
      <c r="D502" s="1041"/>
      <c r="E502" s="94">
        <v>0.73</v>
      </c>
      <c r="F502" s="263"/>
      <c r="G502" s="286">
        <f t="shared" si="50"/>
        <v>0</v>
      </c>
      <c r="H502" s="253"/>
      <c r="I502" s="96">
        <f t="shared" si="51"/>
        <v>0</v>
      </c>
      <c r="O502" s="4"/>
    </row>
    <row r="503" spans="1:15" s="1" customFormat="1" x14ac:dyDescent="0.25">
      <c r="A503" s="201"/>
      <c r="B503" s="202"/>
      <c r="C503" s="202"/>
      <c r="D503" s="260"/>
      <c r="E503" s="261"/>
      <c r="F503" s="201"/>
      <c r="G503" s="262"/>
      <c r="H503" s="201"/>
      <c r="I503" s="4"/>
      <c r="O503" s="4"/>
    </row>
    <row r="505" spans="1:15" ht="20.25" hidden="1" x14ac:dyDescent="0.3">
      <c r="A505" s="919" t="s">
        <v>204</v>
      </c>
      <c r="B505" s="920"/>
      <c r="C505" s="920"/>
      <c r="D505" s="920"/>
      <c r="E505" s="920"/>
      <c r="F505" s="920"/>
      <c r="G505" s="920"/>
      <c r="H505" s="921"/>
    </row>
    <row r="506" spans="1:15" ht="38.25" hidden="1" x14ac:dyDescent="0.25">
      <c r="A506" s="53" t="s">
        <v>62</v>
      </c>
      <c r="B506" s="54" t="s">
        <v>200</v>
      </c>
      <c r="C506" s="74" t="s">
        <v>156</v>
      </c>
      <c r="D506" s="74" t="s">
        <v>171</v>
      </c>
      <c r="E506" s="74" t="s">
        <v>205</v>
      </c>
      <c r="F506" s="74" t="s">
        <v>206</v>
      </c>
      <c r="G506" s="74" t="s">
        <v>207</v>
      </c>
      <c r="H506" s="55" t="s">
        <v>189</v>
      </c>
    </row>
    <row r="507" spans="1:15" hidden="1" x14ac:dyDescent="0.25">
      <c r="A507" s="60" t="s">
        <v>143</v>
      </c>
      <c r="B507" s="57"/>
      <c r="C507" s="57"/>
      <c r="D507" s="57"/>
      <c r="E507" s="57"/>
      <c r="F507" s="57"/>
      <c r="G507" s="57" t="e">
        <f>F507/E507</f>
        <v>#DIV/0!</v>
      </c>
      <c r="H507" s="58"/>
    </row>
    <row r="508" spans="1:15" hidden="1" x14ac:dyDescent="0.25">
      <c r="A508" s="60" t="s">
        <v>144</v>
      </c>
      <c r="B508" s="57"/>
      <c r="C508" s="57"/>
      <c r="D508" s="57"/>
      <c r="E508" s="57"/>
      <c r="F508" s="57"/>
      <c r="G508" s="57" t="e">
        <f t="shared" ref="G508:G518" si="52">F508/E508</f>
        <v>#DIV/0!</v>
      </c>
      <c r="H508" s="58"/>
    </row>
    <row r="509" spans="1:15" hidden="1" x14ac:dyDescent="0.25">
      <c r="A509" s="60" t="s">
        <v>145</v>
      </c>
      <c r="B509" s="57"/>
      <c r="C509" s="57"/>
      <c r="D509" s="57"/>
      <c r="E509" s="57"/>
      <c r="F509" s="57"/>
      <c r="G509" s="57" t="e">
        <f t="shared" si="52"/>
        <v>#DIV/0!</v>
      </c>
      <c r="H509" s="58"/>
    </row>
    <row r="510" spans="1:15" hidden="1" x14ac:dyDescent="0.25">
      <c r="A510" s="60" t="s">
        <v>146</v>
      </c>
      <c r="B510" s="57"/>
      <c r="C510" s="57"/>
      <c r="D510" s="57"/>
      <c r="E510" s="57"/>
      <c r="F510" s="57"/>
      <c r="G510" s="57" t="e">
        <f t="shared" si="52"/>
        <v>#DIV/0!</v>
      </c>
      <c r="H510" s="58"/>
    </row>
    <row r="511" spans="1:15" hidden="1" x14ac:dyDescent="0.25">
      <c r="A511" s="60" t="s">
        <v>147</v>
      </c>
      <c r="B511" s="57"/>
      <c r="C511" s="57"/>
      <c r="D511" s="57"/>
      <c r="E511" s="57"/>
      <c r="F511" s="57"/>
      <c r="G511" s="57" t="e">
        <f t="shared" si="52"/>
        <v>#DIV/0!</v>
      </c>
      <c r="H511" s="58"/>
    </row>
    <row r="512" spans="1:15" hidden="1" x14ac:dyDescent="0.25">
      <c r="A512" s="60" t="s">
        <v>148</v>
      </c>
      <c r="B512" s="57"/>
      <c r="C512" s="57"/>
      <c r="D512" s="57"/>
      <c r="E512" s="57"/>
      <c r="F512" s="57"/>
      <c r="G512" s="57" t="e">
        <f t="shared" si="52"/>
        <v>#DIV/0!</v>
      </c>
      <c r="H512" s="58"/>
    </row>
    <row r="513" spans="1:8" hidden="1" x14ac:dyDescent="0.25">
      <c r="A513" s="60" t="s">
        <v>136</v>
      </c>
      <c r="B513" s="57"/>
      <c r="C513" s="57"/>
      <c r="D513" s="57"/>
      <c r="E513" s="57"/>
      <c r="F513" s="57"/>
      <c r="G513" s="57" t="e">
        <f t="shared" si="52"/>
        <v>#DIV/0!</v>
      </c>
      <c r="H513" s="58"/>
    </row>
    <row r="514" spans="1:8" hidden="1" x14ac:dyDescent="0.25">
      <c r="A514" s="60" t="s">
        <v>137</v>
      </c>
      <c r="B514" s="57"/>
      <c r="C514" s="57"/>
      <c r="D514" s="57"/>
      <c r="E514" s="57"/>
      <c r="F514" s="57"/>
      <c r="G514" s="57" t="e">
        <f t="shared" si="52"/>
        <v>#DIV/0!</v>
      </c>
      <c r="H514" s="58"/>
    </row>
    <row r="515" spans="1:8" hidden="1" x14ac:dyDescent="0.25">
      <c r="A515" s="60" t="s">
        <v>138</v>
      </c>
      <c r="B515" s="57"/>
      <c r="C515" s="57"/>
      <c r="D515" s="57"/>
      <c r="E515" s="57"/>
      <c r="F515" s="57"/>
      <c r="G515" s="57" t="e">
        <f t="shared" si="52"/>
        <v>#DIV/0!</v>
      </c>
      <c r="H515" s="58"/>
    </row>
    <row r="516" spans="1:8" hidden="1" x14ac:dyDescent="0.25">
      <c r="A516" s="60" t="s">
        <v>139</v>
      </c>
      <c r="B516" s="57"/>
      <c r="C516" s="57"/>
      <c r="D516" s="57"/>
      <c r="E516" s="57"/>
      <c r="F516" s="57"/>
      <c r="G516" s="57" t="e">
        <f t="shared" si="52"/>
        <v>#DIV/0!</v>
      </c>
      <c r="H516" s="58"/>
    </row>
    <row r="517" spans="1:8" hidden="1" x14ac:dyDescent="0.25">
      <c r="A517" s="60" t="s">
        <v>140</v>
      </c>
      <c r="B517" s="57"/>
      <c r="C517" s="57"/>
      <c r="D517" s="57"/>
      <c r="E517" s="57"/>
      <c r="F517" s="57"/>
      <c r="G517" s="57" t="e">
        <f t="shared" si="52"/>
        <v>#DIV/0!</v>
      </c>
      <c r="H517" s="58"/>
    </row>
    <row r="518" spans="1:8" ht="15.75" hidden="1" thickBot="1" x14ac:dyDescent="0.3">
      <c r="A518" s="61" t="s">
        <v>141</v>
      </c>
      <c r="B518" s="59"/>
      <c r="C518" s="59"/>
      <c r="D518" s="59"/>
      <c r="E518" s="59"/>
      <c r="F518" s="59"/>
      <c r="G518" s="59" t="e">
        <f t="shared" si="52"/>
        <v>#DIV/0!</v>
      </c>
      <c r="H518" s="63"/>
    </row>
    <row r="520" spans="1:8" ht="20.25" hidden="1" x14ac:dyDescent="0.3">
      <c r="A520" s="919" t="s">
        <v>204</v>
      </c>
      <c r="B520" s="920"/>
      <c r="C520" s="920"/>
      <c r="D520" s="920"/>
      <c r="E520" s="920"/>
      <c r="F520" s="920"/>
      <c r="G520" s="920"/>
      <c r="H520" s="921"/>
    </row>
    <row r="521" spans="1:8" ht="38.25" hidden="1" x14ac:dyDescent="0.25">
      <c r="A521" s="53" t="s">
        <v>63</v>
      </c>
      <c r="B521" s="54" t="s">
        <v>200</v>
      </c>
      <c r="C521" s="74" t="s">
        <v>156</v>
      </c>
      <c r="D521" s="74" t="s">
        <v>176</v>
      </c>
      <c r="E521" s="74" t="s">
        <v>209</v>
      </c>
      <c r="F521" s="74" t="s">
        <v>210</v>
      </c>
      <c r="G521" s="74" t="s">
        <v>211</v>
      </c>
      <c r="H521" s="55" t="s">
        <v>189</v>
      </c>
    </row>
    <row r="522" spans="1:8" hidden="1" x14ac:dyDescent="0.25">
      <c r="A522" s="60" t="s">
        <v>143</v>
      </c>
      <c r="B522" s="57"/>
      <c r="C522" s="57"/>
      <c r="D522" s="57"/>
      <c r="E522" s="57"/>
      <c r="F522" s="57"/>
      <c r="G522" s="57" t="e">
        <f>F522/E522</f>
        <v>#DIV/0!</v>
      </c>
      <c r="H522" s="58"/>
    </row>
    <row r="523" spans="1:8" hidden="1" x14ac:dyDescent="0.25">
      <c r="A523" s="60" t="s">
        <v>144</v>
      </c>
      <c r="B523" s="57"/>
      <c r="C523" s="57"/>
      <c r="D523" s="57"/>
      <c r="E523" s="57"/>
      <c r="F523" s="57"/>
      <c r="G523" s="57" t="e">
        <f t="shared" ref="G523:G533" si="53">F523/E523</f>
        <v>#DIV/0!</v>
      </c>
      <c r="H523" s="58"/>
    </row>
    <row r="524" spans="1:8" hidden="1" x14ac:dyDescent="0.25">
      <c r="A524" s="60" t="s">
        <v>145</v>
      </c>
      <c r="B524" s="57"/>
      <c r="C524" s="57"/>
      <c r="D524" s="57"/>
      <c r="E524" s="57"/>
      <c r="F524" s="57"/>
      <c r="G524" s="57" t="e">
        <f t="shared" si="53"/>
        <v>#DIV/0!</v>
      </c>
      <c r="H524" s="58"/>
    </row>
    <row r="525" spans="1:8" hidden="1" x14ac:dyDescent="0.25">
      <c r="A525" s="60" t="s">
        <v>146</v>
      </c>
      <c r="B525" s="57"/>
      <c r="C525" s="57"/>
      <c r="D525" s="57"/>
      <c r="E525" s="57"/>
      <c r="F525" s="57"/>
      <c r="G525" s="57" t="e">
        <f t="shared" si="53"/>
        <v>#DIV/0!</v>
      </c>
      <c r="H525" s="58"/>
    </row>
    <row r="526" spans="1:8" hidden="1" x14ac:dyDescent="0.25">
      <c r="A526" s="60" t="s">
        <v>147</v>
      </c>
      <c r="B526" s="57"/>
      <c r="C526" s="57"/>
      <c r="D526" s="57"/>
      <c r="E526" s="57"/>
      <c r="F526" s="57"/>
      <c r="G526" s="57" t="e">
        <f t="shared" si="53"/>
        <v>#DIV/0!</v>
      </c>
      <c r="H526" s="58"/>
    </row>
    <row r="527" spans="1:8" hidden="1" x14ac:dyDescent="0.25">
      <c r="A527" s="60" t="s">
        <v>148</v>
      </c>
      <c r="B527" s="57"/>
      <c r="C527" s="57"/>
      <c r="D527" s="57"/>
      <c r="E527" s="57"/>
      <c r="F527" s="57"/>
      <c r="G527" s="57" t="e">
        <f t="shared" si="53"/>
        <v>#DIV/0!</v>
      </c>
      <c r="H527" s="58"/>
    </row>
    <row r="528" spans="1:8" hidden="1" x14ac:dyDescent="0.25">
      <c r="A528" s="60" t="s">
        <v>136</v>
      </c>
      <c r="B528" s="57"/>
      <c r="C528" s="57"/>
      <c r="D528" s="57"/>
      <c r="E528" s="57"/>
      <c r="F528" s="57"/>
      <c r="G528" s="57" t="e">
        <f t="shared" si="53"/>
        <v>#DIV/0!</v>
      </c>
      <c r="H528" s="58"/>
    </row>
    <row r="529" spans="1:8" hidden="1" x14ac:dyDescent="0.25">
      <c r="A529" s="60" t="s">
        <v>137</v>
      </c>
      <c r="B529" s="57"/>
      <c r="C529" s="57"/>
      <c r="D529" s="57"/>
      <c r="E529" s="57"/>
      <c r="F529" s="57"/>
      <c r="G529" s="57" t="e">
        <f t="shared" si="53"/>
        <v>#DIV/0!</v>
      </c>
      <c r="H529" s="58"/>
    </row>
    <row r="530" spans="1:8" hidden="1" x14ac:dyDescent="0.25">
      <c r="A530" s="60" t="s">
        <v>138</v>
      </c>
      <c r="B530" s="57"/>
      <c r="C530" s="57"/>
      <c r="D530" s="57"/>
      <c r="E530" s="57"/>
      <c r="F530" s="57"/>
      <c r="G530" s="57" t="e">
        <f t="shared" si="53"/>
        <v>#DIV/0!</v>
      </c>
      <c r="H530" s="58"/>
    </row>
    <row r="531" spans="1:8" hidden="1" x14ac:dyDescent="0.25">
      <c r="A531" s="60" t="s">
        <v>139</v>
      </c>
      <c r="B531" s="57"/>
      <c r="C531" s="57"/>
      <c r="D531" s="57"/>
      <c r="E531" s="57"/>
      <c r="F531" s="57"/>
      <c r="G531" s="57" t="e">
        <f t="shared" si="53"/>
        <v>#DIV/0!</v>
      </c>
      <c r="H531" s="58"/>
    </row>
    <row r="532" spans="1:8" hidden="1" x14ac:dyDescent="0.25">
      <c r="A532" s="60" t="s">
        <v>140</v>
      </c>
      <c r="B532" s="57"/>
      <c r="C532" s="57"/>
      <c r="D532" s="57"/>
      <c r="E532" s="57"/>
      <c r="F532" s="57"/>
      <c r="G532" s="57" t="e">
        <f t="shared" si="53"/>
        <v>#DIV/0!</v>
      </c>
      <c r="H532" s="58"/>
    </row>
    <row r="533" spans="1:8" ht="15.75" hidden="1" thickBot="1" x14ac:dyDescent="0.3">
      <c r="A533" s="61" t="s">
        <v>141</v>
      </c>
      <c r="B533" s="59"/>
      <c r="C533" s="59"/>
      <c r="D533" s="59"/>
      <c r="E533" s="59"/>
      <c r="F533" s="59"/>
      <c r="G533" s="59" t="e">
        <f t="shared" si="53"/>
        <v>#DIV/0!</v>
      </c>
      <c r="H533" s="63"/>
    </row>
    <row r="534" spans="1:8" ht="15.75" hidden="1" thickBot="1" x14ac:dyDescent="0.3">
      <c r="A534" s="80"/>
      <c r="B534" s="80"/>
      <c r="C534" s="80"/>
      <c r="D534" s="80"/>
      <c r="E534" s="80"/>
      <c r="F534" s="80"/>
      <c r="G534" s="80"/>
      <c r="H534" s="80"/>
    </row>
    <row r="535" spans="1:8" ht="20.25" hidden="1" x14ac:dyDescent="0.3">
      <c r="A535" s="919" t="s">
        <v>208</v>
      </c>
      <c r="B535" s="920"/>
      <c r="C535" s="920"/>
      <c r="D535" s="920"/>
      <c r="E535" s="920"/>
      <c r="F535" s="920"/>
      <c r="G535" s="920"/>
      <c r="H535" s="921"/>
    </row>
    <row r="536" spans="1:8" ht="38.25" hidden="1" x14ac:dyDescent="0.25">
      <c r="A536" s="53" t="s">
        <v>63</v>
      </c>
      <c r="B536" s="54" t="s">
        <v>200</v>
      </c>
      <c r="C536" s="74" t="s">
        <v>156</v>
      </c>
      <c r="D536" s="74" t="s">
        <v>176</v>
      </c>
      <c r="E536" s="74" t="s">
        <v>209</v>
      </c>
      <c r="F536" s="74" t="s">
        <v>210</v>
      </c>
      <c r="G536" s="74" t="s">
        <v>211</v>
      </c>
      <c r="H536" s="55" t="s">
        <v>189</v>
      </c>
    </row>
    <row r="537" spans="1:8" hidden="1" x14ac:dyDescent="0.25">
      <c r="A537" s="60" t="s">
        <v>143</v>
      </c>
      <c r="B537" s="57"/>
      <c r="C537" s="57"/>
      <c r="D537" s="57"/>
      <c r="E537" s="57"/>
      <c r="F537" s="57"/>
      <c r="G537" s="57" t="e">
        <f>F537/E537</f>
        <v>#DIV/0!</v>
      </c>
      <c r="H537" s="58"/>
    </row>
    <row r="538" spans="1:8" hidden="1" x14ac:dyDescent="0.25">
      <c r="A538" s="60" t="s">
        <v>144</v>
      </c>
      <c r="B538" s="57"/>
      <c r="C538" s="57"/>
      <c r="D538" s="57"/>
      <c r="E538" s="57"/>
      <c r="F538" s="57"/>
      <c r="G538" s="57" t="e">
        <f t="shared" ref="G538:G548" si="54">F538/E538</f>
        <v>#DIV/0!</v>
      </c>
      <c r="H538" s="58"/>
    </row>
    <row r="539" spans="1:8" hidden="1" x14ac:dyDescent="0.25">
      <c r="A539" s="60" t="s">
        <v>145</v>
      </c>
      <c r="B539" s="57"/>
      <c r="C539" s="57"/>
      <c r="D539" s="57"/>
      <c r="E539" s="57"/>
      <c r="F539" s="57"/>
      <c r="G539" s="57" t="e">
        <f t="shared" si="54"/>
        <v>#DIV/0!</v>
      </c>
      <c r="H539" s="58"/>
    </row>
    <row r="540" spans="1:8" hidden="1" x14ac:dyDescent="0.25">
      <c r="A540" s="60" t="s">
        <v>146</v>
      </c>
      <c r="B540" s="57"/>
      <c r="C540" s="57"/>
      <c r="D540" s="57"/>
      <c r="E540" s="57"/>
      <c r="F540" s="57"/>
      <c r="G540" s="57" t="e">
        <f t="shared" si="54"/>
        <v>#DIV/0!</v>
      </c>
      <c r="H540" s="58"/>
    </row>
    <row r="541" spans="1:8" hidden="1" x14ac:dyDescent="0.25">
      <c r="A541" s="60" t="s">
        <v>147</v>
      </c>
      <c r="B541" s="57"/>
      <c r="C541" s="57"/>
      <c r="D541" s="57"/>
      <c r="E541" s="57"/>
      <c r="F541" s="57"/>
      <c r="G541" s="57" t="e">
        <f t="shared" si="54"/>
        <v>#DIV/0!</v>
      </c>
      <c r="H541" s="58"/>
    </row>
    <row r="542" spans="1:8" hidden="1" x14ac:dyDescent="0.25">
      <c r="A542" s="60" t="s">
        <v>148</v>
      </c>
      <c r="B542" s="57"/>
      <c r="C542" s="57"/>
      <c r="D542" s="57"/>
      <c r="E542" s="57"/>
      <c r="F542" s="57"/>
      <c r="G542" s="57" t="e">
        <f t="shared" si="54"/>
        <v>#DIV/0!</v>
      </c>
      <c r="H542" s="58"/>
    </row>
    <row r="543" spans="1:8" hidden="1" x14ac:dyDescent="0.25">
      <c r="A543" s="60" t="s">
        <v>136</v>
      </c>
      <c r="B543" s="57"/>
      <c r="C543" s="57"/>
      <c r="D543" s="57"/>
      <c r="E543" s="57"/>
      <c r="F543" s="57"/>
      <c r="G543" s="57" t="e">
        <f t="shared" si="54"/>
        <v>#DIV/0!</v>
      </c>
      <c r="H543" s="58"/>
    </row>
    <row r="544" spans="1:8" hidden="1" x14ac:dyDescent="0.25">
      <c r="A544" s="60" t="s">
        <v>137</v>
      </c>
      <c r="B544" s="57"/>
      <c r="C544" s="57"/>
      <c r="D544" s="57"/>
      <c r="E544" s="57"/>
      <c r="F544" s="57"/>
      <c r="G544" s="57" t="e">
        <f t="shared" si="54"/>
        <v>#DIV/0!</v>
      </c>
      <c r="H544" s="58"/>
    </row>
    <row r="545" spans="1:8" hidden="1" x14ac:dyDescent="0.25">
      <c r="A545" s="60" t="s">
        <v>138</v>
      </c>
      <c r="B545" s="57"/>
      <c r="C545" s="57"/>
      <c r="D545" s="57"/>
      <c r="E545" s="57"/>
      <c r="F545" s="57"/>
      <c r="G545" s="57" t="e">
        <f t="shared" si="54"/>
        <v>#DIV/0!</v>
      </c>
      <c r="H545" s="58"/>
    </row>
    <row r="546" spans="1:8" hidden="1" x14ac:dyDescent="0.25">
      <c r="A546" s="60" t="s">
        <v>139</v>
      </c>
      <c r="B546" s="57"/>
      <c r="C546" s="57"/>
      <c r="D546" s="57"/>
      <c r="E546" s="57"/>
      <c r="F546" s="57"/>
      <c r="G546" s="57" t="e">
        <f t="shared" si="54"/>
        <v>#DIV/0!</v>
      </c>
      <c r="H546" s="58"/>
    </row>
    <row r="547" spans="1:8" hidden="1" x14ac:dyDescent="0.25">
      <c r="A547" s="60" t="s">
        <v>140</v>
      </c>
      <c r="B547" s="57"/>
      <c r="C547" s="57"/>
      <c r="D547" s="57"/>
      <c r="E547" s="57"/>
      <c r="F547" s="57"/>
      <c r="G547" s="57" t="e">
        <f t="shared" si="54"/>
        <v>#DIV/0!</v>
      </c>
      <c r="H547" s="58"/>
    </row>
    <row r="548" spans="1:8" ht="15.75" hidden="1" thickBot="1" x14ac:dyDescent="0.3">
      <c r="A548" s="61" t="s">
        <v>141</v>
      </c>
      <c r="B548" s="59"/>
      <c r="C548" s="59"/>
      <c r="D548" s="59"/>
      <c r="E548" s="59"/>
      <c r="F548" s="59"/>
      <c r="G548" s="59" t="e">
        <f t="shared" si="54"/>
        <v>#DIV/0!</v>
      </c>
      <c r="H548" s="63"/>
    </row>
    <row r="549" spans="1:8" ht="15.75" hidden="1" thickBot="1" x14ac:dyDescent="0.3">
      <c r="A549" s="80"/>
      <c r="B549" s="80"/>
      <c r="C549" s="80"/>
      <c r="D549" s="80"/>
      <c r="E549" s="80"/>
      <c r="F549" s="80"/>
      <c r="G549" s="80"/>
      <c r="H549" s="80"/>
    </row>
    <row r="550" spans="1:8" ht="20.25" hidden="1" x14ac:dyDescent="0.3">
      <c r="A550" s="919" t="s">
        <v>212</v>
      </c>
      <c r="B550" s="920"/>
      <c r="C550" s="920"/>
      <c r="D550" s="920"/>
      <c r="E550" s="920"/>
      <c r="F550" s="920"/>
      <c r="G550" s="920"/>
      <c r="H550" s="921"/>
    </row>
    <row r="551" spans="1:8" ht="63.75" hidden="1" customHeight="1" x14ac:dyDescent="0.25">
      <c r="A551" s="53" t="s">
        <v>64</v>
      </c>
      <c r="B551" s="54" t="s">
        <v>200</v>
      </c>
      <c r="C551" s="74" t="s">
        <v>156</v>
      </c>
      <c r="D551" s="74" t="s">
        <v>181</v>
      </c>
      <c r="E551" s="74" t="s">
        <v>213</v>
      </c>
      <c r="F551" s="74" t="s">
        <v>214</v>
      </c>
      <c r="G551" s="74" t="s">
        <v>215</v>
      </c>
      <c r="H551" s="55" t="s">
        <v>189</v>
      </c>
    </row>
    <row r="552" spans="1:8" hidden="1" x14ac:dyDescent="0.25">
      <c r="A552" s="60" t="s">
        <v>143</v>
      </c>
      <c r="B552" s="57"/>
      <c r="C552" s="57"/>
      <c r="D552" s="57"/>
      <c r="E552" s="57"/>
      <c r="F552" s="57"/>
      <c r="G552" s="57" t="e">
        <f>F552/E552</f>
        <v>#DIV/0!</v>
      </c>
      <c r="H552" s="58"/>
    </row>
    <row r="553" spans="1:8" hidden="1" x14ac:dyDescent="0.25">
      <c r="A553" s="60" t="s">
        <v>144</v>
      </c>
      <c r="B553" s="57"/>
      <c r="C553" s="57"/>
      <c r="D553" s="57"/>
      <c r="E553" s="57"/>
      <c r="F553" s="57"/>
      <c r="G553" s="57" t="e">
        <f t="shared" ref="G553:G563" si="55">F553/E553</f>
        <v>#DIV/0!</v>
      </c>
      <c r="H553" s="58"/>
    </row>
    <row r="554" spans="1:8" hidden="1" x14ac:dyDescent="0.25">
      <c r="A554" s="60" t="s">
        <v>145</v>
      </c>
      <c r="B554" s="57"/>
      <c r="C554" s="57"/>
      <c r="D554" s="57"/>
      <c r="E554" s="57"/>
      <c r="F554" s="57"/>
      <c r="G554" s="57" t="e">
        <f t="shared" si="55"/>
        <v>#DIV/0!</v>
      </c>
      <c r="H554" s="58"/>
    </row>
    <row r="555" spans="1:8" hidden="1" x14ac:dyDescent="0.25">
      <c r="A555" s="60" t="s">
        <v>146</v>
      </c>
      <c r="B555" s="57"/>
      <c r="C555" s="57"/>
      <c r="D555" s="57"/>
      <c r="E555" s="57"/>
      <c r="F555" s="57"/>
      <c r="G555" s="57" t="e">
        <f t="shared" si="55"/>
        <v>#DIV/0!</v>
      </c>
      <c r="H555" s="58"/>
    </row>
    <row r="556" spans="1:8" hidden="1" x14ac:dyDescent="0.25">
      <c r="A556" s="60" t="s">
        <v>147</v>
      </c>
      <c r="B556" s="57"/>
      <c r="C556" s="57"/>
      <c r="D556" s="57"/>
      <c r="E556" s="57"/>
      <c r="F556" s="57"/>
      <c r="G556" s="57" t="e">
        <f t="shared" si="55"/>
        <v>#DIV/0!</v>
      </c>
      <c r="H556" s="58"/>
    </row>
    <row r="557" spans="1:8" hidden="1" x14ac:dyDescent="0.25">
      <c r="A557" s="60" t="s">
        <v>148</v>
      </c>
      <c r="B557" s="57"/>
      <c r="C557" s="57"/>
      <c r="D557" s="57"/>
      <c r="E557" s="57"/>
      <c r="F557" s="57"/>
      <c r="G557" s="57" t="e">
        <f t="shared" si="55"/>
        <v>#DIV/0!</v>
      </c>
      <c r="H557" s="58"/>
    </row>
    <row r="558" spans="1:8" hidden="1" x14ac:dyDescent="0.25">
      <c r="A558" s="60" t="s">
        <v>136</v>
      </c>
      <c r="B558" s="57"/>
      <c r="C558" s="57"/>
      <c r="D558" s="57"/>
      <c r="E558" s="57"/>
      <c r="F558" s="57"/>
      <c r="G558" s="57" t="e">
        <f t="shared" si="55"/>
        <v>#DIV/0!</v>
      </c>
      <c r="H558" s="58"/>
    </row>
    <row r="559" spans="1:8" hidden="1" x14ac:dyDescent="0.25">
      <c r="A559" s="60" t="s">
        <v>137</v>
      </c>
      <c r="B559" s="57"/>
      <c r="C559" s="57"/>
      <c r="D559" s="57"/>
      <c r="E559" s="57"/>
      <c r="F559" s="57"/>
      <c r="G559" s="57" t="e">
        <f t="shared" si="55"/>
        <v>#DIV/0!</v>
      </c>
      <c r="H559" s="58"/>
    </row>
    <row r="560" spans="1:8" hidden="1" x14ac:dyDescent="0.25">
      <c r="A560" s="60" t="s">
        <v>138</v>
      </c>
      <c r="B560" s="57"/>
      <c r="C560" s="57"/>
      <c r="D560" s="57"/>
      <c r="E560" s="57"/>
      <c r="F560" s="57"/>
      <c r="G560" s="57" t="e">
        <f t="shared" si="55"/>
        <v>#DIV/0!</v>
      </c>
      <c r="H560" s="58"/>
    </row>
    <row r="561" spans="1:44" hidden="1" x14ac:dyDescent="0.25">
      <c r="A561" s="60" t="s">
        <v>139</v>
      </c>
      <c r="B561" s="57"/>
      <c r="C561" s="57"/>
      <c r="D561" s="57"/>
      <c r="E561" s="57"/>
      <c r="F561" s="57"/>
      <c r="G561" s="57" t="e">
        <f t="shared" si="55"/>
        <v>#DIV/0!</v>
      </c>
      <c r="H561" s="58"/>
    </row>
    <row r="562" spans="1:44" hidden="1" x14ac:dyDescent="0.25">
      <c r="A562" s="60" t="s">
        <v>140</v>
      </c>
      <c r="B562" s="57"/>
      <c r="C562" s="57"/>
      <c r="D562" s="57"/>
      <c r="E562" s="57"/>
      <c r="F562" s="57"/>
      <c r="G562" s="57" t="e">
        <f t="shared" si="55"/>
        <v>#DIV/0!</v>
      </c>
      <c r="H562" s="58"/>
    </row>
    <row r="563" spans="1:44" ht="15.75" hidden="1" thickBot="1" x14ac:dyDescent="0.3">
      <c r="A563" s="61" t="s">
        <v>141</v>
      </c>
      <c r="B563" s="59"/>
      <c r="C563" s="59"/>
      <c r="D563" s="59"/>
      <c r="E563" s="59"/>
      <c r="F563" s="59"/>
      <c r="G563" s="59" t="e">
        <f t="shared" si="55"/>
        <v>#DIV/0!</v>
      </c>
      <c r="H563" s="63"/>
    </row>
    <row r="564" spans="1:44" ht="26.25" customHeight="1" x14ac:dyDescent="0.25">
      <c r="A564" s="29" t="s">
        <v>35</v>
      </c>
      <c r="B564" s="27"/>
      <c r="C564" s="27"/>
      <c r="D564" s="27"/>
      <c r="E564" s="28"/>
      <c r="F564" s="28"/>
      <c r="G564" s="28"/>
      <c r="H564" s="28"/>
      <c r="I564" s="28"/>
      <c r="J564" s="28"/>
      <c r="K564" s="28"/>
      <c r="L564" s="28"/>
      <c r="M564" s="28"/>
      <c r="N564" s="28"/>
      <c r="O564" s="115"/>
      <c r="P564" s="28"/>
      <c r="Q564" s="28"/>
      <c r="R564" s="28"/>
      <c r="S564" s="28"/>
      <c r="T564" s="28"/>
      <c r="U564" s="28"/>
      <c r="V564" s="28"/>
      <c r="W564" s="28"/>
      <c r="X564" s="27"/>
      <c r="Y564" s="27"/>
      <c r="Z564" s="27"/>
      <c r="AA564" s="27"/>
      <c r="AB564" s="27"/>
      <c r="AC564" s="27"/>
      <c r="AD564" s="30"/>
      <c r="AE564" s="30"/>
      <c r="AF564" s="30"/>
      <c r="AG564" s="30"/>
      <c r="AH564" s="30"/>
      <c r="AI564" s="30"/>
      <c r="AJ564" s="52"/>
      <c r="AK564" s="52"/>
      <c r="AL564" s="31"/>
      <c r="AM564" s="31"/>
      <c r="AN564" s="31"/>
      <c r="AO564" s="31"/>
      <c r="AP564" s="31"/>
      <c r="AQ564" s="31"/>
      <c r="AR564" s="31"/>
    </row>
    <row r="565" spans="1:44" ht="26.25" customHeight="1" x14ac:dyDescent="0.25">
      <c r="A565" s="32" t="s">
        <v>36</v>
      </c>
      <c r="B565" s="857" t="s">
        <v>37</v>
      </c>
      <c r="C565" s="858"/>
      <c r="D565" s="859"/>
      <c r="E565" s="936" t="s">
        <v>38</v>
      </c>
      <c r="F565" s="937"/>
      <c r="G565" s="937"/>
      <c r="H565" s="937"/>
      <c r="I565" s="937"/>
      <c r="J565" s="937"/>
      <c r="K565" s="937"/>
      <c r="L565" s="937"/>
      <c r="M565" s="937"/>
      <c r="N565" s="937"/>
      <c r="O565" s="116"/>
      <c r="P565" s="27"/>
      <c r="Q565" s="27"/>
      <c r="R565" s="27"/>
      <c r="S565" s="27"/>
      <c r="T565" s="27"/>
      <c r="U565" s="27"/>
      <c r="V565" s="27"/>
      <c r="W565" s="27"/>
      <c r="X565" s="27"/>
      <c r="Y565" s="27"/>
      <c r="Z565" s="27"/>
      <c r="AA565" s="27"/>
      <c r="AB565" s="27"/>
      <c r="AC565" s="27"/>
      <c r="AD565" s="30"/>
      <c r="AE565" s="30"/>
      <c r="AF565" s="30"/>
      <c r="AG565" s="30"/>
      <c r="AH565" s="30"/>
      <c r="AI565" s="30"/>
      <c r="AJ565" s="52"/>
      <c r="AK565" s="52"/>
      <c r="AL565" s="30"/>
      <c r="AM565" s="30"/>
      <c r="AN565" s="30"/>
      <c r="AO565" s="30"/>
      <c r="AP565" s="30"/>
      <c r="AQ565" s="30"/>
      <c r="AR565" s="52"/>
    </row>
    <row r="566" spans="1:44" ht="43.5" customHeight="1" x14ac:dyDescent="0.25">
      <c r="A566" s="142">
        <v>12</v>
      </c>
      <c r="B566" s="914" t="s">
        <v>85</v>
      </c>
      <c r="C566" s="915"/>
      <c r="D566" s="916"/>
      <c r="E566" s="917" t="s">
        <v>86</v>
      </c>
      <c r="F566" s="918"/>
      <c r="G566" s="918"/>
      <c r="H566" s="918"/>
      <c r="I566" s="918"/>
      <c r="J566" s="918"/>
      <c r="K566" s="918"/>
      <c r="L566" s="918"/>
      <c r="M566" s="918"/>
      <c r="N566" s="918"/>
      <c r="O566" s="116"/>
      <c r="P566" s="27"/>
      <c r="Q566" s="27"/>
      <c r="R566" s="27"/>
      <c r="S566" s="27"/>
      <c r="T566" s="27"/>
      <c r="U566" s="27"/>
      <c r="V566" s="27"/>
      <c r="W566" s="27"/>
      <c r="X566" s="27"/>
      <c r="Y566" s="27"/>
      <c r="Z566" s="27"/>
      <c r="AA566" s="27"/>
      <c r="AB566" s="27"/>
      <c r="AC566" s="27"/>
      <c r="AD566" s="27"/>
      <c r="AE566" s="27"/>
      <c r="AF566" s="27"/>
      <c r="AG566" s="27"/>
      <c r="AH566" s="27"/>
      <c r="AI566" s="27"/>
      <c r="AJ566" s="51"/>
      <c r="AK566" s="51"/>
      <c r="AL566" s="27"/>
      <c r="AM566" s="27"/>
      <c r="AN566" s="27"/>
      <c r="AO566" s="27"/>
      <c r="AP566" s="27"/>
      <c r="AQ566" s="27"/>
      <c r="AR566" s="51"/>
    </row>
    <row r="567" spans="1:44" x14ac:dyDescent="0.25">
      <c r="A567" s="142">
        <v>13</v>
      </c>
      <c r="B567" s="914" t="s">
        <v>97</v>
      </c>
      <c r="C567" s="915"/>
      <c r="D567" s="916"/>
      <c r="E567" s="917" t="s">
        <v>88</v>
      </c>
      <c r="F567" s="918"/>
      <c r="G567" s="918"/>
      <c r="H567" s="918"/>
      <c r="I567" s="918"/>
      <c r="J567" s="918"/>
      <c r="K567" s="918"/>
      <c r="L567" s="918"/>
      <c r="M567" s="918"/>
      <c r="N567" s="918"/>
    </row>
  </sheetData>
  <mergeCells count="167">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 ref="B176:B187"/>
    <mergeCell ref="C176:C187"/>
    <mergeCell ref="D176:D187"/>
    <mergeCell ref="E176:E187"/>
    <mergeCell ref="F176:F187"/>
    <mergeCell ref="G176:G187"/>
    <mergeCell ref="B191:B202"/>
    <mergeCell ref="C191:C202"/>
    <mergeCell ref="D191:D202"/>
    <mergeCell ref="E191:E202"/>
    <mergeCell ref="F191:F202"/>
    <mergeCell ref="G191:G202"/>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A18"/>
    <mergeCell ref="E14:E18"/>
    <mergeCell ref="F14:F18"/>
    <mergeCell ref="G14:G18"/>
    <mergeCell ref="H14:H18"/>
    <mergeCell ref="A19:A23"/>
    <mergeCell ref="E19:E23"/>
    <mergeCell ref="F19:F23"/>
    <mergeCell ref="G19:G23"/>
    <mergeCell ref="H19:H23"/>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B136:B141"/>
    <mergeCell ref="C136:C141"/>
    <mergeCell ref="D136:D141"/>
    <mergeCell ref="E136:E141"/>
    <mergeCell ref="F136:F141"/>
    <mergeCell ref="G136:G141"/>
    <mergeCell ref="B127:B132"/>
    <mergeCell ref="C127:C132"/>
    <mergeCell ref="D127:D132"/>
    <mergeCell ref="E127:E132"/>
    <mergeCell ref="F127:F132"/>
    <mergeCell ref="G127:G132"/>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4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4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2021-08-11T04:09:04Z</dcterms:modified>
</cp:coreProperties>
</file>